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harts/chart1.xml" ContentType="application/vnd.openxmlformats-officedocument.drawingml.char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harts/colors1.xml" ContentType="application/vnd.ms-office.chartcolorstyle+xml"/>
  <Override PartName="/xl/drawings/drawing1.xml" ContentType="application/vnd.openxmlformats-officedocument.drawing+xml"/>
  <Override PartName="/xl/charts/style1.xml" ContentType="application/vnd.ms-office.chartstyle+xml"/>
  <Override PartName="/xl/worksheets/sheet14.xml" ContentType="application/vnd.openxmlformats-officedocument.spreadsheetml.worksheet+xml"/>
  <Override PartName="/xl/worksheets/sheet12.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13.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docProps/core.xml" ContentType="application/vnd.openxmlformats-package.core-properties+xml"/>
  <Override PartName="/xl/comments3.xml" ContentType="application/vnd.openxmlformats-officedocument.spreadsheetml.comments+xml"/>
  <Override PartName="/xl/comments1.xml" ContentType="application/vnd.openxmlformats-officedocument.spreadsheetml.comments+xml"/>
  <Override PartName="/xl/comments2.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xl/comments7.xml" ContentType="application/vnd.openxmlformats-officedocument.spreadsheetml.comments+xml"/>
  <Override PartName="/xl/comments6.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067"/>
  <workbookPr defaultThemeVersion="124226"/>
  <mc:AlternateContent xmlns:mc="http://schemas.openxmlformats.org/markup-compatibility/2006">
    <mc:Choice Requires="x15">
      <x15ac:absPath xmlns:x15ac="http://schemas.microsoft.com/office/spreadsheetml/2010/11/ac" url="C:\Users\SROJAS\Documents\ICS 2017\PROYECTOS\AR-L1266\Revisión 14 Junio\"/>
    </mc:Choice>
  </mc:AlternateContent>
  <bookViews>
    <workbookView xWindow="0" yWindow="0" windowWidth="9600" windowHeight="6660" tabRatio="820" firstSheet="1" activeTab="13"/>
  </bookViews>
  <sheets>
    <sheet name="Hoja5" sheetId="15" state="hidden" r:id="rId1"/>
    <sheet name="Costos" sheetId="2" r:id="rId2"/>
    <sheet name="Medios de Verificación" sheetId="4" state="hidden" r:id="rId3"/>
    <sheet name="Datos Proyectos" sheetId="11" state="hidden" r:id="rId4"/>
    <sheet name="Hoja1" sheetId="12" state="hidden" r:id="rId5"/>
    <sheet name="Resultados Vs Costos" sheetId="6" state="hidden" r:id="rId6"/>
    <sheet name="Matriz de Resultados - Plantill" sheetId="1" state="hidden" r:id="rId7"/>
    <sheet name="Costos (2)" sheetId="7" state="hidden" r:id="rId8"/>
    <sheet name="Matriz de Resultados (2)" sheetId="8" state="hidden" r:id="rId9"/>
    <sheet name="Hoja2" sheetId="10" state="hidden" r:id="rId10"/>
    <sheet name="Datos Proyectos (2)" sheetId="18" state="hidden" r:id="rId11"/>
    <sheet name="Datos Proyectos Final" sheetId="20" state="hidden" r:id="rId12"/>
    <sheet name="Proyectos - Ejecucion - Tiempo" sheetId="22" state="hidden" r:id="rId13"/>
    <sheet name="POA - 2018" sheetId="25" r:id="rId14"/>
    <sheet name="PEP" sheetId="39" r:id="rId15"/>
    <sheet name="ACTIVIDADES ANEXOS POD" sheetId="42" state="hidden" r:id="rId16"/>
    <sheet name="PRODUCTOS, ACTIVIDADES, DETALLE" sheetId="45" r:id="rId17"/>
  </sheets>
  <externalReferences>
    <externalReference r:id="rId18"/>
    <externalReference r:id="rId19"/>
  </externalReferences>
  <definedNames>
    <definedName name="_xlnm._FilterDatabase" localSheetId="15" hidden="1">'ACTIVIDADES ANEXOS POD'!$A$3:$C$100</definedName>
    <definedName name="_xlnm._FilterDatabase" localSheetId="14" hidden="1">PEP!$A$1:$B$92</definedName>
    <definedName name="_xlnm._FilterDatabase" localSheetId="16" hidden="1">'PRODUCTOS, ACTIVIDADES, DETALLE'!$A$3:$B$99</definedName>
    <definedName name="_ftn1" localSheetId="15">'ACTIVIDADES ANEXOS POD'!#REF!</definedName>
    <definedName name="_ftn1" localSheetId="14">PEP!#REF!</definedName>
    <definedName name="_ftn1" localSheetId="16">'PRODUCTOS, ACTIVIDADES, DETALLE'!#REF!</definedName>
    <definedName name="_ftnref1" localSheetId="15">'ACTIVIDADES ANEXOS POD'!#REF!</definedName>
    <definedName name="_ftnref1" localSheetId="14">PEP!#REF!</definedName>
    <definedName name="_ftnref1" localSheetId="16">'PRODUCTOS, ACTIVIDADES, DETALLE'!#REF!</definedName>
    <definedName name="_xlnm.Print_Area" localSheetId="15">'ACTIVIDADES ANEXOS POD'!$A$3:$R$100</definedName>
    <definedName name="_xlnm.Print_Area" localSheetId="1">Costos!$D$5:$K$25</definedName>
    <definedName name="_xlnm.Print_Area" localSheetId="7">'Costos (2)'!$D$2:$K$38</definedName>
    <definedName name="_xlnm.Print_Area" localSheetId="6">'Matriz de Resultados - Plantill'!$D$2:$M$73</definedName>
    <definedName name="_xlnm.Print_Area" localSheetId="8">'Matriz de Resultados (2)'!$E$2:$N$69</definedName>
    <definedName name="_xlnm.Print_Area" localSheetId="2">'Medios de Verificación'!$E$5:$N$73</definedName>
    <definedName name="_xlnm.Print_Area" localSheetId="14">PEP!$A$1:$U$67</definedName>
    <definedName name="_xlnm.Print_Area" localSheetId="13">'POA - 2018'!$A$4:$AN$38</definedName>
    <definedName name="_xlnm.Print_Area" localSheetId="16">'PRODUCTOS, ACTIVIDADES, DETALLE'!$A$3:$C$99</definedName>
    <definedName name="_xlnm.Print_Area" localSheetId="5">'Resultados Vs Costos'!$D$2:$K$38</definedName>
    <definedName name="Z_2DA8D048_749E_44EC_82E4_8E8BCB969104_.wvu.Cols" localSheetId="13" hidden="1">'POA - 2018'!$L:$N,'POA - 2018'!$AH:$AL</definedName>
    <definedName name="Z_2DA8D048_749E_44EC_82E4_8E8BCB969104_.wvu.PrintArea" localSheetId="13" hidden="1">'POA - 2018'!$A$4:$AN$38</definedName>
    <definedName name="Z_78CC49AC_F6CA_47FE_96D7_58E7522FC1B5_.wvu.Cols" localSheetId="13" hidden="1">'POA - 2018'!$L:$N,'POA - 2018'!$AH:$AL</definedName>
    <definedName name="Z_78CC49AC_F6CA_47FE_96D7_58E7522FC1B5_.wvu.PrintArea" localSheetId="13" hidden="1">'POA - 2018'!$A$4:$AN$38</definedName>
    <definedName name="Z_EE479634_B189_4A29_9583_7C81D2DE3486_.wvu.Cols" localSheetId="13" hidden="1">'POA - 2018'!$L:$N,'POA - 2018'!$AH:$AL</definedName>
    <definedName name="Z_EE479634_B189_4A29_9583_7C81D2DE3486_.wvu.PrintArea" localSheetId="13" hidden="1">'POA - 2018'!$A$4:$AN$38</definedName>
  </definedNames>
  <calcPr calcId="171027" concurrentCalc="0"/>
</workbook>
</file>

<file path=xl/calcChain.xml><?xml version="1.0" encoding="utf-8"?>
<calcChain xmlns="http://schemas.openxmlformats.org/spreadsheetml/2006/main">
  <c r="AB38" i="25" l="1"/>
  <c r="AN38" i="25"/>
  <c r="AL38" i="25"/>
  <c r="AJ38" i="25"/>
  <c r="AH38" i="25"/>
  <c r="AF38" i="25"/>
  <c r="AD38" i="25"/>
  <c r="Z38" i="25"/>
  <c r="X38" i="25"/>
  <c r="V38" i="25"/>
  <c r="T38" i="25"/>
  <c r="R38" i="25"/>
  <c r="H23" i="25"/>
  <c r="P23" i="25"/>
  <c r="T23" i="25"/>
  <c r="P25" i="25"/>
  <c r="T25" i="25"/>
  <c r="T22" i="25"/>
  <c r="V23" i="25"/>
  <c r="V22" i="25"/>
  <c r="X23" i="25"/>
  <c r="X22" i="25"/>
  <c r="Z23" i="25"/>
  <c r="Z25" i="25"/>
  <c r="Z22" i="25"/>
  <c r="AB23" i="25"/>
  <c r="AB22" i="25"/>
  <c r="R23" i="25"/>
  <c r="R22" i="25"/>
  <c r="G36" i="25"/>
  <c r="I36" i="25"/>
  <c r="P36" i="25"/>
  <c r="R36" i="25"/>
  <c r="G37" i="25"/>
  <c r="I37" i="25"/>
  <c r="P37" i="25"/>
  <c r="R37" i="25"/>
  <c r="R35" i="25"/>
  <c r="T36" i="25"/>
  <c r="T35" i="25"/>
  <c r="V36" i="25"/>
  <c r="V35" i="25"/>
  <c r="X36" i="25"/>
  <c r="X35" i="25"/>
  <c r="Z36" i="25"/>
  <c r="Z35" i="25"/>
  <c r="AB36" i="25"/>
  <c r="AB35" i="25"/>
  <c r="H33" i="25"/>
  <c r="P33" i="25"/>
  <c r="R33" i="25"/>
  <c r="R32" i="25"/>
  <c r="T33" i="25"/>
  <c r="T32" i="25"/>
  <c r="V33" i="25"/>
  <c r="P34" i="25"/>
  <c r="V34" i="25"/>
  <c r="V32" i="25"/>
  <c r="X33" i="25"/>
  <c r="X34" i="25"/>
  <c r="X32" i="25"/>
  <c r="Z33" i="25"/>
  <c r="Z34" i="25"/>
  <c r="Z32" i="25"/>
  <c r="AB33" i="25"/>
  <c r="AB34" i="25"/>
  <c r="AB32" i="25"/>
  <c r="H29" i="25"/>
  <c r="P29" i="25"/>
  <c r="R29" i="25"/>
  <c r="P30" i="25"/>
  <c r="R30" i="25"/>
  <c r="R28" i="25"/>
  <c r="T29" i="25"/>
  <c r="T30" i="25"/>
  <c r="T28" i="25"/>
  <c r="V29" i="25"/>
  <c r="V30" i="25"/>
  <c r="V28" i="25"/>
  <c r="X29" i="25"/>
  <c r="X30" i="25"/>
  <c r="X28" i="25"/>
  <c r="Z29" i="25"/>
  <c r="Z30" i="25"/>
  <c r="Z28" i="25"/>
  <c r="AB29" i="25"/>
  <c r="H31" i="25"/>
  <c r="P31" i="25"/>
  <c r="AB31" i="25"/>
  <c r="AB30" i="25"/>
  <c r="AB28" i="25"/>
  <c r="H20" i="25"/>
  <c r="P20" i="25"/>
  <c r="R20" i="25"/>
  <c r="R19" i="25"/>
  <c r="T20" i="25"/>
  <c r="T19" i="25"/>
  <c r="V20" i="25"/>
  <c r="P21" i="25"/>
  <c r="V21" i="25"/>
  <c r="V19" i="25"/>
  <c r="X20" i="25"/>
  <c r="X21" i="25"/>
  <c r="X19" i="25"/>
  <c r="Z20" i="25"/>
  <c r="Z21" i="25"/>
  <c r="Z19" i="25"/>
  <c r="AB20" i="25"/>
  <c r="AB21" i="25"/>
  <c r="AB19" i="25"/>
  <c r="H18" i="25"/>
  <c r="P18" i="25"/>
  <c r="R18" i="25"/>
  <c r="R15" i="25"/>
  <c r="T18" i="25"/>
  <c r="T15" i="25"/>
  <c r="V18" i="25"/>
  <c r="V15" i="25"/>
  <c r="H16" i="25"/>
  <c r="P16" i="25"/>
  <c r="X16" i="25"/>
  <c r="X18" i="25"/>
  <c r="X15" i="25"/>
  <c r="Z18" i="25"/>
  <c r="Z15" i="25"/>
  <c r="AB18" i="25"/>
  <c r="AB15" i="25"/>
  <c r="H12" i="25"/>
  <c r="K12" i="25"/>
  <c r="P12" i="25"/>
  <c r="R12" i="25"/>
  <c r="R10" i="25"/>
  <c r="T12" i="25"/>
  <c r="T10" i="25"/>
  <c r="H11" i="25"/>
  <c r="K11" i="25"/>
  <c r="P11" i="25"/>
  <c r="V11" i="25"/>
  <c r="V12" i="25"/>
  <c r="V10" i="25"/>
  <c r="X12" i="25"/>
  <c r="H14" i="25"/>
  <c r="K14" i="25"/>
  <c r="P14" i="25"/>
  <c r="X14" i="25"/>
  <c r="X10" i="25"/>
  <c r="Z12" i="25"/>
  <c r="Z10" i="25"/>
  <c r="AB12" i="25"/>
  <c r="H13" i="25"/>
  <c r="K13" i="25"/>
  <c r="P13" i="25"/>
  <c r="AB13" i="25"/>
  <c r="AB14" i="25"/>
  <c r="AB10" i="25"/>
  <c r="H17" i="25"/>
  <c r="O17" i="25"/>
  <c r="AM17" i="25"/>
  <c r="AO17" i="25"/>
  <c r="AO16" i="25"/>
  <c r="O18" i="25"/>
  <c r="Q18" i="25"/>
  <c r="S18" i="25"/>
  <c r="U18" i="25"/>
  <c r="W18" i="25"/>
  <c r="Y18" i="25"/>
  <c r="AA18" i="25"/>
  <c r="AC18" i="25"/>
  <c r="AD18" i="25"/>
  <c r="AE18" i="25"/>
  <c r="AF18" i="25"/>
  <c r="AG18" i="25"/>
  <c r="AH18" i="25"/>
  <c r="AI18" i="25"/>
  <c r="AJ18" i="25"/>
  <c r="AK18" i="25"/>
  <c r="AL18" i="25"/>
  <c r="AM18" i="25"/>
  <c r="AN18" i="25"/>
  <c r="AO18" i="25"/>
  <c r="AO15" i="25"/>
  <c r="R9" i="25"/>
  <c r="T9" i="25"/>
  <c r="V9" i="25"/>
  <c r="X9" i="25"/>
  <c r="Z9" i="25"/>
  <c r="AB9" i="25"/>
  <c r="AD11" i="25"/>
  <c r="AD12" i="25"/>
  <c r="AD10" i="25"/>
  <c r="AD15" i="25"/>
  <c r="AD20" i="25"/>
  <c r="AD21" i="25"/>
  <c r="AD19" i="25"/>
  <c r="AD23" i="25"/>
  <c r="AD22" i="25"/>
  <c r="AD9" i="25"/>
  <c r="AF12" i="25"/>
  <c r="AF14" i="25"/>
  <c r="AF10" i="25"/>
  <c r="AF15" i="25"/>
  <c r="AF20" i="25"/>
  <c r="AF21" i="25"/>
  <c r="AF19" i="25"/>
  <c r="AF23" i="25"/>
  <c r="H26" i="25"/>
  <c r="P26" i="25"/>
  <c r="AF26" i="25"/>
  <c r="AF25" i="25"/>
  <c r="AF24" i="25"/>
  <c r="AF22" i="25"/>
  <c r="AF9" i="25"/>
  <c r="AH12" i="25"/>
  <c r="AH10" i="25"/>
  <c r="AH15" i="25"/>
  <c r="AH20" i="25"/>
  <c r="AH21" i="25"/>
  <c r="AH19" i="25"/>
  <c r="AH23" i="25"/>
  <c r="AH26" i="25"/>
  <c r="AH22" i="25"/>
  <c r="AH9" i="25"/>
  <c r="AJ12" i="25"/>
  <c r="AJ10" i="25"/>
  <c r="AJ15" i="25"/>
  <c r="AJ20" i="25"/>
  <c r="AJ21" i="25"/>
  <c r="AJ19" i="25"/>
  <c r="AJ23" i="25"/>
  <c r="AJ26" i="25"/>
  <c r="AJ24" i="25"/>
  <c r="AJ22" i="25"/>
  <c r="AJ9" i="25"/>
  <c r="AL12" i="25"/>
  <c r="AL10" i="25"/>
  <c r="AL15" i="25"/>
  <c r="AL20" i="25"/>
  <c r="AL21" i="25"/>
  <c r="AL19" i="25"/>
  <c r="AL23" i="25"/>
  <c r="AL26" i="25"/>
  <c r="AL22" i="25"/>
  <c r="AL9" i="25"/>
  <c r="AN12" i="25"/>
  <c r="AN13" i="25"/>
  <c r="AN10" i="25"/>
  <c r="AN15" i="25"/>
  <c r="AN20" i="25"/>
  <c r="AN21" i="25"/>
  <c r="AN19" i="25"/>
  <c r="AN23" i="25"/>
  <c r="AN26" i="25"/>
  <c r="AN24" i="25"/>
  <c r="AN22" i="25"/>
  <c r="AN9" i="25"/>
  <c r="Q15" i="25"/>
  <c r="O20" i="25"/>
  <c r="Q20" i="25"/>
  <c r="H21" i="25"/>
  <c r="O21" i="25"/>
  <c r="Q21" i="25"/>
  <c r="Q19" i="25"/>
  <c r="Q22" i="25"/>
  <c r="O12" i="25"/>
  <c r="Q12" i="25"/>
  <c r="Q10" i="25"/>
  <c r="Q9" i="25"/>
  <c r="S15" i="25"/>
  <c r="S20" i="25"/>
  <c r="S21" i="25"/>
  <c r="S19" i="25"/>
  <c r="S25" i="25"/>
  <c r="S22" i="25"/>
  <c r="S12" i="25"/>
  <c r="S10" i="25"/>
  <c r="S9" i="25"/>
  <c r="U15" i="25"/>
  <c r="U20" i="25"/>
  <c r="U21" i="25"/>
  <c r="U19" i="25"/>
  <c r="U25" i="25"/>
  <c r="U22" i="25"/>
  <c r="O11" i="25"/>
  <c r="U11" i="25"/>
  <c r="U12" i="25"/>
  <c r="U10" i="25"/>
  <c r="U9" i="25"/>
  <c r="W15" i="25"/>
  <c r="W20" i="25"/>
  <c r="W21" i="25"/>
  <c r="W19" i="25"/>
  <c r="W25" i="25"/>
  <c r="W22" i="25"/>
  <c r="W12" i="25"/>
  <c r="W10" i="25"/>
  <c r="W9" i="25"/>
  <c r="Y15" i="25"/>
  <c r="Y20" i="25"/>
  <c r="Y21" i="25"/>
  <c r="Y19" i="25"/>
  <c r="Y25" i="25"/>
  <c r="Y22" i="25"/>
  <c r="Y12" i="25"/>
  <c r="Y10" i="25"/>
  <c r="Y9" i="25"/>
  <c r="AA15" i="25"/>
  <c r="AA20" i="25"/>
  <c r="AA21" i="25"/>
  <c r="AA19" i="25"/>
  <c r="AA25" i="25"/>
  <c r="AA22" i="25"/>
  <c r="AA12" i="25"/>
  <c r="AA10" i="25"/>
  <c r="AA9" i="25"/>
  <c r="AC15" i="25"/>
  <c r="AC21" i="25"/>
  <c r="AC19" i="25"/>
  <c r="AC22" i="25"/>
  <c r="AC11" i="25"/>
  <c r="AC12" i="25"/>
  <c r="AC10" i="25"/>
  <c r="AC9" i="25"/>
  <c r="AE15" i="25"/>
  <c r="AE21" i="25"/>
  <c r="AE19" i="25"/>
  <c r="AE25" i="25"/>
  <c r="AE22" i="25"/>
  <c r="AE12" i="25"/>
  <c r="AE10" i="25"/>
  <c r="AE9" i="25"/>
  <c r="AG15" i="25"/>
  <c r="AG21" i="25"/>
  <c r="AG19" i="25"/>
  <c r="AG25" i="25"/>
  <c r="AG22" i="25"/>
  <c r="AG12" i="25"/>
  <c r="AG10" i="25"/>
  <c r="AG9" i="25"/>
  <c r="AI15" i="25"/>
  <c r="AI21" i="25"/>
  <c r="AI19" i="25"/>
  <c r="AI25" i="25"/>
  <c r="AI22" i="25"/>
  <c r="AI12" i="25"/>
  <c r="AI10" i="25"/>
  <c r="AI9" i="25"/>
  <c r="AK15" i="25"/>
  <c r="AK21" i="25"/>
  <c r="AK19" i="25"/>
  <c r="AK25" i="25"/>
  <c r="AK22" i="25"/>
  <c r="AK12" i="25"/>
  <c r="AK10" i="25"/>
  <c r="AK9" i="25"/>
  <c r="AM15" i="25"/>
  <c r="AM21" i="25"/>
  <c r="AM19" i="25"/>
  <c r="AM25" i="25"/>
  <c r="AM22" i="25"/>
  <c r="AM12" i="25"/>
  <c r="AM10" i="25"/>
  <c r="AM9" i="25"/>
  <c r="AO9" i="25"/>
  <c r="P10" i="25"/>
  <c r="P17" i="25"/>
  <c r="P15" i="25"/>
  <c r="P19" i="25"/>
  <c r="H24" i="25"/>
  <c r="P24" i="25"/>
  <c r="P22" i="25"/>
  <c r="P9" i="25"/>
  <c r="AD36" i="25"/>
  <c r="AD35" i="25"/>
  <c r="AD29" i="25"/>
  <c r="AD31" i="25"/>
  <c r="AD30" i="25"/>
  <c r="AD28" i="25"/>
  <c r="AD33" i="25"/>
  <c r="AD34" i="25"/>
  <c r="AD32" i="25"/>
  <c r="AD39" i="25"/>
  <c r="AD45" i="25"/>
  <c r="AF36" i="25"/>
  <c r="AF35" i="25"/>
  <c r="AF29" i="25"/>
  <c r="AF31" i="25"/>
  <c r="AF30" i="25"/>
  <c r="AF28" i="25"/>
  <c r="AF33" i="25"/>
  <c r="AF34" i="25"/>
  <c r="AF32" i="25"/>
  <c r="AF39" i="25"/>
  <c r="AF45" i="25"/>
  <c r="AH36" i="25"/>
  <c r="AH35" i="25"/>
  <c r="AH29" i="25"/>
  <c r="AH30" i="25"/>
  <c r="AH28" i="25"/>
  <c r="AH33" i="25"/>
  <c r="AH34" i="25"/>
  <c r="AH32" i="25"/>
  <c r="AH39" i="25"/>
  <c r="AH45" i="25"/>
  <c r="AJ36" i="25"/>
  <c r="AJ35" i="25"/>
  <c r="AJ29" i="25"/>
  <c r="AJ30" i="25"/>
  <c r="AJ28" i="25"/>
  <c r="AJ33" i="25"/>
  <c r="AJ34" i="25"/>
  <c r="AJ32" i="25"/>
  <c r="AJ39" i="25"/>
  <c r="AJ45" i="25"/>
  <c r="AL36" i="25"/>
  <c r="AL35" i="25"/>
  <c r="AL29" i="25"/>
  <c r="AL30" i="25"/>
  <c r="AL28" i="25"/>
  <c r="AL33" i="25"/>
  <c r="AL34" i="25"/>
  <c r="AL32" i="25"/>
  <c r="AL39" i="25"/>
  <c r="AL45" i="25"/>
  <c r="AN36" i="25"/>
  <c r="AN35" i="25"/>
  <c r="AN29" i="25"/>
  <c r="AN30" i="25"/>
  <c r="AN28" i="25"/>
  <c r="AN33" i="25"/>
  <c r="AN34" i="25"/>
  <c r="AN32" i="25"/>
  <c r="AN39" i="25"/>
  <c r="AN45" i="25"/>
  <c r="R39" i="25"/>
  <c r="R45" i="25"/>
  <c r="T39" i="25"/>
  <c r="T45" i="25"/>
  <c r="V39" i="25"/>
  <c r="V45" i="25"/>
  <c r="X39" i="25"/>
  <c r="X45" i="25"/>
  <c r="Z39" i="25"/>
  <c r="Z45" i="25"/>
  <c r="AB39" i="25"/>
  <c r="AB45" i="25"/>
  <c r="S35" i="25"/>
  <c r="H30" i="25"/>
  <c r="O30" i="25"/>
  <c r="Q30" i="25"/>
  <c r="S30" i="25"/>
  <c r="O29" i="25"/>
  <c r="S29" i="25"/>
  <c r="S28" i="25"/>
  <c r="G41" i="25"/>
  <c r="I41" i="25"/>
  <c r="O41" i="25"/>
  <c r="S41" i="25"/>
  <c r="S39" i="25"/>
  <c r="S32" i="25"/>
  <c r="S45" i="25"/>
  <c r="U35" i="25"/>
  <c r="U30" i="25"/>
  <c r="U29" i="25"/>
  <c r="U28" i="25"/>
  <c r="U41" i="25"/>
  <c r="U39" i="25"/>
  <c r="U32" i="25"/>
  <c r="U45" i="25"/>
  <c r="W35" i="25"/>
  <c r="W30" i="25"/>
  <c r="W29" i="25"/>
  <c r="W28" i="25"/>
  <c r="W41" i="25"/>
  <c r="W39" i="25"/>
  <c r="W32" i="25"/>
  <c r="W45" i="25"/>
  <c r="Y35" i="25"/>
  <c r="Y30" i="25"/>
  <c r="Y29" i="25"/>
  <c r="Y28" i="25"/>
  <c r="Y41" i="25"/>
  <c r="Y39" i="25"/>
  <c r="Y32" i="25"/>
  <c r="Y45" i="25"/>
  <c r="AA35" i="25"/>
  <c r="AA30" i="25"/>
  <c r="AA29" i="25"/>
  <c r="AA28" i="25"/>
  <c r="AA41" i="25"/>
  <c r="AA39" i="25"/>
  <c r="AA32" i="25"/>
  <c r="AA45" i="25"/>
  <c r="Q29" i="25"/>
  <c r="Q28" i="25"/>
  <c r="Q33" i="25"/>
  <c r="Q32" i="25"/>
  <c r="Q41" i="25"/>
  <c r="Q39" i="25"/>
  <c r="Q38" i="25"/>
  <c r="Q35" i="25"/>
  <c r="Q45" i="25"/>
  <c r="AC35" i="25"/>
  <c r="AC30" i="25"/>
  <c r="AC29" i="25"/>
  <c r="AC28" i="25"/>
  <c r="AC41" i="25"/>
  <c r="AC39" i="25"/>
  <c r="AC32" i="25"/>
  <c r="AC45" i="25"/>
  <c r="AE35" i="25"/>
  <c r="AE30" i="25"/>
  <c r="AE29" i="25"/>
  <c r="AE28" i="25"/>
  <c r="AE41" i="25"/>
  <c r="AE39" i="25"/>
  <c r="AE32" i="25"/>
  <c r="AE45" i="25"/>
  <c r="AG35" i="25"/>
  <c r="AG30" i="25"/>
  <c r="AG29" i="25"/>
  <c r="AG28" i="25"/>
  <c r="AG41" i="25"/>
  <c r="AG39" i="25"/>
  <c r="AG32" i="25"/>
  <c r="AG45" i="25"/>
  <c r="AI35" i="25"/>
  <c r="AI30" i="25"/>
  <c r="AI29" i="25"/>
  <c r="AI28" i="25"/>
  <c r="AI41" i="25"/>
  <c r="AI39" i="25"/>
  <c r="AI32" i="25"/>
  <c r="AI45" i="25"/>
  <c r="AK35" i="25"/>
  <c r="AK30" i="25"/>
  <c r="AK29" i="25"/>
  <c r="AK28" i="25"/>
  <c r="AK41" i="25"/>
  <c r="AK39" i="25"/>
  <c r="AK32" i="25"/>
  <c r="AK45" i="25"/>
  <c r="AM35" i="25"/>
  <c r="AM30" i="25"/>
  <c r="AM29" i="25"/>
  <c r="AM28" i="25"/>
  <c r="AM41" i="25"/>
  <c r="AM39" i="25"/>
  <c r="AM32" i="25"/>
  <c r="AM45" i="25"/>
  <c r="G18" i="25"/>
  <c r="I18" i="25"/>
  <c r="J13" i="25"/>
  <c r="O13" i="25"/>
  <c r="O14" i="25"/>
  <c r="O10" i="25"/>
  <c r="O16" i="25"/>
  <c r="O15" i="25"/>
  <c r="O19" i="25"/>
  <c r="H25" i="25"/>
  <c r="O25" i="25"/>
  <c r="O23" i="25"/>
  <c r="O24" i="25"/>
  <c r="O22" i="25"/>
  <c r="O9" i="25"/>
  <c r="O31" i="25"/>
  <c r="O28" i="25"/>
  <c r="H34" i="25"/>
  <c r="O34" i="25"/>
  <c r="O33" i="25"/>
  <c r="O32" i="25"/>
  <c r="O39" i="25"/>
  <c r="O35" i="25"/>
  <c r="O45" i="25"/>
  <c r="G17" i="25"/>
  <c r="I17" i="25"/>
  <c r="J47" i="42"/>
  <c r="J125" i="42"/>
  <c r="J55" i="42"/>
  <c r="J126" i="42"/>
  <c r="J7" i="42"/>
  <c r="J122" i="42"/>
  <c r="J32" i="42"/>
  <c r="J19" i="42"/>
  <c r="J123" i="42"/>
  <c r="J34" i="42"/>
  <c r="J124" i="42"/>
  <c r="J139" i="42"/>
  <c r="J63" i="42"/>
  <c r="J127" i="42"/>
  <c r="J76" i="42"/>
  <c r="J128" i="42"/>
  <c r="J140" i="42"/>
  <c r="J99" i="42"/>
  <c r="J131" i="42"/>
  <c r="J92" i="42"/>
  <c r="J130" i="42"/>
  <c r="J85" i="42"/>
  <c r="J129" i="42"/>
  <c r="J101" i="42"/>
  <c r="J132" i="42"/>
  <c r="J141" i="42"/>
  <c r="J108" i="42"/>
  <c r="J112" i="42"/>
  <c r="J142" i="42"/>
  <c r="J143" i="42"/>
  <c r="J144" i="42"/>
  <c r="J146" i="42"/>
  <c r="K49" i="42"/>
  <c r="K50" i="42"/>
  <c r="K51" i="42"/>
  <c r="K47" i="42"/>
  <c r="K125" i="42"/>
  <c r="K59" i="42"/>
  <c r="K55" i="42"/>
  <c r="K126" i="42"/>
  <c r="K8" i="42"/>
  <c r="K12" i="42"/>
  <c r="K15" i="42"/>
  <c r="K7" i="42"/>
  <c r="K122" i="42"/>
  <c r="K24" i="42"/>
  <c r="K26" i="42"/>
  <c r="K27" i="42"/>
  <c r="K28" i="42"/>
  <c r="K29" i="42"/>
  <c r="K31" i="42"/>
  <c r="K19" i="42"/>
  <c r="K123" i="42"/>
  <c r="K35" i="42"/>
  <c r="K36" i="42"/>
  <c r="K37" i="42"/>
  <c r="I39" i="42"/>
  <c r="K39" i="42"/>
  <c r="K41" i="42"/>
  <c r="K42" i="42"/>
  <c r="K43" i="42"/>
  <c r="K44" i="42"/>
  <c r="K45" i="42"/>
  <c r="K34" i="42"/>
  <c r="K124" i="42"/>
  <c r="K139" i="42"/>
  <c r="K66" i="42"/>
  <c r="K67" i="42"/>
  <c r="K68" i="42"/>
  <c r="K72" i="42"/>
  <c r="K74" i="42"/>
  <c r="K63" i="42"/>
  <c r="K127" i="42"/>
  <c r="K79" i="42"/>
  <c r="K76" i="42"/>
  <c r="K128" i="42"/>
  <c r="K140" i="42"/>
  <c r="K99" i="42"/>
  <c r="K131" i="42"/>
  <c r="K93" i="42"/>
  <c r="K97" i="42"/>
  <c r="K92" i="42"/>
  <c r="K130" i="42"/>
  <c r="K86" i="42"/>
  <c r="K89" i="42"/>
  <c r="K90" i="42"/>
  <c r="K85" i="42"/>
  <c r="K129" i="42"/>
  <c r="K103" i="42"/>
  <c r="K104" i="42"/>
  <c r="K101" i="42"/>
  <c r="K132" i="42"/>
  <c r="K141" i="42"/>
  <c r="K106" i="42"/>
  <c r="K115" i="42"/>
  <c r="K142" i="42"/>
  <c r="K113" i="42"/>
  <c r="K143" i="42"/>
  <c r="K111" i="42"/>
  <c r="K144" i="42"/>
  <c r="K146" i="42"/>
  <c r="L47" i="42"/>
  <c r="L125" i="42"/>
  <c r="L55" i="42"/>
  <c r="L126" i="42"/>
  <c r="L7" i="42"/>
  <c r="L122" i="42"/>
  <c r="L32" i="42"/>
  <c r="L19" i="42"/>
  <c r="L123" i="42"/>
  <c r="L34" i="42"/>
  <c r="L124" i="42"/>
  <c r="L139" i="42"/>
  <c r="L63" i="42"/>
  <c r="L127" i="42"/>
  <c r="L76" i="42"/>
  <c r="L128" i="42"/>
  <c r="L140" i="42"/>
  <c r="L99" i="42"/>
  <c r="L131" i="42"/>
  <c r="L92" i="42"/>
  <c r="L130" i="42"/>
  <c r="L85" i="42"/>
  <c r="L129" i="42"/>
  <c r="L101" i="42"/>
  <c r="L132" i="42"/>
  <c r="L141" i="42"/>
  <c r="L108" i="42"/>
  <c r="L112" i="42"/>
  <c r="L142" i="42"/>
  <c r="L143" i="42"/>
  <c r="L144" i="42"/>
  <c r="L146" i="42"/>
  <c r="M49" i="42"/>
  <c r="M50" i="42"/>
  <c r="M51" i="42"/>
  <c r="M47" i="42"/>
  <c r="M125" i="42"/>
  <c r="M59" i="42"/>
  <c r="M55" i="42"/>
  <c r="M126" i="42"/>
  <c r="M15" i="42"/>
  <c r="M7" i="42"/>
  <c r="M122" i="42"/>
  <c r="M24" i="42"/>
  <c r="M26" i="42"/>
  <c r="M27" i="42"/>
  <c r="M28" i="42"/>
  <c r="M29" i="42"/>
  <c r="M31" i="42"/>
  <c r="M19" i="42"/>
  <c r="M123" i="42"/>
  <c r="M35" i="42"/>
  <c r="M36" i="42"/>
  <c r="M37" i="42"/>
  <c r="M41" i="42"/>
  <c r="M42" i="42"/>
  <c r="M43" i="42"/>
  <c r="M44" i="42"/>
  <c r="M45" i="42"/>
  <c r="M34" i="42"/>
  <c r="M124" i="42"/>
  <c r="M139" i="42"/>
  <c r="M67" i="42"/>
  <c r="M68" i="42"/>
  <c r="M63" i="42"/>
  <c r="M127" i="42"/>
  <c r="M76" i="42"/>
  <c r="M128" i="42"/>
  <c r="M140" i="42"/>
  <c r="M99" i="42"/>
  <c r="M131" i="42"/>
  <c r="M93" i="42"/>
  <c r="M92" i="42"/>
  <c r="M130" i="42"/>
  <c r="M86" i="42"/>
  <c r="M90" i="42"/>
  <c r="M85" i="42"/>
  <c r="M129" i="42"/>
  <c r="M103" i="42"/>
  <c r="M104" i="42"/>
  <c r="M101" i="42"/>
  <c r="M132" i="42"/>
  <c r="M141" i="42"/>
  <c r="M106" i="42"/>
  <c r="M111" i="42"/>
  <c r="M115" i="42"/>
  <c r="M142" i="42"/>
  <c r="M143" i="42"/>
  <c r="M144" i="42"/>
  <c r="M146" i="42"/>
  <c r="N47" i="42"/>
  <c r="N125" i="42"/>
  <c r="N55" i="42"/>
  <c r="N126" i="42"/>
  <c r="N7" i="42"/>
  <c r="N122" i="42"/>
  <c r="N19" i="42"/>
  <c r="N123" i="42"/>
  <c r="N34" i="42"/>
  <c r="N124" i="42"/>
  <c r="N139" i="42"/>
  <c r="N63" i="42"/>
  <c r="N127" i="42"/>
  <c r="N76" i="42"/>
  <c r="N128" i="42"/>
  <c r="N140" i="42"/>
  <c r="N99" i="42"/>
  <c r="N131" i="42"/>
  <c r="N92" i="42"/>
  <c r="N130" i="42"/>
  <c r="N85" i="42"/>
  <c r="N129" i="42"/>
  <c r="N101" i="42"/>
  <c r="N132" i="42"/>
  <c r="N141" i="42"/>
  <c r="N142" i="42"/>
  <c r="N143" i="42"/>
  <c r="N144" i="42"/>
  <c r="N145" i="42"/>
  <c r="N146" i="42"/>
  <c r="O47" i="42"/>
  <c r="O125" i="42"/>
  <c r="O55" i="42"/>
  <c r="O126" i="42"/>
  <c r="O7" i="42"/>
  <c r="O122" i="42"/>
  <c r="O19" i="42"/>
  <c r="O123" i="42"/>
  <c r="O34" i="42"/>
  <c r="O124" i="42"/>
  <c r="O139" i="42"/>
  <c r="O63" i="42"/>
  <c r="O127" i="42"/>
  <c r="O76" i="42"/>
  <c r="O128" i="42"/>
  <c r="O140" i="42"/>
  <c r="O99" i="42"/>
  <c r="O131" i="42"/>
  <c r="O92" i="42"/>
  <c r="O130" i="42"/>
  <c r="O85" i="42"/>
  <c r="O129" i="42"/>
  <c r="O101" i="42"/>
  <c r="O132" i="42"/>
  <c r="O141" i="42"/>
  <c r="O142" i="42"/>
  <c r="O143" i="42"/>
  <c r="O144" i="42"/>
  <c r="O146" i="42"/>
  <c r="F47" i="42"/>
  <c r="F125" i="42"/>
  <c r="F55" i="42"/>
  <c r="F126" i="42"/>
  <c r="F7" i="42"/>
  <c r="F122" i="42"/>
  <c r="F32" i="42"/>
  <c r="F19" i="42"/>
  <c r="F123" i="42"/>
  <c r="F34" i="42"/>
  <c r="F124" i="42"/>
  <c r="F139" i="42"/>
  <c r="F63" i="42"/>
  <c r="F127" i="42"/>
  <c r="F76" i="42"/>
  <c r="F128" i="42"/>
  <c r="F140" i="42"/>
  <c r="F99" i="42"/>
  <c r="F131" i="42"/>
  <c r="F92" i="42"/>
  <c r="F130" i="42"/>
  <c r="F85" i="42"/>
  <c r="F129" i="42"/>
  <c r="F101" i="42"/>
  <c r="F132" i="42"/>
  <c r="F141" i="42"/>
  <c r="F108" i="42"/>
  <c r="F112" i="42"/>
  <c r="F142" i="42"/>
  <c r="F143" i="42"/>
  <c r="F144" i="42"/>
  <c r="F146" i="42"/>
  <c r="G49" i="42"/>
  <c r="G50" i="42"/>
  <c r="G51" i="42"/>
  <c r="G47" i="42"/>
  <c r="G125" i="42"/>
  <c r="G57" i="42"/>
  <c r="G59" i="42"/>
  <c r="G60" i="42"/>
  <c r="G55" i="42"/>
  <c r="G126" i="42"/>
  <c r="G14" i="42"/>
  <c r="G15" i="42"/>
  <c r="G7" i="42"/>
  <c r="G122" i="42"/>
  <c r="G20" i="42"/>
  <c r="G21" i="42"/>
  <c r="G22" i="42"/>
  <c r="G23" i="42"/>
  <c r="G26" i="42"/>
  <c r="G27" i="42"/>
  <c r="G28" i="42"/>
  <c r="G29" i="42"/>
  <c r="G31" i="42"/>
  <c r="G19" i="42"/>
  <c r="G123" i="42"/>
  <c r="G35" i="42"/>
  <c r="G36" i="42"/>
  <c r="G37" i="42"/>
  <c r="G41" i="42"/>
  <c r="G42" i="42"/>
  <c r="G43" i="42"/>
  <c r="G44" i="42"/>
  <c r="G45" i="42"/>
  <c r="G34" i="42"/>
  <c r="G124" i="42"/>
  <c r="G139" i="42"/>
  <c r="G65" i="42"/>
  <c r="G66" i="42"/>
  <c r="G67" i="42"/>
  <c r="G68" i="42"/>
  <c r="G72" i="42"/>
  <c r="G74" i="42"/>
  <c r="G63" i="42"/>
  <c r="G127" i="42"/>
  <c r="G77" i="42"/>
  <c r="G79" i="42"/>
  <c r="G80" i="42"/>
  <c r="G76" i="42"/>
  <c r="G128" i="42"/>
  <c r="G140" i="42"/>
  <c r="G99" i="42"/>
  <c r="G131" i="42"/>
  <c r="G93" i="42"/>
  <c r="G97" i="42"/>
  <c r="G92" i="42"/>
  <c r="G130" i="42"/>
  <c r="G86" i="42"/>
  <c r="G88" i="42"/>
  <c r="G89" i="42"/>
  <c r="G90" i="42"/>
  <c r="G85" i="42"/>
  <c r="G129" i="42"/>
  <c r="G102" i="42"/>
  <c r="G103" i="42"/>
  <c r="G104" i="42"/>
  <c r="G101" i="42"/>
  <c r="G132" i="42"/>
  <c r="G141" i="42"/>
  <c r="G106" i="42"/>
  <c r="G109" i="42"/>
  <c r="G110" i="42"/>
  <c r="G115" i="42"/>
  <c r="G142" i="42"/>
  <c r="G143" i="42"/>
  <c r="G144" i="42"/>
  <c r="G146" i="42"/>
  <c r="H47" i="42"/>
  <c r="H125" i="42"/>
  <c r="H55" i="42"/>
  <c r="H126" i="42"/>
  <c r="H7" i="42"/>
  <c r="H122" i="42"/>
  <c r="H32" i="42"/>
  <c r="H19" i="42"/>
  <c r="H123" i="42"/>
  <c r="H34" i="42"/>
  <c r="H124" i="42"/>
  <c r="H139" i="42"/>
  <c r="H63" i="42"/>
  <c r="H127" i="42"/>
  <c r="H76" i="42"/>
  <c r="H128" i="42"/>
  <c r="H140" i="42"/>
  <c r="H99" i="42"/>
  <c r="H131" i="42"/>
  <c r="H92" i="42"/>
  <c r="H130" i="42"/>
  <c r="H85" i="42"/>
  <c r="H129" i="42"/>
  <c r="H101" i="42"/>
  <c r="H132" i="42"/>
  <c r="H141" i="42"/>
  <c r="H108" i="42"/>
  <c r="H112" i="42"/>
  <c r="H142" i="42"/>
  <c r="H143" i="42"/>
  <c r="H144" i="42"/>
  <c r="H146" i="42"/>
  <c r="I49" i="42"/>
  <c r="I50" i="42"/>
  <c r="I51" i="42"/>
  <c r="I47" i="42"/>
  <c r="I125" i="42"/>
  <c r="I56" i="42"/>
  <c r="I58" i="42"/>
  <c r="I59" i="42"/>
  <c r="I55" i="42"/>
  <c r="I126" i="42"/>
  <c r="I8" i="42"/>
  <c r="I15" i="42"/>
  <c r="I7" i="42"/>
  <c r="I122" i="42"/>
  <c r="I24" i="42"/>
  <c r="I26" i="42"/>
  <c r="I27" i="42"/>
  <c r="I28" i="42"/>
  <c r="I29" i="42"/>
  <c r="I31" i="42"/>
  <c r="I19" i="42"/>
  <c r="I123" i="42"/>
  <c r="I35" i="42"/>
  <c r="I36" i="42"/>
  <c r="I37" i="42"/>
  <c r="I41" i="42"/>
  <c r="I42" i="42"/>
  <c r="I43" i="42"/>
  <c r="I44" i="42"/>
  <c r="I45" i="42"/>
  <c r="I34" i="42"/>
  <c r="I124" i="42"/>
  <c r="I139" i="42"/>
  <c r="I66" i="42"/>
  <c r="I67" i="42"/>
  <c r="I68" i="42"/>
  <c r="I72" i="42"/>
  <c r="I74" i="42"/>
  <c r="I63" i="42"/>
  <c r="I127" i="42"/>
  <c r="I77" i="42"/>
  <c r="I79" i="42"/>
  <c r="I80" i="42"/>
  <c r="I76" i="42"/>
  <c r="I128" i="42"/>
  <c r="I140" i="42"/>
  <c r="I99" i="42"/>
  <c r="I131" i="42"/>
  <c r="I93" i="42"/>
  <c r="I96" i="42"/>
  <c r="I97" i="42"/>
  <c r="I92" i="42"/>
  <c r="I130" i="42"/>
  <c r="I86" i="42"/>
  <c r="I87" i="42"/>
  <c r="I89" i="42"/>
  <c r="I90" i="42"/>
  <c r="I85" i="42"/>
  <c r="I129" i="42"/>
  <c r="I102" i="42"/>
  <c r="I103" i="42"/>
  <c r="I104" i="42"/>
  <c r="I101" i="42"/>
  <c r="I132" i="42"/>
  <c r="I141" i="42"/>
  <c r="I106" i="42"/>
  <c r="I115" i="42"/>
  <c r="I142" i="42"/>
  <c r="I143" i="42"/>
  <c r="I111" i="42"/>
  <c r="I144" i="42"/>
  <c r="I146" i="42"/>
  <c r="O106" i="39"/>
  <c r="I149" i="42"/>
  <c r="O9" i="39"/>
  <c r="O10" i="39"/>
  <c r="O13" i="39"/>
  <c r="O14" i="39"/>
  <c r="G15" i="39"/>
  <c r="O15" i="39"/>
  <c r="K22" i="39"/>
  <c r="O22" i="39"/>
  <c r="K24" i="39"/>
  <c r="O24" i="39"/>
  <c r="O25" i="39"/>
  <c r="G26" i="39"/>
  <c r="O26" i="39"/>
  <c r="G27" i="39"/>
  <c r="O27" i="39"/>
  <c r="G29" i="39"/>
  <c r="O29" i="39"/>
  <c r="G33" i="39"/>
  <c r="I33" i="39"/>
  <c r="K33" i="39"/>
  <c r="M33" i="39"/>
  <c r="O33" i="39"/>
  <c r="G34" i="39"/>
  <c r="O34" i="39"/>
  <c r="G35" i="39"/>
  <c r="O35" i="39"/>
  <c r="K37" i="39"/>
  <c r="O37" i="39"/>
  <c r="G39" i="39"/>
  <c r="I39" i="39"/>
  <c r="K39" i="39"/>
  <c r="M39" i="39"/>
  <c r="O39" i="39"/>
  <c r="G40" i="39"/>
  <c r="I40" i="39"/>
  <c r="K40" i="39"/>
  <c r="M40" i="39"/>
  <c r="O40" i="39"/>
  <c r="G41" i="39"/>
  <c r="I41" i="39"/>
  <c r="K41" i="39"/>
  <c r="M41" i="39"/>
  <c r="O41" i="39"/>
  <c r="G42" i="39"/>
  <c r="I42" i="39"/>
  <c r="K42" i="39"/>
  <c r="M42" i="39"/>
  <c r="O42" i="39"/>
  <c r="G43" i="39"/>
  <c r="I43" i="39"/>
  <c r="K43" i="39"/>
  <c r="M43" i="39"/>
  <c r="O43" i="39"/>
  <c r="K46" i="39"/>
  <c r="O46" i="39"/>
  <c r="G47" i="39"/>
  <c r="I47" i="39"/>
  <c r="K47" i="39"/>
  <c r="M47" i="39"/>
  <c r="O47" i="39"/>
  <c r="G48" i="39"/>
  <c r="O48" i="39"/>
  <c r="G56" i="39"/>
  <c r="O56" i="39"/>
  <c r="O62" i="39"/>
  <c r="G63" i="39"/>
  <c r="K63" i="39"/>
  <c r="M63" i="39"/>
  <c r="O63" i="39"/>
  <c r="G70" i="39"/>
  <c r="I70" i="39"/>
  <c r="K70" i="39"/>
  <c r="M70" i="39"/>
  <c r="O70" i="39"/>
  <c r="G79" i="39"/>
  <c r="I79" i="39"/>
  <c r="K79" i="39"/>
  <c r="M79" i="39"/>
  <c r="O79" i="39"/>
  <c r="K82" i="39"/>
  <c r="M82" i="39"/>
  <c r="O82" i="39"/>
  <c r="G83" i="39"/>
  <c r="I83" i="39"/>
  <c r="K83" i="39"/>
  <c r="M83" i="39"/>
  <c r="O83" i="39"/>
  <c r="G84" i="39"/>
  <c r="I84" i="39"/>
  <c r="K84" i="39"/>
  <c r="M84" i="39"/>
  <c r="O84" i="39"/>
  <c r="G89" i="39"/>
  <c r="I89" i="39"/>
  <c r="K89" i="39"/>
  <c r="M89" i="39"/>
  <c r="O89" i="39"/>
  <c r="O94" i="39"/>
  <c r="O108" i="39"/>
  <c r="Q9" i="39"/>
  <c r="Q10" i="39"/>
  <c r="Q15" i="39"/>
  <c r="Q22" i="39"/>
  <c r="Q24" i="39"/>
  <c r="Q26" i="39"/>
  <c r="Q27" i="39"/>
  <c r="Q29" i="39"/>
  <c r="Q33" i="39"/>
  <c r="Q34" i="39"/>
  <c r="Q35" i="39"/>
  <c r="Q37" i="39"/>
  <c r="Q39" i="39"/>
  <c r="Q40" i="39"/>
  <c r="Q41" i="39"/>
  <c r="Q42" i="39"/>
  <c r="Q43" i="39"/>
  <c r="Q46" i="39"/>
  <c r="Q47" i="39"/>
  <c r="Q48" i="39"/>
  <c r="Q49" i="39"/>
  <c r="Q56" i="39"/>
  <c r="Q63" i="39"/>
  <c r="Q70" i="39"/>
  <c r="Q79" i="39"/>
  <c r="Q83" i="39"/>
  <c r="Q84" i="39"/>
  <c r="Q89" i="39"/>
  <c r="Q82" i="39"/>
  <c r="Q94" i="39"/>
  <c r="Q106" i="39"/>
  <c r="Q108" i="39"/>
  <c r="G6" i="39"/>
  <c r="G8" i="39"/>
  <c r="G9" i="39"/>
  <c r="G10" i="39"/>
  <c r="G11" i="39"/>
  <c r="G13" i="39"/>
  <c r="G24" i="39"/>
  <c r="G25" i="39"/>
  <c r="G46" i="39"/>
  <c r="G61" i="39"/>
  <c r="G62" i="39"/>
  <c r="G94" i="39"/>
  <c r="G99" i="39"/>
  <c r="G106" i="39"/>
  <c r="G108" i="39"/>
  <c r="I6" i="39"/>
  <c r="I8" i="39"/>
  <c r="I9" i="39"/>
  <c r="I10" i="39"/>
  <c r="I11" i="39"/>
  <c r="I13" i="39"/>
  <c r="I15" i="39"/>
  <c r="I24" i="39"/>
  <c r="I26" i="39"/>
  <c r="I27" i="39"/>
  <c r="I29" i="39"/>
  <c r="I34" i="39"/>
  <c r="I35" i="39"/>
  <c r="I46" i="39"/>
  <c r="I48" i="39"/>
  <c r="I49" i="39"/>
  <c r="I56" i="39"/>
  <c r="I61" i="39"/>
  <c r="I62" i="39"/>
  <c r="I63" i="39"/>
  <c r="I94" i="39"/>
  <c r="I106" i="39"/>
  <c r="I108" i="39"/>
  <c r="K9" i="39"/>
  <c r="K10" i="39"/>
  <c r="K13" i="39"/>
  <c r="K14" i="39"/>
  <c r="K15" i="39"/>
  <c r="K25" i="39"/>
  <c r="K26" i="39"/>
  <c r="K27" i="39"/>
  <c r="K29" i="39"/>
  <c r="K34" i="39"/>
  <c r="K35" i="39"/>
  <c r="K48" i="39"/>
  <c r="K56" i="39"/>
  <c r="K62" i="39"/>
  <c r="K80" i="39"/>
  <c r="K94" i="39"/>
  <c r="K106" i="39"/>
  <c r="K108" i="39"/>
  <c r="M9" i="39"/>
  <c r="M10" i="39"/>
  <c r="M15" i="39"/>
  <c r="M22" i="39"/>
  <c r="M24" i="39"/>
  <c r="M26" i="39"/>
  <c r="M27" i="39"/>
  <c r="M29" i="39"/>
  <c r="M34" i="39"/>
  <c r="M35" i="39"/>
  <c r="M37" i="39"/>
  <c r="M46" i="39"/>
  <c r="M48" i="39"/>
  <c r="M49" i="39"/>
  <c r="M56" i="39"/>
  <c r="M62" i="39"/>
  <c r="M80" i="39"/>
  <c r="M94" i="39"/>
  <c r="M106" i="39"/>
  <c r="M108" i="39"/>
  <c r="S9" i="39"/>
  <c r="S13" i="39"/>
  <c r="S15" i="39"/>
  <c r="S22" i="39"/>
  <c r="S24" i="39"/>
  <c r="S25" i="39"/>
  <c r="S26" i="39"/>
  <c r="S27" i="39"/>
  <c r="S29" i="39"/>
  <c r="S33" i="39"/>
  <c r="S34" i="39"/>
  <c r="S35" i="39"/>
  <c r="S39" i="39"/>
  <c r="S40" i="39"/>
  <c r="S41" i="39"/>
  <c r="S42" i="39"/>
  <c r="S43" i="39"/>
  <c r="S47" i="39"/>
  <c r="S48" i="39"/>
  <c r="S56" i="39"/>
  <c r="S63" i="39"/>
  <c r="S79" i="39"/>
  <c r="S83" i="39"/>
  <c r="S84" i="39"/>
  <c r="S89" i="39"/>
  <c r="S94" i="39"/>
  <c r="S106" i="39"/>
  <c r="S108" i="39"/>
  <c r="U15" i="39"/>
  <c r="U22" i="39"/>
  <c r="U24" i="39"/>
  <c r="U26" i="39"/>
  <c r="U27" i="39"/>
  <c r="U29" i="39"/>
  <c r="U33" i="39"/>
  <c r="U34" i="39"/>
  <c r="U35" i="39"/>
  <c r="U39" i="39"/>
  <c r="U40" i="39"/>
  <c r="U41" i="39"/>
  <c r="U42" i="39"/>
  <c r="U43" i="39"/>
  <c r="U47" i="39"/>
  <c r="U48" i="39"/>
  <c r="U49" i="39"/>
  <c r="U56" i="39"/>
  <c r="U63" i="39"/>
  <c r="U79" i="39"/>
  <c r="U83" i="39"/>
  <c r="U84" i="39"/>
  <c r="U89" i="39"/>
  <c r="U94" i="39"/>
  <c r="U106" i="39"/>
  <c r="U108" i="39"/>
  <c r="W15" i="39"/>
  <c r="W94" i="39"/>
  <c r="W106" i="39"/>
  <c r="W108" i="39"/>
  <c r="Y15" i="39"/>
  <c r="Y94" i="39"/>
  <c r="Y106" i="39"/>
  <c r="Y108" i="39"/>
  <c r="Q142" i="42"/>
  <c r="E49" i="42"/>
  <c r="E47" i="42"/>
  <c r="E125" i="42"/>
  <c r="P125" i="42"/>
  <c r="E59" i="42"/>
  <c r="E55" i="42"/>
  <c r="E126" i="42"/>
  <c r="P126" i="42"/>
  <c r="E23" i="42"/>
  <c r="E25" i="42"/>
  <c r="E26" i="42"/>
  <c r="E27" i="42"/>
  <c r="E28" i="42"/>
  <c r="E32" i="42"/>
  <c r="E19" i="42"/>
  <c r="E123" i="42"/>
  <c r="P123" i="42"/>
  <c r="E35" i="42"/>
  <c r="E36" i="42"/>
  <c r="E41" i="42"/>
  <c r="E42" i="42"/>
  <c r="E43" i="42"/>
  <c r="E44" i="42"/>
  <c r="E45" i="42"/>
  <c r="E34" i="42"/>
  <c r="E124" i="42"/>
  <c r="P124" i="42"/>
  <c r="E92" i="42"/>
  <c r="E130" i="42"/>
  <c r="P130" i="42"/>
  <c r="E65" i="42"/>
  <c r="E66" i="42"/>
  <c r="E67" i="42"/>
  <c r="E68" i="42"/>
  <c r="E70" i="42"/>
  <c r="E74" i="42"/>
  <c r="E63" i="42"/>
  <c r="E127" i="42"/>
  <c r="P127" i="42"/>
  <c r="E79" i="42"/>
  <c r="E76" i="42"/>
  <c r="E128" i="42"/>
  <c r="P128" i="42"/>
  <c r="Q129" i="42"/>
  <c r="Q130" i="42"/>
  <c r="Q131" i="42"/>
  <c r="Q132" i="42"/>
  <c r="Q127" i="42"/>
  <c r="Q128" i="42"/>
  <c r="E85" i="42"/>
  <c r="E129" i="42"/>
  <c r="P129" i="42"/>
  <c r="E99" i="42"/>
  <c r="E131" i="42"/>
  <c r="P131" i="42"/>
  <c r="E101" i="42"/>
  <c r="E132" i="42"/>
  <c r="P132" i="42"/>
  <c r="E7" i="42"/>
  <c r="E122" i="42"/>
  <c r="P122" i="42"/>
  <c r="P133" i="42"/>
  <c r="N105" i="42"/>
  <c r="L105" i="42"/>
  <c r="J105" i="42"/>
  <c r="H105" i="42"/>
  <c r="F105" i="42"/>
  <c r="E105" i="42"/>
  <c r="P105" i="42"/>
  <c r="P135" i="42"/>
  <c r="Q125" i="42"/>
  <c r="Q126" i="42"/>
  <c r="Q124" i="42"/>
  <c r="K31" i="2"/>
  <c r="K29" i="2"/>
  <c r="K30" i="2"/>
  <c r="K32" i="2"/>
  <c r="K33" i="2"/>
  <c r="K13" i="2"/>
  <c r="K14" i="2"/>
  <c r="K15" i="2"/>
  <c r="K16" i="2"/>
  <c r="K17" i="2"/>
  <c r="K18" i="2"/>
  <c r="K19" i="2"/>
  <c r="K20" i="2"/>
  <c r="K21" i="2"/>
  <c r="K22" i="2"/>
  <c r="K23" i="2"/>
  <c r="K24" i="2"/>
  <c r="L24" i="2"/>
  <c r="R23" i="2"/>
  <c r="L23" i="2"/>
  <c r="M23" i="2"/>
  <c r="Q122" i="42"/>
  <c r="Q123" i="42"/>
  <c r="R17" i="2"/>
  <c r="L17" i="2"/>
  <c r="R20" i="2"/>
  <c r="L19" i="2"/>
  <c r="M20" i="2"/>
  <c r="M17" i="2"/>
  <c r="F38" i="39"/>
  <c r="J38" i="39"/>
  <c r="J94" i="39"/>
  <c r="E70" i="39"/>
  <c r="L38" i="39"/>
  <c r="L94" i="39"/>
  <c r="H38" i="39"/>
  <c r="F66" i="39"/>
  <c r="H66" i="39"/>
  <c r="H94" i="39"/>
  <c r="F94" i="39"/>
  <c r="E72" i="39"/>
  <c r="E73" i="39"/>
  <c r="E75" i="39"/>
  <c r="E61" i="39"/>
  <c r="E62" i="39"/>
  <c r="E63" i="39"/>
  <c r="E64" i="39"/>
  <c r="E65" i="39"/>
  <c r="E66" i="39"/>
  <c r="E67" i="39"/>
  <c r="E68" i="39"/>
  <c r="E69" i="39"/>
  <c r="E60" i="39"/>
  <c r="F133" i="42"/>
  <c r="E133" i="42"/>
  <c r="G133" i="42"/>
  <c r="H133" i="42"/>
  <c r="I133" i="42"/>
  <c r="J133" i="42"/>
  <c r="K133" i="42"/>
  <c r="L133" i="42"/>
  <c r="M133" i="42"/>
  <c r="N133" i="42"/>
  <c r="F106" i="39"/>
  <c r="F108" i="39"/>
  <c r="H106" i="39"/>
  <c r="H108" i="39"/>
  <c r="J106" i="39"/>
  <c r="J108" i="39"/>
  <c r="L106" i="39"/>
  <c r="L108" i="39"/>
  <c r="N38" i="39"/>
  <c r="N66" i="39"/>
  <c r="N94" i="39"/>
  <c r="N106" i="39"/>
  <c r="N108" i="39"/>
  <c r="P30" i="39"/>
  <c r="P38" i="39"/>
  <c r="P66" i="39"/>
  <c r="P94" i="39"/>
  <c r="P106" i="39"/>
  <c r="P108" i="39"/>
  <c r="R38" i="39"/>
  <c r="R94" i="39"/>
  <c r="R106" i="39"/>
  <c r="R108" i="39"/>
  <c r="T30" i="39"/>
  <c r="T38" i="39"/>
  <c r="T94" i="39"/>
  <c r="T106" i="39"/>
  <c r="T108" i="39"/>
  <c r="X30" i="39"/>
  <c r="X94" i="39"/>
  <c r="X106" i="39"/>
  <c r="X108" i="39"/>
  <c r="V106" i="39"/>
  <c r="V94" i="39"/>
  <c r="V108" i="39"/>
  <c r="E24" i="39"/>
  <c r="E25" i="39"/>
  <c r="E26" i="39"/>
  <c r="E30" i="39"/>
  <c r="E33" i="39"/>
  <c r="E34" i="39"/>
  <c r="E39" i="39"/>
  <c r="E40" i="39"/>
  <c r="E41" i="39"/>
  <c r="E42" i="39"/>
  <c r="E43" i="39"/>
  <c r="E46" i="39"/>
  <c r="E47" i="39"/>
  <c r="E56" i="39"/>
  <c r="E94" i="39"/>
  <c r="E106" i="39"/>
  <c r="E108" i="39"/>
  <c r="D94" i="39"/>
  <c r="D106" i="39"/>
  <c r="D108" i="39"/>
  <c r="Q17" i="42"/>
  <c r="F155" i="42"/>
  <c r="F156" i="42"/>
  <c r="F153" i="42"/>
  <c r="F154" i="42"/>
  <c r="E152" i="42"/>
  <c r="E157" i="42"/>
  <c r="E158" i="42"/>
  <c r="E163" i="42"/>
  <c r="Q12" i="42"/>
  <c r="Q9" i="42"/>
  <c r="Q10" i="42"/>
  <c r="Q11" i="42"/>
  <c r="Q13" i="42"/>
  <c r="Q14" i="42"/>
  <c r="Q15" i="42"/>
  <c r="Q16" i="42"/>
  <c r="Q8" i="42"/>
  <c r="Q7" i="42"/>
  <c r="O105" i="42"/>
  <c r="G105" i="42"/>
  <c r="I105" i="42"/>
  <c r="K105" i="42"/>
  <c r="M105" i="42"/>
  <c r="Q105" i="42"/>
  <c r="Q101" i="42"/>
  <c r="Q99" i="42"/>
  <c r="Q92" i="42"/>
  <c r="Q85" i="42"/>
  <c r="Q76" i="42"/>
  <c r="Q63" i="42"/>
  <c r="Q55" i="42"/>
  <c r="Q47" i="42"/>
  <c r="Q34" i="42"/>
  <c r="Q19" i="42"/>
  <c r="Q119" i="42"/>
  <c r="U119" i="42"/>
  <c r="Q133" i="42"/>
  <c r="Q135" i="42"/>
  <c r="Q144" i="42"/>
  <c r="Q139" i="42"/>
  <c r="Q143" i="42"/>
  <c r="Q140" i="42"/>
  <c r="Q141" i="42"/>
  <c r="Q146" i="42"/>
  <c r="E139" i="42"/>
  <c r="P19" i="42"/>
  <c r="P9" i="42"/>
  <c r="P10" i="42"/>
  <c r="P11" i="42"/>
  <c r="P12" i="42"/>
  <c r="P13" i="42"/>
  <c r="P14" i="42"/>
  <c r="P15" i="42"/>
  <c r="P16" i="42"/>
  <c r="P17" i="42"/>
  <c r="P8" i="42"/>
  <c r="P7" i="42"/>
  <c r="P101" i="42"/>
  <c r="P99" i="42"/>
  <c r="P92" i="42"/>
  <c r="P85" i="42"/>
  <c r="P76" i="42"/>
  <c r="P63" i="42"/>
  <c r="P55" i="42"/>
  <c r="P47" i="42"/>
  <c r="P34" i="42"/>
  <c r="P119" i="42"/>
  <c r="Q56" i="42"/>
  <c r="Q57" i="42"/>
  <c r="Q58" i="42"/>
  <c r="T58" i="42"/>
  <c r="Q107" i="42"/>
  <c r="Q109" i="42"/>
  <c r="R122" i="42"/>
  <c r="R123" i="42"/>
  <c r="R124" i="42"/>
  <c r="R125" i="42"/>
  <c r="R126" i="42"/>
  <c r="S124" i="42"/>
  <c r="R131" i="42"/>
  <c r="R130" i="42"/>
  <c r="R132" i="42"/>
  <c r="R129" i="42"/>
  <c r="S130" i="42"/>
  <c r="R127" i="42"/>
  <c r="R128" i="42"/>
  <c r="S127" i="42"/>
  <c r="R105" i="42"/>
  <c r="P32" i="42"/>
  <c r="Q32" i="42"/>
  <c r="R32" i="42"/>
  <c r="Q62" i="42"/>
  <c r="R63" i="42"/>
  <c r="R76" i="42"/>
  <c r="R62" i="42"/>
  <c r="P62" i="42"/>
  <c r="H1" i="42"/>
  <c r="I1" i="42"/>
  <c r="P84" i="42"/>
  <c r="Q84" i="42"/>
  <c r="R92" i="42"/>
  <c r="R85" i="42"/>
  <c r="R99" i="42"/>
  <c r="R101" i="42"/>
  <c r="R84" i="42"/>
  <c r="J10" i="25"/>
  <c r="J22" i="25"/>
  <c r="J15" i="25"/>
  <c r="J19" i="25"/>
  <c r="J9" i="25"/>
  <c r="J41" i="25"/>
  <c r="J39" i="25"/>
  <c r="J35" i="25"/>
  <c r="J32" i="25"/>
  <c r="J28" i="25"/>
  <c r="J45" i="25"/>
  <c r="G38" i="25"/>
  <c r="I38" i="25"/>
  <c r="P38" i="25"/>
  <c r="P35" i="25"/>
  <c r="P32" i="25"/>
  <c r="P28" i="25"/>
  <c r="P39" i="25"/>
  <c r="P45" i="25"/>
  <c r="AO11" i="25"/>
  <c r="AO12" i="25"/>
  <c r="AO14" i="25"/>
  <c r="AO13" i="25"/>
  <c r="AO10" i="25"/>
  <c r="AO30" i="25"/>
  <c r="AO31" i="25"/>
  <c r="AO29" i="25"/>
  <c r="AO28" i="25"/>
  <c r="AO33" i="25"/>
  <c r="AO34" i="25"/>
  <c r="AO32" i="25"/>
  <c r="AO36" i="25"/>
  <c r="AO37" i="25"/>
  <c r="AO38" i="25"/>
  <c r="AO35" i="25"/>
  <c r="AO41" i="25"/>
  <c r="AO40" i="25"/>
  <c r="AO39" i="25"/>
  <c r="AO20" i="25"/>
  <c r="AO21" i="25"/>
  <c r="AO19" i="25"/>
  <c r="AO23" i="25"/>
  <c r="AO25" i="25"/>
  <c r="AO26" i="25"/>
  <c r="AO24" i="25"/>
  <c r="AO22" i="25"/>
  <c r="O26" i="25"/>
  <c r="G84" i="42"/>
  <c r="F84" i="42"/>
  <c r="F61" i="42"/>
  <c r="E39" i="25"/>
  <c r="G39" i="25"/>
  <c r="H41" i="25"/>
  <c r="H39" i="25"/>
  <c r="I39" i="25"/>
  <c r="K39" i="25"/>
  <c r="L39" i="25"/>
  <c r="M39" i="25"/>
  <c r="N39" i="25"/>
  <c r="K38" i="25"/>
  <c r="G61" i="42"/>
  <c r="H5" i="42"/>
  <c r="I5" i="42"/>
  <c r="J5" i="42"/>
  <c r="K5" i="42"/>
  <c r="L5" i="42"/>
  <c r="M5" i="42"/>
  <c r="N5" i="42"/>
  <c r="O5" i="42"/>
  <c r="F5" i="42"/>
  <c r="G5" i="42"/>
  <c r="G46" i="42"/>
  <c r="Q24" i="42"/>
  <c r="P24" i="42"/>
  <c r="R24" i="42"/>
  <c r="Q21" i="42"/>
  <c r="P21" i="42"/>
  <c r="R21" i="42"/>
  <c r="Q22" i="42"/>
  <c r="P22" i="42"/>
  <c r="R22" i="42"/>
  <c r="Q23" i="42"/>
  <c r="P23" i="42"/>
  <c r="R23" i="42"/>
  <c r="Q25" i="42"/>
  <c r="P25" i="42"/>
  <c r="R25" i="42"/>
  <c r="Q26" i="42"/>
  <c r="P26" i="42"/>
  <c r="R26" i="42"/>
  <c r="Q27" i="42"/>
  <c r="P27" i="42"/>
  <c r="R27" i="42"/>
  <c r="Q28" i="42"/>
  <c r="P28" i="42"/>
  <c r="R28" i="42"/>
  <c r="Q29" i="42"/>
  <c r="P29" i="42"/>
  <c r="R29" i="42"/>
  <c r="Q30" i="42"/>
  <c r="P30" i="42"/>
  <c r="R30" i="42"/>
  <c r="Q31" i="42"/>
  <c r="P31" i="42"/>
  <c r="R31" i="42"/>
  <c r="Q20" i="42"/>
  <c r="P20" i="42"/>
  <c r="R20" i="42"/>
  <c r="S31" i="42"/>
  <c r="K10" i="25"/>
  <c r="K15" i="25"/>
  <c r="K22" i="25"/>
  <c r="K19" i="25"/>
  <c r="K9" i="25"/>
  <c r="L10" i="25"/>
  <c r="L15" i="25"/>
  <c r="L9" i="25"/>
  <c r="M10" i="25"/>
  <c r="M15" i="25"/>
  <c r="M9" i="25"/>
  <c r="N10" i="25"/>
  <c r="N15" i="25"/>
  <c r="N9" i="25"/>
  <c r="G11" i="25"/>
  <c r="I11" i="25"/>
  <c r="G12" i="25"/>
  <c r="I12" i="25"/>
  <c r="G14" i="25"/>
  <c r="I14" i="25"/>
  <c r="G13" i="25"/>
  <c r="I13" i="25"/>
  <c r="I10" i="25"/>
  <c r="G16" i="25"/>
  <c r="I16" i="25"/>
  <c r="I15" i="25"/>
  <c r="G23" i="25"/>
  <c r="I23" i="25"/>
  <c r="G24" i="25"/>
  <c r="I24" i="25"/>
  <c r="G25" i="25"/>
  <c r="I25" i="25"/>
  <c r="G26" i="25"/>
  <c r="I26" i="25"/>
  <c r="I22" i="25"/>
  <c r="G20" i="25"/>
  <c r="I20" i="25"/>
  <c r="G21" i="25"/>
  <c r="I21" i="25"/>
  <c r="I19" i="25"/>
  <c r="I9" i="25"/>
  <c r="H10" i="25"/>
  <c r="H15" i="25"/>
  <c r="H22" i="25"/>
  <c r="H19" i="25"/>
  <c r="H9" i="25"/>
  <c r="G10" i="25"/>
  <c r="G15" i="25"/>
  <c r="G22" i="25"/>
  <c r="G19" i="25"/>
  <c r="G9" i="25"/>
  <c r="G35" i="25"/>
  <c r="G33" i="25"/>
  <c r="G34" i="25"/>
  <c r="G32" i="25"/>
  <c r="G29" i="25"/>
  <c r="G30" i="25"/>
  <c r="G31" i="25"/>
  <c r="G28" i="25"/>
  <c r="G45" i="25"/>
  <c r="E10" i="25"/>
  <c r="E15" i="25"/>
  <c r="E22" i="25"/>
  <c r="E19" i="25"/>
  <c r="E9" i="25"/>
  <c r="R47" i="42"/>
  <c r="R55" i="42"/>
  <c r="R46" i="42"/>
  <c r="G24" i="2"/>
  <c r="G33" i="2"/>
  <c r="G36" i="2"/>
  <c r="F33" i="2"/>
  <c r="F24" i="2"/>
  <c r="F36" i="2"/>
  <c r="H33" i="2"/>
  <c r="H24" i="2"/>
  <c r="H36" i="2"/>
  <c r="I33" i="2"/>
  <c r="I24" i="2"/>
  <c r="I36" i="2"/>
  <c r="J33" i="2"/>
  <c r="J24" i="2"/>
  <c r="J36" i="2"/>
  <c r="K36" i="2"/>
  <c r="P139" i="42"/>
  <c r="E140" i="42"/>
  <c r="P140" i="42"/>
  <c r="E141" i="42"/>
  <c r="P141" i="42"/>
  <c r="E142" i="42"/>
  <c r="P142" i="42"/>
  <c r="P143" i="42"/>
  <c r="P144" i="42"/>
  <c r="P146" i="42"/>
  <c r="P147" i="42"/>
  <c r="E146" i="42"/>
  <c r="P134" i="42"/>
  <c r="O133" i="42"/>
  <c r="R34" i="42"/>
  <c r="R19" i="42"/>
  <c r="R8" i="42"/>
  <c r="R9" i="42"/>
  <c r="R10" i="42"/>
  <c r="R11" i="42"/>
  <c r="R12" i="42"/>
  <c r="R13" i="42"/>
  <c r="R14" i="42"/>
  <c r="R15" i="42"/>
  <c r="R16" i="42"/>
  <c r="R17" i="42"/>
  <c r="R7" i="42"/>
  <c r="R117" i="42"/>
  <c r="R119" i="42"/>
  <c r="Q115" i="42"/>
  <c r="P115" i="42"/>
  <c r="R115" i="42"/>
  <c r="Q114" i="42"/>
  <c r="P114" i="42"/>
  <c r="R114" i="42"/>
  <c r="Q113" i="42"/>
  <c r="P113" i="42"/>
  <c r="R113" i="42"/>
  <c r="Q112" i="42"/>
  <c r="P112" i="42"/>
  <c r="R112" i="42"/>
  <c r="Q111" i="42"/>
  <c r="P111" i="42"/>
  <c r="R111" i="42"/>
  <c r="Q110" i="42"/>
  <c r="P110" i="42"/>
  <c r="R110" i="42"/>
  <c r="P109" i="42"/>
  <c r="R109" i="42"/>
  <c r="Q108" i="42"/>
  <c r="P108" i="42"/>
  <c r="R108" i="42"/>
  <c r="P107" i="42"/>
  <c r="R107" i="42"/>
  <c r="Q106" i="42"/>
  <c r="P106" i="42"/>
  <c r="R106" i="42"/>
  <c r="Q104" i="42"/>
  <c r="P104" i="42"/>
  <c r="R104" i="42"/>
  <c r="Q103" i="42"/>
  <c r="P103" i="42"/>
  <c r="R103" i="42"/>
  <c r="Q102" i="42"/>
  <c r="P102" i="42"/>
  <c r="R102" i="42"/>
  <c r="Q100" i="42"/>
  <c r="P100" i="42"/>
  <c r="R100" i="42"/>
  <c r="Q97" i="42"/>
  <c r="P97" i="42"/>
  <c r="R97" i="42"/>
  <c r="Q96" i="42"/>
  <c r="P96" i="42"/>
  <c r="R96" i="42"/>
  <c r="Q95" i="42"/>
  <c r="P95" i="42"/>
  <c r="R95" i="42"/>
  <c r="Q94" i="42"/>
  <c r="P94" i="42"/>
  <c r="R94" i="42"/>
  <c r="Q93" i="42"/>
  <c r="P93" i="42"/>
  <c r="R93" i="42"/>
  <c r="Q90" i="42"/>
  <c r="P90" i="42"/>
  <c r="R90" i="42"/>
  <c r="Q89" i="42"/>
  <c r="P89" i="42"/>
  <c r="R89" i="42"/>
  <c r="Q88" i="42"/>
  <c r="P88" i="42"/>
  <c r="R88" i="42"/>
  <c r="Q87" i="42"/>
  <c r="P87" i="42"/>
  <c r="R87" i="42"/>
  <c r="Q86" i="42"/>
  <c r="P86" i="42"/>
  <c r="R86" i="42"/>
  <c r="Q82" i="42"/>
  <c r="P82" i="42"/>
  <c r="R82" i="42"/>
  <c r="Q81" i="42"/>
  <c r="P81" i="42"/>
  <c r="R81" i="42"/>
  <c r="Q80" i="42"/>
  <c r="P80" i="42"/>
  <c r="R80" i="42"/>
  <c r="Q79" i="42"/>
  <c r="P79" i="42"/>
  <c r="R79" i="42"/>
  <c r="Q78" i="42"/>
  <c r="P78" i="42"/>
  <c r="R78" i="42"/>
  <c r="Q77" i="42"/>
  <c r="P77" i="42"/>
  <c r="R77" i="42"/>
  <c r="Q74" i="42"/>
  <c r="P74" i="42"/>
  <c r="R74" i="42"/>
  <c r="Q73" i="42"/>
  <c r="P73" i="42"/>
  <c r="R73" i="42"/>
  <c r="Q72" i="42"/>
  <c r="P72" i="42"/>
  <c r="R72" i="42"/>
  <c r="Q71" i="42"/>
  <c r="P71" i="42"/>
  <c r="R71" i="42"/>
  <c r="Q70" i="42"/>
  <c r="P70" i="42"/>
  <c r="R70" i="42"/>
  <c r="Q69" i="42"/>
  <c r="P69" i="42"/>
  <c r="R69" i="42"/>
  <c r="Q68" i="42"/>
  <c r="P68" i="42"/>
  <c r="R68" i="42"/>
  <c r="Q67" i="42"/>
  <c r="P67" i="42"/>
  <c r="R67" i="42"/>
  <c r="Q66" i="42"/>
  <c r="P66" i="42"/>
  <c r="R66" i="42"/>
  <c r="Q65" i="42"/>
  <c r="P65" i="42"/>
  <c r="R65" i="42"/>
  <c r="Q64" i="42"/>
  <c r="P64" i="42"/>
  <c r="R64" i="42"/>
  <c r="Q60" i="42"/>
  <c r="P60" i="42"/>
  <c r="R60" i="42"/>
  <c r="Q59" i="42"/>
  <c r="P59" i="42"/>
  <c r="R59" i="42"/>
  <c r="P58" i="42"/>
  <c r="R58" i="42"/>
  <c r="P57" i="42"/>
  <c r="R57" i="42"/>
  <c r="P56" i="42"/>
  <c r="R56" i="42"/>
  <c r="Q54" i="42"/>
  <c r="P54" i="42"/>
  <c r="R54" i="42"/>
  <c r="Q53" i="42"/>
  <c r="P53" i="42"/>
  <c r="R53" i="42"/>
  <c r="Q52" i="42"/>
  <c r="P52" i="42"/>
  <c r="R52" i="42"/>
  <c r="Q51" i="42"/>
  <c r="P51" i="42"/>
  <c r="R51" i="42"/>
  <c r="Q50" i="42"/>
  <c r="P50" i="42"/>
  <c r="R50" i="42"/>
  <c r="Q49" i="42"/>
  <c r="P49" i="42"/>
  <c r="R49" i="42"/>
  <c r="Q48" i="42"/>
  <c r="P48" i="42"/>
  <c r="R48" i="42"/>
  <c r="Q46" i="42"/>
  <c r="P46" i="42"/>
  <c r="Q45" i="42"/>
  <c r="P45" i="42"/>
  <c r="R45" i="42"/>
  <c r="Q44" i="42"/>
  <c r="P44" i="42"/>
  <c r="R44" i="42"/>
  <c r="Q43" i="42"/>
  <c r="P43" i="42"/>
  <c r="R43" i="42"/>
  <c r="Q42" i="42"/>
  <c r="P42" i="42"/>
  <c r="R42" i="42"/>
  <c r="Q41" i="42"/>
  <c r="P41" i="42"/>
  <c r="R41" i="42"/>
  <c r="Q40" i="42"/>
  <c r="P40" i="42"/>
  <c r="R40" i="42"/>
  <c r="Q39" i="42"/>
  <c r="P39" i="42"/>
  <c r="R39" i="42"/>
  <c r="Q38" i="42"/>
  <c r="P38" i="42"/>
  <c r="R38" i="42"/>
  <c r="Q37" i="42"/>
  <c r="P37" i="42"/>
  <c r="R37" i="42"/>
  <c r="Q36" i="42"/>
  <c r="P36" i="42"/>
  <c r="R36" i="42"/>
  <c r="Q35" i="42"/>
  <c r="P35" i="42"/>
  <c r="R35" i="42"/>
  <c r="N28" i="2"/>
  <c r="N31" i="2"/>
  <c r="N29" i="2"/>
  <c r="N30" i="2"/>
  <c r="N32" i="2"/>
  <c r="N35" i="2"/>
  <c r="L35" i="25"/>
  <c r="M35" i="25"/>
  <c r="N35" i="25"/>
  <c r="L28" i="25"/>
  <c r="M28" i="25"/>
  <c r="N28" i="25"/>
  <c r="E35" i="25"/>
  <c r="E32" i="25"/>
  <c r="E28" i="25"/>
  <c r="H38" i="25"/>
  <c r="AO44" i="25"/>
  <c r="AO43" i="25"/>
  <c r="AO42" i="25"/>
  <c r="H37" i="25"/>
  <c r="K37" i="25"/>
  <c r="H36" i="25"/>
  <c r="K36" i="25"/>
  <c r="I34" i="25"/>
  <c r="I33" i="25"/>
  <c r="N32" i="25"/>
  <c r="N45" i="25"/>
  <c r="M32" i="25"/>
  <c r="M45" i="25"/>
  <c r="L32" i="25"/>
  <c r="L45" i="25"/>
  <c r="I31" i="25"/>
  <c r="I30" i="25"/>
  <c r="I29" i="25"/>
  <c r="H35" i="25"/>
  <c r="I28" i="25"/>
  <c r="H28" i="25"/>
  <c r="I32" i="25"/>
  <c r="K28" i="25"/>
  <c r="K35" i="25"/>
  <c r="I35" i="25"/>
  <c r="H32" i="25"/>
  <c r="K32" i="25"/>
  <c r="B7" i="22"/>
  <c r="AE7" i="22"/>
  <c r="AB20" i="22"/>
  <c r="B9" i="22"/>
  <c r="P9" i="22"/>
  <c r="O9" i="22"/>
  <c r="AA9" i="22"/>
  <c r="AC9" i="22"/>
  <c r="AD9" i="22"/>
  <c r="B11" i="22"/>
  <c r="AE11" i="22"/>
  <c r="AE9" i="22"/>
  <c r="B19" i="22"/>
  <c r="B18" i="22"/>
  <c r="B17" i="22"/>
  <c r="B16" i="22"/>
  <c r="B15" i="22"/>
  <c r="B14" i="22"/>
  <c r="B13" i="22"/>
  <c r="B12" i="22"/>
  <c r="B10" i="22"/>
  <c r="B8" i="22"/>
  <c r="M3" i="22"/>
  <c r="P7" i="22"/>
  <c r="Y3" i="22"/>
  <c r="W3" i="22"/>
  <c r="U3" i="22"/>
  <c r="S3" i="22"/>
  <c r="Q3" i="22"/>
  <c r="O3" i="22"/>
  <c r="K3" i="22"/>
  <c r="I3" i="22"/>
  <c r="G3" i="22"/>
  <c r="Z8" i="22"/>
  <c r="AF9" i="22"/>
  <c r="Y13" i="22"/>
  <c r="AE13" i="22"/>
  <c r="Z17" i="22"/>
  <c r="AE17" i="22"/>
  <c r="R11" i="22"/>
  <c r="X8" i="22"/>
  <c r="AE8" i="22"/>
  <c r="B20" i="22"/>
  <c r="B21" i="22"/>
  <c r="X14" i="22"/>
  <c r="AE14" i="22"/>
  <c r="Z18" i="22"/>
  <c r="AE18" i="22"/>
  <c r="W10" i="22"/>
  <c r="AE10" i="22"/>
  <c r="Y15" i="22"/>
  <c r="AE15" i="22"/>
  <c r="Y19" i="22"/>
  <c r="AE19" i="22"/>
  <c r="X12" i="22"/>
  <c r="AE12" i="22"/>
  <c r="Z16" i="22"/>
  <c r="AE16" i="22"/>
  <c r="Q11" i="22"/>
  <c r="AA11" i="22"/>
  <c r="AC11" i="22"/>
  <c r="AD11" i="22"/>
  <c r="AF11" i="22"/>
  <c r="R8" i="22"/>
  <c r="J8" i="22"/>
  <c r="O14" i="22"/>
  <c r="S14" i="22"/>
  <c r="V8" i="22"/>
  <c r="M8" i="22"/>
  <c r="O8" i="22"/>
  <c r="U8" i="22"/>
  <c r="Y12" i="22"/>
  <c r="Q12" i="22"/>
  <c r="Z12" i="22"/>
  <c r="Y16" i="22"/>
  <c r="N8" i="22"/>
  <c r="Y8" i="22"/>
  <c r="R12" i="22"/>
  <c r="Z19" i="22"/>
  <c r="K8" i="22"/>
  <c r="S8" i="22"/>
  <c r="I8" i="22"/>
  <c r="Q8" i="22"/>
  <c r="S12" i="22"/>
  <c r="Z15" i="22"/>
  <c r="V12" i="22"/>
  <c r="N7" i="22"/>
  <c r="N10" i="22"/>
  <c r="M12" i="22"/>
  <c r="O7" i="22"/>
  <c r="S7" i="22"/>
  <c r="K10" i="22"/>
  <c r="S10" i="22"/>
  <c r="N12" i="22"/>
  <c r="P14" i="22"/>
  <c r="T14" i="22"/>
  <c r="Y17" i="22"/>
  <c r="H7" i="22"/>
  <c r="L7" i="22"/>
  <c r="T7" i="22"/>
  <c r="X7" i="22"/>
  <c r="W8" i="22"/>
  <c r="L10" i="22"/>
  <c r="P10" i="22"/>
  <c r="T10" i="22"/>
  <c r="X10" i="22"/>
  <c r="O12" i="22"/>
  <c r="W12" i="22"/>
  <c r="Z13" i="22"/>
  <c r="AA13" i="22"/>
  <c r="AC13" i="22"/>
  <c r="AD13" i="22"/>
  <c r="M14" i="22"/>
  <c r="Q14" i="22"/>
  <c r="U14" i="22"/>
  <c r="Y14" i="22"/>
  <c r="Y18" i="22"/>
  <c r="I7" i="22"/>
  <c r="M7" i="22"/>
  <c r="Q7" i="22"/>
  <c r="U7" i="22"/>
  <c r="Y7" i="22"/>
  <c r="L8" i="22"/>
  <c r="P8" i="22"/>
  <c r="T8" i="22"/>
  <c r="M10" i="22"/>
  <c r="Q10" i="22"/>
  <c r="U10" i="22"/>
  <c r="Y10" i="22"/>
  <c r="P12" i="22"/>
  <c r="T12" i="22"/>
  <c r="N14" i="22"/>
  <c r="R14" i="22"/>
  <c r="V14" i="22"/>
  <c r="Z14" i="22"/>
  <c r="V7" i="22"/>
  <c r="V10" i="22"/>
  <c r="U12" i="22"/>
  <c r="W14" i="22"/>
  <c r="J7" i="22"/>
  <c r="Z7" i="22"/>
  <c r="R10" i="22"/>
  <c r="Z10" i="22"/>
  <c r="G7" i="22"/>
  <c r="R7" i="22"/>
  <c r="K7" i="22"/>
  <c r="W7" i="22"/>
  <c r="O10" i="22"/>
  <c r="AA19" i="22"/>
  <c r="AC19" i="22"/>
  <c r="AD19" i="22"/>
  <c r="AF19" i="22"/>
  <c r="AA16" i="22"/>
  <c r="AC16" i="22"/>
  <c r="AD16" i="22"/>
  <c r="AF16" i="22"/>
  <c r="AF13" i="22"/>
  <c r="AA17" i="22"/>
  <c r="AC17" i="22"/>
  <c r="AD17" i="22"/>
  <c r="AF17" i="22"/>
  <c r="AA15" i="22"/>
  <c r="AC15" i="22"/>
  <c r="AD15" i="22"/>
  <c r="AF15" i="22"/>
  <c r="AA18" i="22"/>
  <c r="AC18" i="22"/>
  <c r="AD18" i="22"/>
  <c r="AF18" i="22"/>
  <c r="AA8" i="22"/>
  <c r="AC8" i="22"/>
  <c r="AD8" i="22"/>
  <c r="AF8" i="22"/>
  <c r="AA14" i="22"/>
  <c r="AC14" i="22"/>
  <c r="AD14" i="22"/>
  <c r="AF14" i="22"/>
  <c r="AA7" i="22"/>
  <c r="AC7" i="22"/>
  <c r="AA12" i="22"/>
  <c r="AC12" i="22"/>
  <c r="AD12" i="22"/>
  <c r="AF12" i="22"/>
  <c r="AA10" i="22"/>
  <c r="AC10" i="22"/>
  <c r="AD10" i="22"/>
  <c r="AF10" i="22"/>
  <c r="AD7" i="22"/>
  <c r="AF7" i="22"/>
  <c r="AF20" i="22"/>
  <c r="K10" i="20"/>
  <c r="K23" i="20"/>
  <c r="K24" i="20"/>
  <c r="K25" i="20"/>
  <c r="L14" i="20"/>
  <c r="K14" i="20"/>
  <c r="L17" i="20"/>
  <c r="K17" i="20"/>
  <c r="L16" i="20"/>
  <c r="K16" i="20"/>
  <c r="M15" i="20"/>
  <c r="L15" i="20"/>
  <c r="K15" i="20"/>
  <c r="L18" i="20"/>
  <c r="K18" i="20"/>
  <c r="L22" i="20"/>
  <c r="K22" i="20"/>
  <c r="M59" i="20"/>
  <c r="L59" i="20"/>
  <c r="K59" i="20"/>
  <c r="M58" i="20"/>
  <c r="L58" i="20"/>
  <c r="K58" i="20"/>
  <c r="M57" i="20"/>
  <c r="L57" i="20"/>
  <c r="K57" i="20"/>
  <c r="M56" i="20"/>
  <c r="L56" i="20"/>
  <c r="K56" i="20"/>
  <c r="M55" i="20"/>
  <c r="L55" i="20"/>
  <c r="K55" i="20"/>
  <c r="M54" i="20"/>
  <c r="L54" i="20"/>
  <c r="K54" i="20"/>
  <c r="L53" i="20"/>
  <c r="K53" i="20"/>
  <c r="L52" i="20"/>
  <c r="K52" i="20"/>
  <c r="L51" i="20"/>
  <c r="K51" i="20"/>
  <c r="L50" i="20"/>
  <c r="K50" i="20"/>
  <c r="F50" i="20"/>
  <c r="L49" i="20"/>
  <c r="K49" i="20"/>
  <c r="L48" i="20"/>
  <c r="K48" i="20"/>
  <c r="L47" i="20"/>
  <c r="K47" i="20"/>
  <c r="L46" i="20"/>
  <c r="K46" i="20"/>
  <c r="D46" i="20"/>
  <c r="M45" i="20"/>
  <c r="L45" i="20"/>
  <c r="K45" i="20"/>
  <c r="M44" i="20"/>
  <c r="L44" i="20"/>
  <c r="K44" i="20"/>
  <c r="M43" i="20"/>
  <c r="L43" i="20"/>
  <c r="K43" i="20"/>
  <c r="M42" i="20"/>
  <c r="L42" i="20"/>
  <c r="K42" i="20"/>
  <c r="D42" i="20"/>
  <c r="L41" i="20"/>
  <c r="K41" i="20"/>
  <c r="L40" i="20"/>
  <c r="K40" i="20"/>
  <c r="M39" i="20"/>
  <c r="L39" i="20"/>
  <c r="K39" i="20"/>
  <c r="M38" i="20"/>
  <c r="L38" i="20"/>
  <c r="K38" i="20"/>
  <c r="F37" i="20"/>
  <c r="L36" i="20"/>
  <c r="K36" i="20"/>
  <c r="L35" i="20"/>
  <c r="K35" i="20"/>
  <c r="M34" i="20"/>
  <c r="L34" i="20"/>
  <c r="K34" i="20"/>
  <c r="M33" i="20"/>
  <c r="L33" i="20"/>
  <c r="K33" i="20"/>
  <c r="M31" i="20"/>
  <c r="L31" i="20"/>
  <c r="K31" i="20"/>
  <c r="M30" i="20"/>
  <c r="L30" i="20"/>
  <c r="K30" i="20"/>
  <c r="M29" i="20"/>
  <c r="L29" i="20"/>
  <c r="K29" i="20"/>
  <c r="M28" i="20"/>
  <c r="L28" i="20"/>
  <c r="K28" i="20"/>
  <c r="M27" i="20"/>
  <c r="L27" i="20"/>
  <c r="K27" i="20"/>
  <c r="F26" i="20"/>
  <c r="C26" i="20"/>
  <c r="F24" i="20"/>
  <c r="M21" i="20"/>
  <c r="L21" i="20"/>
  <c r="K21" i="20"/>
  <c r="M20" i="20"/>
  <c r="L20" i="20"/>
  <c r="K20" i="20"/>
  <c r="M19" i="20"/>
  <c r="L19" i="20"/>
  <c r="K19" i="20"/>
  <c r="E19" i="20"/>
  <c r="F18" i="20"/>
  <c r="L13" i="20"/>
  <c r="K13" i="20"/>
  <c r="L12" i="20"/>
  <c r="K12" i="20"/>
  <c r="M11" i="20"/>
  <c r="L11" i="20"/>
  <c r="K11" i="20"/>
  <c r="D11" i="20"/>
  <c r="E10" i="20"/>
  <c r="M9" i="20"/>
  <c r="L9" i="20"/>
  <c r="K9" i="20"/>
  <c r="M8" i="20"/>
  <c r="L8" i="20"/>
  <c r="K8" i="20"/>
  <c r="E8" i="20"/>
  <c r="M7" i="20"/>
  <c r="L7" i="20"/>
  <c r="K7" i="20"/>
  <c r="E7" i="20"/>
  <c r="M6" i="20"/>
  <c r="L6" i="20"/>
  <c r="K6" i="20"/>
  <c r="M5" i="20"/>
  <c r="L5" i="20"/>
  <c r="K5" i="20"/>
  <c r="M4" i="20"/>
  <c r="L4" i="20"/>
  <c r="K4" i="20"/>
  <c r="F4" i="20"/>
  <c r="D4" i="20"/>
  <c r="C4" i="20"/>
  <c r="E4" i="20"/>
  <c r="M26" i="20"/>
  <c r="L26" i="20"/>
  <c r="M32" i="20"/>
  <c r="L32" i="20"/>
  <c r="K32" i="20"/>
  <c r="M37" i="20"/>
  <c r="L37" i="20"/>
  <c r="K37" i="20"/>
  <c r="L62" i="20"/>
  <c r="L60" i="20"/>
  <c r="L63" i="20"/>
  <c r="K26" i="20"/>
  <c r="E37" i="18"/>
  <c r="D36" i="18"/>
  <c r="D35" i="18"/>
  <c r="D33" i="18"/>
  <c r="F32" i="18"/>
  <c r="D31" i="18"/>
  <c r="D28" i="18"/>
  <c r="F27" i="18"/>
  <c r="F25" i="18"/>
  <c r="C25" i="18"/>
  <c r="F23" i="18"/>
  <c r="K21" i="18"/>
  <c r="K20" i="18"/>
  <c r="K19" i="18"/>
  <c r="E19" i="18"/>
  <c r="F16" i="18"/>
  <c r="K11" i="18"/>
  <c r="D11" i="18"/>
  <c r="E10" i="18"/>
  <c r="K9" i="18"/>
  <c r="K8" i="18"/>
  <c r="E8" i="18"/>
  <c r="K7" i="18"/>
  <c r="E7" i="18"/>
  <c r="K6" i="18"/>
  <c r="K5" i="18"/>
  <c r="K4" i="18"/>
  <c r="F4" i="18"/>
  <c r="D4" i="18"/>
  <c r="E4" i="18"/>
  <c r="C4" i="18"/>
  <c r="G3" i="12"/>
  <c r="G2" i="12"/>
  <c r="G4" i="12"/>
  <c r="E28" i="11"/>
  <c r="D27" i="11"/>
  <c r="D26" i="11"/>
  <c r="D24" i="11"/>
  <c r="F23" i="11"/>
  <c r="D22" i="11"/>
  <c r="D21" i="11"/>
  <c r="F20" i="11"/>
  <c r="F18" i="11"/>
  <c r="C18" i="11"/>
  <c r="F16" i="11"/>
  <c r="E14" i="11"/>
  <c r="F11" i="11"/>
  <c r="D9" i="11"/>
  <c r="E8" i="11"/>
  <c r="E7" i="11"/>
  <c r="E6" i="11"/>
  <c r="E5" i="11"/>
  <c r="E4" i="11"/>
  <c r="I11" i="4"/>
  <c r="J11" i="4"/>
  <c r="I10" i="4"/>
  <c r="J10" i="4"/>
  <c r="H5" i="10"/>
  <c r="H6" i="10"/>
  <c r="H7" i="10"/>
  <c r="F5" i="10"/>
  <c r="F6" i="10"/>
  <c r="F7" i="10"/>
  <c r="G5" i="10"/>
  <c r="G6" i="10"/>
  <c r="G7" i="10"/>
  <c r="E5" i="10"/>
  <c r="E6" i="10"/>
  <c r="E7" i="10"/>
  <c r="I6" i="10"/>
  <c r="I5" i="10"/>
  <c r="H20" i="7"/>
  <c r="I20" i="7"/>
  <c r="J20" i="7"/>
  <c r="L69" i="8"/>
  <c r="L68" i="8"/>
  <c r="L67" i="8"/>
  <c r="L66" i="8"/>
  <c r="L65" i="8"/>
  <c r="L64" i="8"/>
  <c r="N61" i="8"/>
  <c r="N60" i="8"/>
  <c r="N59" i="8"/>
  <c r="N58" i="8"/>
  <c r="N57" i="8"/>
  <c r="N56" i="8"/>
  <c r="K51" i="8"/>
  <c r="J51" i="8"/>
  <c r="I51" i="8"/>
  <c r="H51" i="8"/>
  <c r="G51" i="8"/>
  <c r="K50" i="8"/>
  <c r="K49" i="8"/>
  <c r="J49" i="8"/>
  <c r="I49" i="8"/>
  <c r="G49" i="8"/>
  <c r="L49" i="8"/>
  <c r="L48" i="8"/>
  <c r="K47" i="8"/>
  <c r="J46" i="8"/>
  <c r="J47" i="8"/>
  <c r="I46" i="8"/>
  <c r="I47" i="8"/>
  <c r="H46" i="8"/>
  <c r="H47" i="8"/>
  <c r="G46" i="8"/>
  <c r="J45" i="8"/>
  <c r="J50" i="8"/>
  <c r="I45" i="8"/>
  <c r="I50" i="8"/>
  <c r="H45" i="8"/>
  <c r="H50" i="8"/>
  <c r="G45" i="8"/>
  <c r="G50" i="8"/>
  <c r="L44" i="8"/>
  <c r="N41" i="8"/>
  <c r="L40" i="8"/>
  <c r="K40" i="8"/>
  <c r="J40" i="8"/>
  <c r="M39" i="8"/>
  <c r="L39" i="8"/>
  <c r="K39" i="8"/>
  <c r="J39" i="8"/>
  <c r="I39" i="8"/>
  <c r="M38" i="8"/>
  <c r="L38" i="8"/>
  <c r="K38" i="8"/>
  <c r="J38" i="8"/>
  <c r="M37" i="8"/>
  <c r="L37" i="8"/>
  <c r="K37" i="8"/>
  <c r="J37" i="8"/>
  <c r="I37" i="8"/>
  <c r="N36" i="8"/>
  <c r="L35" i="8"/>
  <c r="K35" i="8"/>
  <c r="J35" i="8"/>
  <c r="I35" i="8"/>
  <c r="N34" i="8"/>
  <c r="M33" i="8"/>
  <c r="L33" i="8"/>
  <c r="K33" i="8"/>
  <c r="I33" i="8"/>
  <c r="N33" i="8"/>
  <c r="M32" i="8"/>
  <c r="L32" i="8"/>
  <c r="K32" i="8"/>
  <c r="J32" i="8"/>
  <c r="I31" i="8"/>
  <c r="I40" i="8"/>
  <c r="L26" i="8"/>
  <c r="L25" i="8"/>
  <c r="L24" i="8"/>
  <c r="L23" i="8"/>
  <c r="L22" i="8"/>
  <c r="N19" i="8"/>
  <c r="N18" i="8"/>
  <c r="N17" i="8"/>
  <c r="J47" i="7"/>
  <c r="I47" i="7"/>
  <c r="H47" i="7"/>
  <c r="G47" i="7"/>
  <c r="F47" i="7"/>
  <c r="K46" i="7"/>
  <c r="K45" i="7"/>
  <c r="L45" i="7"/>
  <c r="K44" i="7"/>
  <c r="J38" i="7"/>
  <c r="I38" i="7"/>
  <c r="H38" i="7"/>
  <c r="G38" i="7"/>
  <c r="F38" i="7"/>
  <c r="J37" i="7"/>
  <c r="I37" i="7"/>
  <c r="H37" i="7"/>
  <c r="G37" i="7"/>
  <c r="F37" i="7"/>
  <c r="J36" i="7"/>
  <c r="I36" i="7"/>
  <c r="H36" i="7"/>
  <c r="G36" i="7"/>
  <c r="F36" i="7"/>
  <c r="J35" i="7"/>
  <c r="I35" i="7"/>
  <c r="H35" i="7"/>
  <c r="G35" i="7"/>
  <c r="F35" i="7"/>
  <c r="J34" i="7"/>
  <c r="I34" i="7"/>
  <c r="H34" i="7"/>
  <c r="G34" i="7"/>
  <c r="F34" i="7"/>
  <c r="J33" i="7"/>
  <c r="I33" i="7"/>
  <c r="H33" i="7"/>
  <c r="G33" i="7"/>
  <c r="F33" i="7"/>
  <c r="I27" i="7"/>
  <c r="H27" i="7"/>
  <c r="G27" i="7"/>
  <c r="F27" i="7"/>
  <c r="I26" i="7"/>
  <c r="H26" i="7"/>
  <c r="G26" i="7"/>
  <c r="F26" i="7"/>
  <c r="I25" i="7"/>
  <c r="H25" i="7"/>
  <c r="G25" i="7"/>
  <c r="F25" i="7"/>
  <c r="J24" i="7"/>
  <c r="I24" i="7"/>
  <c r="G24" i="7"/>
  <c r="K24" i="7"/>
  <c r="J23" i="7"/>
  <c r="I23" i="7"/>
  <c r="H23" i="7"/>
  <c r="H22" i="7"/>
  <c r="G23" i="7"/>
  <c r="F23" i="7"/>
  <c r="J22" i="7"/>
  <c r="I22" i="7"/>
  <c r="G22" i="7"/>
  <c r="F22" i="7"/>
  <c r="I21" i="7"/>
  <c r="H21" i="7"/>
  <c r="G21" i="7"/>
  <c r="G28" i="7"/>
  <c r="F21" i="7"/>
  <c r="F20" i="7"/>
  <c r="T14" i="7"/>
  <c r="T15" i="7"/>
  <c r="J14" i="7"/>
  <c r="J15" i="7"/>
  <c r="I14" i="7"/>
  <c r="I15" i="7"/>
  <c r="H14" i="7"/>
  <c r="H15" i="7"/>
  <c r="G14" i="7"/>
  <c r="F14" i="7"/>
  <c r="F15" i="7"/>
  <c r="K13" i="7"/>
  <c r="K12" i="7"/>
  <c r="K11" i="7"/>
  <c r="K10" i="7"/>
  <c r="F28" i="7"/>
  <c r="K23" i="7"/>
  <c r="K25" i="7"/>
  <c r="K26" i="7"/>
  <c r="K27" i="7"/>
  <c r="N35" i="8"/>
  <c r="L50" i="8"/>
  <c r="L46" i="8"/>
  <c r="I28" i="7"/>
  <c r="J28" i="7"/>
  <c r="N37" i="8"/>
  <c r="H28" i="7"/>
  <c r="K47" i="7"/>
  <c r="N40" i="8"/>
  <c r="N39" i="8"/>
  <c r="L51" i="8"/>
  <c r="G39" i="7"/>
  <c r="K14" i="7"/>
  <c r="K15" i="7"/>
  <c r="L16" i="7"/>
  <c r="K38" i="7"/>
  <c r="K33" i="7"/>
  <c r="K37" i="7"/>
  <c r="J39" i="7"/>
  <c r="J50" i="7"/>
  <c r="J5" i="7"/>
  <c r="K36" i="7"/>
  <c r="H39" i="7"/>
  <c r="K35" i="7"/>
  <c r="K34" i="7"/>
  <c r="I39" i="7"/>
  <c r="K20" i="7"/>
  <c r="N31" i="8"/>
  <c r="L45" i="8"/>
  <c r="I32" i="8"/>
  <c r="N32" i="8"/>
  <c r="G47" i="8"/>
  <c r="L47" i="8"/>
  <c r="I38" i="8"/>
  <c r="N38" i="8"/>
  <c r="K22" i="7"/>
  <c r="K21" i="7"/>
  <c r="G15" i="7"/>
  <c r="F39" i="7"/>
  <c r="F50" i="7"/>
  <c r="I50" i="7"/>
  <c r="I5" i="7"/>
  <c r="H50" i="7"/>
  <c r="H5" i="7"/>
  <c r="G50" i="7"/>
  <c r="G5" i="7"/>
  <c r="L15" i="7"/>
  <c r="K39" i="7"/>
  <c r="L39" i="7"/>
  <c r="K28" i="7"/>
  <c r="L28" i="7"/>
  <c r="G29" i="7"/>
  <c r="F5" i="7"/>
  <c r="K50" i="7"/>
  <c r="K5" i="7"/>
  <c r="L5" i="7"/>
  <c r="L40" i="7"/>
  <c r="J29" i="7"/>
  <c r="H29" i="7"/>
  <c r="F29" i="7"/>
  <c r="L29" i="7"/>
  <c r="I29" i="7"/>
  <c r="L51" i="7"/>
  <c r="L50" i="7"/>
  <c r="J27" i="6"/>
  <c r="I27" i="6"/>
  <c r="J25" i="6"/>
  <c r="H24" i="6"/>
  <c r="J21" i="6"/>
  <c r="G20" i="6"/>
  <c r="G28" i="6"/>
  <c r="F24" i="6"/>
  <c r="K24" i="6"/>
  <c r="I14" i="6"/>
  <c r="J13" i="6"/>
  <c r="I13" i="6"/>
  <c r="H13" i="6"/>
  <c r="G13" i="6"/>
  <c r="J12" i="6"/>
  <c r="I12" i="6"/>
  <c r="H12" i="6"/>
  <c r="G12" i="6"/>
  <c r="J11" i="6"/>
  <c r="I11" i="6"/>
  <c r="H11" i="6"/>
  <c r="G11" i="6"/>
  <c r="J10" i="6"/>
  <c r="I10" i="6"/>
  <c r="H10" i="6"/>
  <c r="G10" i="6"/>
  <c r="G15" i="6"/>
  <c r="F13" i="6"/>
  <c r="K13" i="6"/>
  <c r="F12" i="6"/>
  <c r="F11" i="6"/>
  <c r="F10" i="6"/>
  <c r="K10" i="6"/>
  <c r="K15" i="6"/>
  <c r="J47" i="6"/>
  <c r="I47" i="6"/>
  <c r="H47" i="6"/>
  <c r="G47" i="6"/>
  <c r="F47" i="6"/>
  <c r="K46" i="6"/>
  <c r="K45" i="6"/>
  <c r="L45" i="6"/>
  <c r="K44" i="6"/>
  <c r="T14" i="6"/>
  <c r="T15" i="6"/>
  <c r="H15" i="6"/>
  <c r="K47" i="6"/>
  <c r="K12" i="6"/>
  <c r="J15" i="6"/>
  <c r="I15" i="6"/>
  <c r="K11" i="6"/>
  <c r="L15" i="6"/>
  <c r="L16" i="6"/>
  <c r="F15" i="6"/>
  <c r="J14" i="6"/>
  <c r="H14" i="6"/>
  <c r="F14" i="6"/>
  <c r="G25" i="6"/>
  <c r="I21" i="6"/>
  <c r="J22" i="6"/>
  <c r="J24" i="6"/>
  <c r="H25" i="6"/>
  <c r="F25" i="6"/>
  <c r="J20" i="6"/>
  <c r="I24" i="6"/>
  <c r="I22" i="6"/>
  <c r="I20" i="6"/>
  <c r="H27" i="6"/>
  <c r="H22" i="6"/>
  <c r="H21" i="6"/>
  <c r="H20" i="6"/>
  <c r="G27" i="6"/>
  <c r="G24" i="6"/>
  <c r="G22" i="6"/>
  <c r="G21" i="6"/>
  <c r="F27" i="6"/>
  <c r="F22" i="6"/>
  <c r="F21" i="6"/>
  <c r="K25" i="6"/>
  <c r="F20" i="6"/>
  <c r="K21" i="6"/>
  <c r="K27" i="6"/>
  <c r="K22" i="6"/>
  <c r="G14" i="6"/>
  <c r="K14" i="6"/>
  <c r="F28" i="6"/>
  <c r="K20" i="6"/>
  <c r="K28" i="6"/>
  <c r="L28" i="6"/>
  <c r="L29" i="6"/>
  <c r="J38" i="6"/>
  <c r="I38" i="6"/>
  <c r="H38" i="6"/>
  <c r="G38" i="6"/>
  <c r="F38" i="6"/>
  <c r="K38" i="6"/>
  <c r="J37" i="6"/>
  <c r="I37" i="6"/>
  <c r="H37" i="6"/>
  <c r="G37" i="6"/>
  <c r="F37" i="6"/>
  <c r="K37" i="6"/>
  <c r="J36" i="6"/>
  <c r="I36" i="6"/>
  <c r="H36" i="6"/>
  <c r="G36" i="6"/>
  <c r="F36" i="6"/>
  <c r="K36" i="6"/>
  <c r="J35" i="6"/>
  <c r="I35" i="6"/>
  <c r="H35" i="6"/>
  <c r="G35" i="6"/>
  <c r="F35" i="6"/>
  <c r="K35" i="6"/>
  <c r="J34" i="6"/>
  <c r="I34" i="6"/>
  <c r="H34" i="6"/>
  <c r="G34" i="6"/>
  <c r="F34" i="6"/>
  <c r="K34" i="6"/>
  <c r="J33" i="6"/>
  <c r="I33" i="6"/>
  <c r="H33" i="6"/>
  <c r="G33" i="6"/>
  <c r="F33" i="6"/>
  <c r="I39" i="6"/>
  <c r="K33" i="6"/>
  <c r="K39" i="6"/>
  <c r="F39" i="6"/>
  <c r="F50" i="6"/>
  <c r="J39" i="6"/>
  <c r="G39" i="6"/>
  <c r="G50" i="6"/>
  <c r="G5" i="6"/>
  <c r="H39" i="6"/>
  <c r="L40" i="6"/>
  <c r="L39" i="6"/>
  <c r="K50" i="6"/>
  <c r="F5" i="6"/>
  <c r="K5" i="6"/>
  <c r="L5" i="6"/>
  <c r="L51" i="6"/>
  <c r="L50" i="6"/>
  <c r="F23" i="6"/>
  <c r="G23" i="6"/>
  <c r="G26" i="6"/>
  <c r="F26" i="6"/>
  <c r="H23" i="6"/>
  <c r="H26" i="6"/>
  <c r="J8" i="2"/>
  <c r="G8" i="2"/>
  <c r="H28" i="6"/>
  <c r="H50" i="6"/>
  <c r="H5" i="6"/>
  <c r="I26" i="6"/>
  <c r="H8" i="2"/>
  <c r="I23" i="6"/>
  <c r="I28" i="6"/>
  <c r="I50" i="6"/>
  <c r="I5" i="6"/>
  <c r="J23" i="6"/>
  <c r="J28" i="6"/>
  <c r="J50" i="6"/>
  <c r="J5" i="6"/>
  <c r="K23" i="6"/>
  <c r="J26" i="6"/>
  <c r="K26" i="6"/>
  <c r="F8" i="2"/>
  <c r="I25" i="6"/>
  <c r="I8" i="2"/>
  <c r="K8" i="2"/>
  <c r="L8" i="2"/>
  <c r="I45" i="25"/>
  <c r="E45" i="25"/>
  <c r="H45" i="25"/>
  <c r="K45" i="25"/>
  <c r="AO45" i="25"/>
</calcChain>
</file>

<file path=xl/comments1.xml><?xml version="1.0" encoding="utf-8"?>
<comments xmlns="http://schemas.openxmlformats.org/spreadsheetml/2006/main">
  <authors>
    <author xml:space="preserve"> </author>
    <author>Pedro Miguel Garberi</author>
  </authors>
  <commentList>
    <comment ref="F10" authorId="0" shapeId="0">
      <text>
        <r>
          <rPr>
            <b/>
            <sz val="8"/>
            <color indexed="81"/>
            <rFont val="Tahoma"/>
            <family val="2"/>
          </rPr>
          <t xml:space="preserve"> :</t>
        </r>
        <r>
          <rPr>
            <sz val="8"/>
            <color indexed="81"/>
            <rFont val="Tahoma"/>
            <family val="2"/>
          </rPr>
          <t xml:space="preserve">
</t>
        </r>
      </text>
    </comment>
    <comment ref="E73" authorId="1" shapeId="0">
      <text>
        <r>
          <rPr>
            <b/>
            <sz val="9"/>
            <color indexed="81"/>
            <rFont val="Tahoma"/>
            <family val="2"/>
          </rPr>
          <t>Pedro Miguel Garberi:</t>
        </r>
        <r>
          <rPr>
            <sz val="9"/>
            <color indexed="81"/>
            <rFont val="Tahoma"/>
            <family val="2"/>
          </rPr>
          <t xml:space="preserve">
Revisar meta FDP
</t>
        </r>
      </text>
    </comment>
  </commentList>
</comments>
</file>

<file path=xl/comments2.xml><?xml version="1.0" encoding="utf-8"?>
<comments xmlns="http://schemas.openxmlformats.org/spreadsheetml/2006/main">
  <authors>
    <author>Pedro Miguel Garberi</author>
  </authors>
  <commentList>
    <comment ref="F14" authorId="0" shapeId="0">
      <text>
        <r>
          <rPr>
            <b/>
            <sz val="9"/>
            <color indexed="81"/>
            <rFont val="Tahoma"/>
            <family val="2"/>
          </rPr>
          <t>Pedro Miguel Garberi:</t>
        </r>
        <r>
          <rPr>
            <sz val="9"/>
            <color indexed="81"/>
            <rFont val="Tahoma"/>
            <family val="2"/>
          </rPr>
          <t xml:space="preserve">
Los 250000 corresponden a taller SIGIRSU
</t>
        </r>
      </text>
    </comment>
    <comment ref="G14" authorId="0" shapeId="0">
      <text>
        <r>
          <rPr>
            <b/>
            <sz val="9"/>
            <color indexed="81"/>
            <rFont val="Tahoma"/>
            <family val="2"/>
          </rPr>
          <t>Pedro Miguel Garberi:</t>
        </r>
        <r>
          <rPr>
            <sz val="9"/>
            <color indexed="81"/>
            <rFont val="Tahoma"/>
            <family val="2"/>
          </rPr>
          <t xml:space="preserve">
Los 250000 corresponden a taller SIGIRSU
</t>
        </r>
      </text>
    </comment>
    <comment ref="I14" authorId="0" shapeId="0">
      <text>
        <r>
          <rPr>
            <b/>
            <sz val="9"/>
            <color indexed="81"/>
            <rFont val="Tahoma"/>
            <family val="2"/>
          </rPr>
          <t>Pedro Miguel Garberi:</t>
        </r>
        <r>
          <rPr>
            <sz val="9"/>
            <color indexed="81"/>
            <rFont val="Tahoma"/>
            <family val="2"/>
          </rPr>
          <t xml:space="preserve">
Los 250000 corresponden a taller SIGIRSU
</t>
        </r>
      </text>
    </comment>
  </commentList>
</comments>
</file>

<file path=xl/comments3.xml><?xml version="1.0" encoding="utf-8"?>
<comments xmlns="http://schemas.openxmlformats.org/spreadsheetml/2006/main">
  <authors>
    <author xml:space="preserve"> </author>
    <author>Pedro Miguel Garberi</author>
  </authors>
  <commentList>
    <comment ref="F6" authorId="0" shapeId="0">
      <text>
        <r>
          <rPr>
            <b/>
            <sz val="8"/>
            <color indexed="81"/>
            <rFont val="Tahoma"/>
            <family val="2"/>
          </rPr>
          <t xml:space="preserve"> :</t>
        </r>
        <r>
          <rPr>
            <sz val="8"/>
            <color indexed="81"/>
            <rFont val="Tahoma"/>
            <family val="2"/>
          </rPr>
          <t xml:space="preserve">
</t>
        </r>
      </text>
    </comment>
    <comment ref="G9" authorId="1" shapeId="0">
      <text>
        <r>
          <rPr>
            <b/>
            <sz val="9"/>
            <color indexed="81"/>
            <rFont val="Tahoma"/>
            <family val="2"/>
          </rPr>
          <t>Pedro Miguel Garberi:</t>
        </r>
        <r>
          <rPr>
            <sz val="9"/>
            <color indexed="81"/>
            <rFont val="Tahoma"/>
            <family val="2"/>
          </rPr>
          <t xml:space="preserve">
Cómo está contruido el valor de la línea base?</t>
        </r>
      </text>
    </comment>
    <comment ref="I9" authorId="1" shapeId="0">
      <text>
        <r>
          <rPr>
            <b/>
            <sz val="9"/>
            <color indexed="81"/>
            <rFont val="Tahoma"/>
            <family val="2"/>
          </rPr>
          <t>Pedro Miguel Garberi:</t>
        </r>
        <r>
          <rPr>
            <sz val="9"/>
            <color indexed="81"/>
            <rFont val="Tahoma"/>
            <family val="2"/>
          </rPr>
          <t xml:space="preserve">
Cómo está contruido el valor de la meta FDP?
</t>
        </r>
      </text>
    </comment>
    <comment ref="G10" authorId="1" shapeId="0">
      <text>
        <r>
          <rPr>
            <b/>
            <sz val="9"/>
            <color indexed="81"/>
            <rFont val="Tahoma"/>
            <family val="2"/>
          </rPr>
          <t>Pedro Miguel Garberi:</t>
        </r>
        <r>
          <rPr>
            <sz val="9"/>
            <color indexed="81"/>
            <rFont val="Tahoma"/>
            <family val="2"/>
          </rPr>
          <t xml:space="preserve">
Revisar la linea de base en función de la nueva definición
</t>
        </r>
      </text>
    </comment>
    <comment ref="G26" authorId="1" shapeId="0">
      <text>
        <r>
          <rPr>
            <b/>
            <sz val="9"/>
            <color indexed="81"/>
            <rFont val="Tahoma"/>
            <family val="2"/>
          </rPr>
          <t>Pedro Miguel Garberi:</t>
        </r>
        <r>
          <rPr>
            <sz val="9"/>
            <color indexed="81"/>
            <rFont val="Tahoma"/>
            <family val="2"/>
          </rPr>
          <t xml:space="preserve">
YA AJUSTADO</t>
        </r>
      </text>
    </comment>
    <comment ref="I31" authorId="0" shapeId="0">
      <text>
        <r>
          <rPr>
            <b/>
            <sz val="8"/>
            <color indexed="81"/>
            <rFont val="Tahoma"/>
            <family val="2"/>
          </rPr>
          <t xml:space="preserve"> :</t>
        </r>
        <r>
          <rPr>
            <sz val="8"/>
            <color indexed="81"/>
            <rFont val="Tahoma"/>
            <family val="2"/>
          </rPr>
          <t xml:space="preserve">
SFVC+Concordia
</t>
        </r>
      </text>
    </comment>
    <comment ref="J31" authorId="0" shapeId="0">
      <text>
        <r>
          <rPr>
            <b/>
            <sz val="8"/>
            <color indexed="81"/>
            <rFont val="Tahoma"/>
            <family val="2"/>
          </rPr>
          <t xml:space="preserve"> :</t>
        </r>
        <r>
          <rPr>
            <sz val="8"/>
            <color indexed="81"/>
            <rFont val="Tahoma"/>
            <family val="2"/>
          </rPr>
          <t xml:space="preserve">
+Formosa Cap
</t>
        </r>
      </text>
    </comment>
    <comment ref="K31" authorId="0" shapeId="0">
      <text>
        <r>
          <rPr>
            <b/>
            <sz val="8"/>
            <color indexed="81"/>
            <rFont val="Tahoma"/>
            <family val="2"/>
          </rPr>
          <t xml:space="preserve"> :</t>
        </r>
        <r>
          <rPr>
            <sz val="8"/>
            <color indexed="81"/>
            <rFont val="Tahoma"/>
            <family val="2"/>
          </rPr>
          <t xml:space="preserve">
+ Santa Maria
</t>
        </r>
      </text>
    </comment>
    <comment ref="L31" authorId="0" shapeId="0">
      <text>
        <r>
          <rPr>
            <b/>
            <sz val="8"/>
            <color indexed="81"/>
            <rFont val="Tahoma"/>
            <family val="2"/>
          </rPr>
          <t xml:space="preserve"> :</t>
        </r>
        <r>
          <rPr>
            <sz val="8"/>
            <color indexed="81"/>
            <rFont val="Tahoma"/>
            <family val="2"/>
          </rPr>
          <t xml:space="preserve">
+ Aconquija</t>
        </r>
      </text>
    </comment>
    <comment ref="M31" authorId="0" shapeId="0">
      <text>
        <r>
          <rPr>
            <b/>
            <sz val="8"/>
            <color indexed="81"/>
            <rFont val="Tahoma"/>
            <family val="2"/>
          </rPr>
          <t xml:space="preserve"> :</t>
        </r>
        <r>
          <rPr>
            <sz val="8"/>
            <color indexed="81"/>
            <rFont val="Tahoma"/>
            <family val="2"/>
          </rPr>
          <t xml:space="preserve">
+ PBA
</t>
        </r>
      </text>
    </comment>
    <comment ref="I33" authorId="0" shapeId="0">
      <text>
        <r>
          <rPr>
            <b/>
            <sz val="8"/>
            <color indexed="81"/>
            <rFont val="Tahoma"/>
            <family val="2"/>
          </rPr>
          <t xml:space="preserve"> :</t>
        </r>
        <r>
          <rPr>
            <sz val="8"/>
            <color indexed="81"/>
            <rFont val="Tahoma"/>
            <family val="2"/>
          </rPr>
          <t xml:space="preserve">
Posadas+SFVC+
</t>
        </r>
      </text>
    </comment>
    <comment ref="I35" authorId="0" shapeId="0">
      <text>
        <r>
          <rPr>
            <b/>
            <sz val="8"/>
            <color indexed="81"/>
            <rFont val="Tahoma"/>
            <family val="2"/>
          </rPr>
          <t xml:space="preserve"> :</t>
        </r>
        <r>
          <rPr>
            <sz val="8"/>
            <color indexed="81"/>
            <rFont val="Tahoma"/>
            <family val="2"/>
          </rPr>
          <t xml:space="preserve">
Chanchillos+Posadas+Concordia+SFVC
</t>
        </r>
      </text>
    </comment>
    <comment ref="J35" authorId="0" shapeId="0">
      <text>
        <r>
          <rPr>
            <b/>
            <sz val="8"/>
            <color indexed="81"/>
            <rFont val="Tahoma"/>
            <family val="2"/>
          </rPr>
          <t xml:space="preserve"> :</t>
        </r>
        <r>
          <rPr>
            <sz val="8"/>
            <color indexed="81"/>
            <rFont val="Tahoma"/>
            <family val="2"/>
          </rPr>
          <t xml:space="preserve">
+Cipoletti+LQ+Quebrada+Formosa+Parana</t>
        </r>
      </text>
    </comment>
    <comment ref="K35" authorId="0" shapeId="0">
      <text>
        <r>
          <rPr>
            <b/>
            <sz val="8"/>
            <color indexed="81"/>
            <rFont val="Tahoma"/>
            <family val="2"/>
          </rPr>
          <t xml:space="preserve"> :</t>
        </r>
        <r>
          <rPr>
            <sz val="8"/>
            <color indexed="81"/>
            <rFont val="Tahoma"/>
            <family val="2"/>
          </rPr>
          <t xml:space="preserve">
+Viedama+Sta Maria+Pedernera+Lamarque
</t>
        </r>
      </text>
    </comment>
    <comment ref="L35" authorId="0" shapeId="0">
      <text>
        <r>
          <rPr>
            <b/>
            <sz val="8"/>
            <color indexed="81"/>
            <rFont val="Tahoma"/>
            <family val="2"/>
          </rPr>
          <t xml:space="preserve"> :</t>
        </r>
        <r>
          <rPr>
            <sz val="8"/>
            <color indexed="81"/>
            <rFont val="Tahoma"/>
            <family val="2"/>
          </rPr>
          <t xml:space="preserve">
+Recreo+Santa Elena+La Paz
</t>
        </r>
      </text>
    </comment>
    <comment ref="M35" authorId="0" shapeId="0">
      <text>
        <r>
          <rPr>
            <b/>
            <sz val="8"/>
            <color indexed="81"/>
            <rFont val="Tahoma"/>
            <family val="2"/>
          </rPr>
          <t xml:space="preserve"> :</t>
        </r>
        <r>
          <rPr>
            <sz val="8"/>
            <color indexed="81"/>
            <rFont val="Tahoma"/>
            <family val="2"/>
          </rPr>
          <t xml:space="preserve">
+PBA
</t>
        </r>
      </text>
    </comment>
    <comment ref="J36" authorId="0" shapeId="0">
      <text>
        <r>
          <rPr>
            <b/>
            <sz val="8"/>
            <color indexed="81"/>
            <rFont val="Tahoma"/>
            <family val="2"/>
          </rPr>
          <t xml:space="preserve"> :</t>
        </r>
        <r>
          <rPr>
            <sz val="8"/>
            <color indexed="81"/>
            <rFont val="Tahoma"/>
            <family val="2"/>
          </rPr>
          <t xml:space="preserve">
3 en Quebrada</t>
        </r>
      </text>
    </comment>
    <comment ref="K36" authorId="0" shapeId="0">
      <text>
        <r>
          <rPr>
            <b/>
            <sz val="8"/>
            <color indexed="81"/>
            <rFont val="Tahoma"/>
            <family val="2"/>
          </rPr>
          <t xml:space="preserve"> :</t>
        </r>
        <r>
          <rPr>
            <sz val="8"/>
            <color indexed="81"/>
            <rFont val="Tahoma"/>
            <family val="2"/>
          </rPr>
          <t xml:space="preserve">
San Pedro</t>
        </r>
      </text>
    </comment>
    <comment ref="M36" authorId="0" shapeId="0">
      <text>
        <r>
          <rPr>
            <b/>
            <sz val="8"/>
            <color indexed="81"/>
            <rFont val="Tahoma"/>
            <family val="2"/>
          </rPr>
          <t xml:space="preserve"> :</t>
        </r>
        <r>
          <rPr>
            <sz val="8"/>
            <color indexed="81"/>
            <rFont val="Tahoma"/>
            <family val="2"/>
          </rPr>
          <t xml:space="preserve">
Santa Elena/La Paz</t>
        </r>
      </text>
    </comment>
    <comment ref="I37" authorId="0" shapeId="0">
      <text>
        <r>
          <rPr>
            <b/>
            <sz val="8"/>
            <color indexed="81"/>
            <rFont val="Tahoma"/>
            <family val="2"/>
          </rPr>
          <t xml:space="preserve"> :</t>
        </r>
        <r>
          <rPr>
            <sz val="8"/>
            <color indexed="81"/>
            <rFont val="Tahoma"/>
            <family val="2"/>
          </rPr>
          <t xml:space="preserve">
+7 de Chanchillos+7 Concordia+Posdas+10 de SFVC</t>
        </r>
      </text>
    </comment>
    <comment ref="J37" authorId="0" shapeId="0">
      <text>
        <r>
          <rPr>
            <b/>
            <sz val="8"/>
            <color indexed="81"/>
            <rFont val="Tahoma"/>
            <family val="2"/>
          </rPr>
          <t xml:space="preserve"> :</t>
        </r>
        <r>
          <rPr>
            <sz val="8"/>
            <color indexed="81"/>
            <rFont val="Tahoma"/>
            <family val="2"/>
          </rPr>
          <t xml:space="preserve">
+5 Cipoletti+LQ+Quebrada+Formosa+15 Parana
</t>
        </r>
      </text>
    </comment>
    <comment ref="K37" authorId="0" shapeId="0">
      <text>
        <r>
          <rPr>
            <b/>
            <sz val="8"/>
            <color indexed="81"/>
            <rFont val="Tahoma"/>
            <family val="2"/>
          </rPr>
          <t xml:space="preserve"> :</t>
        </r>
        <r>
          <rPr>
            <sz val="8"/>
            <color indexed="81"/>
            <rFont val="Tahoma"/>
            <family val="2"/>
          </rPr>
          <t xml:space="preserve">
+Santa Maria+5 Pedernera+2 Lamarque+2 
Viedma
</t>
        </r>
      </text>
    </comment>
    <comment ref="L37" authorId="0" shapeId="0">
      <text>
        <r>
          <rPr>
            <b/>
            <sz val="8"/>
            <color indexed="81"/>
            <rFont val="Tahoma"/>
            <family val="2"/>
          </rPr>
          <t xml:space="preserve"> :</t>
        </r>
        <r>
          <rPr>
            <sz val="8"/>
            <color indexed="81"/>
            <rFont val="Tahoma"/>
            <family val="2"/>
          </rPr>
          <t xml:space="preserve">
+2 Receo+Aconquija+3 Lamarque</t>
        </r>
      </text>
    </comment>
    <comment ref="M37" authorId="0" shapeId="0">
      <text>
        <r>
          <rPr>
            <b/>
            <sz val="8"/>
            <color indexed="81"/>
            <rFont val="Tahoma"/>
            <family val="2"/>
          </rPr>
          <t xml:space="preserve"> :</t>
        </r>
        <r>
          <rPr>
            <sz val="8"/>
            <color indexed="81"/>
            <rFont val="Tahoma"/>
            <family val="2"/>
          </rPr>
          <t xml:space="preserve">
+15 PBA</t>
        </r>
      </text>
    </comment>
    <comment ref="J38" authorId="0" shapeId="0">
      <text>
        <r>
          <rPr>
            <b/>
            <sz val="8"/>
            <color indexed="81"/>
            <rFont val="Tahoma"/>
            <family val="2"/>
          </rPr>
          <t xml:space="preserve"> :</t>
        </r>
        <r>
          <rPr>
            <sz val="8"/>
            <color indexed="81"/>
            <rFont val="Tahoma"/>
            <family val="2"/>
          </rPr>
          <t xml:space="preserve">
+Cipoletti+Formosa+Parana
</t>
        </r>
      </text>
    </comment>
    <comment ref="K38" authorId="0" shapeId="0">
      <text>
        <r>
          <rPr>
            <b/>
            <sz val="8"/>
            <color indexed="81"/>
            <rFont val="Tahoma"/>
            <family val="2"/>
          </rPr>
          <t xml:space="preserve"> :</t>
        </r>
        <r>
          <rPr>
            <sz val="8"/>
            <color indexed="81"/>
            <rFont val="Tahoma"/>
            <family val="2"/>
          </rPr>
          <t xml:space="preserve">
+viedma+santa maria+lamarque
+Pedernera</t>
        </r>
      </text>
    </comment>
    <comment ref="L38" authorId="0" shapeId="0">
      <text>
        <r>
          <rPr>
            <b/>
            <sz val="8"/>
            <color indexed="81"/>
            <rFont val="Tahoma"/>
            <family val="2"/>
          </rPr>
          <t xml:space="preserve"> :</t>
        </r>
        <r>
          <rPr>
            <sz val="8"/>
            <color indexed="81"/>
            <rFont val="Tahoma"/>
            <family val="2"/>
          </rPr>
          <t xml:space="preserve">
+Recreo+Aconquija+Sta. Elena/La Paz
</t>
        </r>
      </text>
    </comment>
    <comment ref="M38" authorId="0" shapeId="0">
      <text>
        <r>
          <rPr>
            <b/>
            <sz val="8"/>
            <color indexed="81"/>
            <rFont val="Tahoma"/>
            <family val="2"/>
          </rPr>
          <t xml:space="preserve"> :</t>
        </r>
        <r>
          <rPr>
            <sz val="8"/>
            <color indexed="81"/>
            <rFont val="Tahoma"/>
            <family val="2"/>
          </rPr>
          <t xml:space="preserve">
+15 PBA
</t>
        </r>
      </text>
    </comment>
    <comment ref="I39" authorId="0" shapeId="0">
      <text>
        <r>
          <rPr>
            <b/>
            <sz val="8"/>
            <color indexed="81"/>
            <rFont val="Tahoma"/>
            <family val="2"/>
          </rPr>
          <t xml:space="preserve"> :</t>
        </r>
        <r>
          <rPr>
            <sz val="8"/>
            <color indexed="81"/>
            <rFont val="Tahoma"/>
            <family val="2"/>
          </rPr>
          <t xml:space="preserve">
+SFVC+Chanchillos+Concordia</t>
        </r>
      </text>
    </comment>
    <comment ref="J40" authorId="1" shapeId="0">
      <text>
        <r>
          <rPr>
            <b/>
            <sz val="9"/>
            <color indexed="81"/>
            <rFont val="Tahoma"/>
            <family val="2"/>
          </rPr>
          <t>Pedro Miguel Garberi:</t>
        </r>
        <r>
          <rPr>
            <sz val="9"/>
            <color indexed="81"/>
            <rFont val="Tahoma"/>
            <family val="2"/>
          </rPr>
          <t xml:space="preserve">
Cipoletti + formosa + paraná
</t>
        </r>
      </text>
    </comment>
    <comment ref="K40" authorId="1" shapeId="0">
      <text>
        <r>
          <rPr>
            <b/>
            <sz val="9"/>
            <color indexed="81"/>
            <rFont val="Tahoma"/>
            <family val="2"/>
          </rPr>
          <t>Pedro Miguel Garberi:</t>
        </r>
        <r>
          <rPr>
            <sz val="9"/>
            <color indexed="81"/>
            <rFont val="Tahoma"/>
            <family val="2"/>
          </rPr>
          <t xml:space="preserve">
Viedma + Santa María + Lamarque + Pedernera
</t>
        </r>
      </text>
    </comment>
    <comment ref="L40" authorId="0" shapeId="0">
      <text>
        <r>
          <rPr>
            <b/>
            <sz val="8"/>
            <color indexed="81"/>
            <rFont val="Tahoma"/>
            <family val="2"/>
          </rPr>
          <t xml:space="preserve"> :</t>
        </r>
        <r>
          <rPr>
            <sz val="8"/>
            <color indexed="81"/>
            <rFont val="Tahoma"/>
            <family val="2"/>
          </rPr>
          <t xml:space="preserve">
+Recreo+Aconquija+Sta. Elena/La Paz
</t>
        </r>
      </text>
    </comment>
    <comment ref="M40" authorId="1" shapeId="0">
      <text>
        <r>
          <rPr>
            <b/>
            <sz val="9"/>
            <color indexed="81"/>
            <rFont val="Tahoma"/>
            <family val="2"/>
          </rPr>
          <t>Pedro Miguel Garberi:</t>
        </r>
        <r>
          <rPr>
            <sz val="9"/>
            <color indexed="81"/>
            <rFont val="Tahoma"/>
            <family val="2"/>
          </rPr>
          <t xml:space="preserve">
+15 PBA</t>
        </r>
      </text>
    </comment>
    <comment ref="G44" authorId="0" shapeId="0">
      <text>
        <r>
          <rPr>
            <b/>
            <sz val="8"/>
            <color indexed="81"/>
            <rFont val="Tahoma"/>
            <family val="2"/>
          </rPr>
          <t xml:space="preserve"> :</t>
        </r>
        <r>
          <rPr>
            <sz val="8"/>
            <color indexed="81"/>
            <rFont val="Tahoma"/>
            <family val="2"/>
          </rPr>
          <t xml:space="preserve">
SFVC</t>
        </r>
      </text>
    </comment>
    <comment ref="H44" authorId="0" shapeId="0">
      <text>
        <r>
          <rPr>
            <b/>
            <sz val="8"/>
            <color indexed="81"/>
            <rFont val="Tahoma"/>
            <family val="2"/>
          </rPr>
          <t xml:space="preserve"> :</t>
        </r>
        <r>
          <rPr>
            <sz val="8"/>
            <color indexed="81"/>
            <rFont val="Tahoma"/>
            <family val="2"/>
          </rPr>
          <t xml:space="preserve">
+Formosa</t>
        </r>
      </text>
    </comment>
    <comment ref="J44" authorId="0" shapeId="0">
      <text>
        <r>
          <rPr>
            <b/>
            <sz val="8"/>
            <color indexed="81"/>
            <rFont val="Tahoma"/>
            <family val="2"/>
          </rPr>
          <t xml:space="preserve"> :</t>
        </r>
        <r>
          <rPr>
            <sz val="8"/>
            <color indexed="81"/>
            <rFont val="Tahoma"/>
            <family val="2"/>
          </rPr>
          <t xml:space="preserve">
+Recreo+Aconquija</t>
        </r>
      </text>
    </comment>
    <comment ref="K44" authorId="0" shapeId="0">
      <text>
        <r>
          <rPr>
            <b/>
            <sz val="8"/>
            <color indexed="81"/>
            <rFont val="Tahoma"/>
            <family val="2"/>
          </rPr>
          <t xml:space="preserve"> :</t>
        </r>
        <r>
          <rPr>
            <sz val="8"/>
            <color indexed="81"/>
            <rFont val="Tahoma"/>
            <family val="2"/>
          </rPr>
          <t xml:space="preserve">
15 Municipios Bueonos Aires</t>
        </r>
      </text>
    </comment>
    <comment ref="G45" authorId="0" shapeId="0">
      <text>
        <r>
          <rPr>
            <b/>
            <sz val="8"/>
            <color indexed="81"/>
            <rFont val="Tahoma"/>
            <family val="2"/>
          </rPr>
          <t xml:space="preserve"> :</t>
        </r>
        <r>
          <rPr>
            <sz val="8"/>
            <color indexed="81"/>
            <rFont val="Tahoma"/>
            <family val="2"/>
          </rPr>
          <t xml:space="preserve">
+SFVC+Concordia +Chanchillos</t>
        </r>
      </text>
    </comment>
    <comment ref="H45" authorId="0" shapeId="0">
      <text>
        <r>
          <rPr>
            <b/>
            <sz val="8"/>
            <color indexed="81"/>
            <rFont val="Tahoma"/>
            <family val="2"/>
          </rPr>
          <t xml:space="preserve"> :</t>
        </r>
        <r>
          <rPr>
            <sz val="8"/>
            <color indexed="81"/>
            <rFont val="Tahoma"/>
            <family val="2"/>
          </rPr>
          <t xml:space="preserve">
+Quebrada
</t>
        </r>
      </text>
    </comment>
    <comment ref="I45" authorId="0" shapeId="0">
      <text>
        <r>
          <rPr>
            <b/>
            <sz val="8"/>
            <color indexed="81"/>
            <rFont val="Tahoma"/>
            <family val="2"/>
          </rPr>
          <t xml:space="preserve"> :</t>
        </r>
        <r>
          <rPr>
            <sz val="8"/>
            <color indexed="81"/>
            <rFont val="Tahoma"/>
            <family val="2"/>
          </rPr>
          <t xml:space="preserve">
+Santa Maria+Lamarque
</t>
        </r>
      </text>
    </comment>
    <comment ref="J45" authorId="0" shapeId="0">
      <text>
        <r>
          <rPr>
            <b/>
            <sz val="8"/>
            <color indexed="81"/>
            <rFont val="Tahoma"/>
            <family val="2"/>
          </rPr>
          <t xml:space="preserve"> :</t>
        </r>
        <r>
          <rPr>
            <sz val="8"/>
            <color indexed="81"/>
            <rFont val="Tahoma"/>
            <family val="2"/>
          </rPr>
          <t xml:space="preserve">
Recreo+Aconquija
</t>
        </r>
      </text>
    </comment>
    <comment ref="G46" authorId="0" shapeId="0">
      <text>
        <r>
          <rPr>
            <b/>
            <sz val="8"/>
            <color indexed="81"/>
            <rFont val="Tahoma"/>
            <family val="2"/>
          </rPr>
          <t xml:space="preserve"> :</t>
        </r>
        <r>
          <rPr>
            <sz val="8"/>
            <color indexed="81"/>
            <rFont val="Tahoma"/>
            <family val="2"/>
          </rPr>
          <t xml:space="preserve">
Chanchillos+Posadas+Concordia+SFVC</t>
        </r>
      </text>
    </comment>
    <comment ref="H46" authorId="0" shapeId="0">
      <text>
        <r>
          <rPr>
            <b/>
            <sz val="8"/>
            <color indexed="81"/>
            <rFont val="Tahoma"/>
            <family val="2"/>
          </rPr>
          <t xml:space="preserve"> :</t>
        </r>
        <r>
          <rPr>
            <sz val="8"/>
            <color indexed="81"/>
            <rFont val="Tahoma"/>
            <family val="2"/>
          </rPr>
          <t xml:space="preserve">
Cipoletti
Quebrada+LQ+Formosa+Parana
</t>
        </r>
      </text>
    </comment>
    <comment ref="I46" authorId="0" shapeId="0">
      <text>
        <r>
          <rPr>
            <b/>
            <sz val="8"/>
            <color indexed="81"/>
            <rFont val="Tahoma"/>
            <family val="2"/>
          </rPr>
          <t xml:space="preserve"> :</t>
        </r>
        <r>
          <rPr>
            <sz val="8"/>
            <color indexed="81"/>
            <rFont val="Tahoma"/>
            <family val="2"/>
          </rPr>
          <t xml:space="preserve">
+Viedama+Santa Maria+Pedernera+Lamarque</t>
        </r>
      </text>
    </comment>
    <comment ref="J46" authorId="0" shapeId="0">
      <text>
        <r>
          <rPr>
            <b/>
            <sz val="8"/>
            <color indexed="81"/>
            <rFont val="Tahoma"/>
            <family val="2"/>
          </rPr>
          <t xml:space="preserve"> :</t>
        </r>
        <r>
          <rPr>
            <sz val="8"/>
            <color indexed="81"/>
            <rFont val="Tahoma"/>
            <family val="2"/>
          </rPr>
          <t xml:space="preserve">
+Recreo+ La Paz/Santa Elena</t>
        </r>
      </text>
    </comment>
    <comment ref="H51" authorId="0" shapeId="0">
      <text>
        <r>
          <rPr>
            <b/>
            <sz val="8"/>
            <color indexed="81"/>
            <rFont val="Tahoma"/>
            <family val="2"/>
          </rPr>
          <t xml:space="preserve"> :</t>
        </r>
        <r>
          <rPr>
            <sz val="8"/>
            <color indexed="81"/>
            <rFont val="Tahoma"/>
            <family val="2"/>
          </rPr>
          <t xml:space="preserve">
Cipoletti+LQ+Quebrada+Formosa ; (Se inicia Paraná: se considera en el año 3)</t>
        </r>
      </text>
    </comment>
    <comment ref="I51" authorId="0" shapeId="0">
      <text>
        <r>
          <rPr>
            <b/>
            <sz val="8"/>
            <color indexed="81"/>
            <rFont val="Tahoma"/>
            <family val="2"/>
          </rPr>
          <t xml:space="preserve"> :</t>
        </r>
        <r>
          <rPr>
            <sz val="8"/>
            <color indexed="81"/>
            <rFont val="Tahoma"/>
            <family val="2"/>
          </rPr>
          <t xml:space="preserve">
Viedma+santa maria+Pedernera+Lamarque+Terminación PAraná</t>
        </r>
      </text>
    </comment>
    <comment ref="J51" authorId="0" shapeId="0">
      <text>
        <r>
          <rPr>
            <b/>
            <sz val="8"/>
            <color indexed="81"/>
            <rFont val="Tahoma"/>
            <family val="2"/>
          </rPr>
          <t xml:space="preserve"> :</t>
        </r>
        <r>
          <rPr>
            <sz val="8"/>
            <color indexed="81"/>
            <rFont val="Tahoma"/>
            <family val="2"/>
          </rPr>
          <t xml:space="preserve">
Recreo +Aconquija+Sta.Elena+15 PBA</t>
        </r>
      </text>
    </comment>
    <comment ref="K51" authorId="0" shapeId="0">
      <text>
        <r>
          <rPr>
            <b/>
            <sz val="8"/>
            <color indexed="81"/>
            <rFont val="Tahoma"/>
            <family val="2"/>
          </rPr>
          <t xml:space="preserve"> :</t>
        </r>
        <r>
          <rPr>
            <sz val="8"/>
            <color indexed="81"/>
            <rFont val="Tahoma"/>
            <family val="2"/>
          </rPr>
          <t xml:space="preserve">
+ 15 PBA
</t>
        </r>
      </text>
    </comment>
  </commentList>
</comments>
</file>

<file path=xl/comments4.xml><?xml version="1.0" encoding="utf-8"?>
<comments xmlns="http://schemas.openxmlformats.org/spreadsheetml/2006/main">
  <authors>
    <author>Carmenza Sevilla</author>
  </authors>
  <commentList>
    <comment ref="V11" authorId="0" shapeId="0">
      <text>
        <r>
          <rPr>
            <b/>
            <sz val="9"/>
            <color indexed="81"/>
            <rFont val="Tahoma"/>
            <family val="2"/>
          </rPr>
          <t xml:space="preserve">Inicio del proceso en 2017, firma de contrato 2018 y entrega de anticipo 5
0%
</t>
        </r>
      </text>
    </comment>
    <comment ref="AD11" authorId="0" shapeId="0">
      <text>
        <r>
          <rPr>
            <b/>
            <sz val="9"/>
            <color indexed="81"/>
            <rFont val="Tahoma"/>
            <family val="2"/>
          </rPr>
          <t>pago final contra entrega de los bienes a satisfacción por parte del INDEC con un estimado de 4 meses para entrega final a partir del anticipo. A pesar del pago final del contrato, se deberá controlar el cumplimiento de los mantenimientos preventivos y correctivos (servicios postventa no conexo) estipulados en el contrato</t>
        </r>
      </text>
    </comment>
    <comment ref="X16" authorId="0" shapeId="0">
      <text>
        <r>
          <rPr>
            <b/>
            <sz val="9"/>
            <color indexed="81"/>
            <rFont val="Tahoma"/>
            <family val="2"/>
          </rPr>
          <t xml:space="preserve">100% contraentrega de bienes </t>
        </r>
      </text>
    </comment>
    <comment ref="R37" authorId="0" shapeId="0">
      <text>
        <r>
          <rPr>
            <b/>
            <sz val="9"/>
            <color indexed="81"/>
            <rFont val="Tahoma"/>
            <family val="2"/>
          </rPr>
          <t xml:space="preserve">Bienes comunes, 100% contraentrega de bienes y factura
</t>
        </r>
      </text>
    </comment>
  </commentList>
</comments>
</file>

<file path=xl/comments5.xml><?xml version="1.0" encoding="utf-8"?>
<comments xmlns="http://schemas.openxmlformats.org/spreadsheetml/2006/main">
  <authors>
    <author>Carmenza Sevilla</author>
  </authors>
  <commentList>
    <comment ref="B85" authorId="0" shapeId="0">
      <text>
        <r>
          <rPr>
            <sz val="9"/>
            <color indexed="81"/>
            <rFont val="Tahoma"/>
            <family val="2"/>
          </rPr>
          <t>Por oportunidad, el censo económico tiene planificado realizarse en 2019 por lo que el levantamiento de unidades económicas debe ser relevado con anterioridad al archivo de domicilios.</t>
        </r>
      </text>
    </comment>
  </commentList>
</comments>
</file>

<file path=xl/comments6.xml><?xml version="1.0" encoding="utf-8"?>
<comments xmlns="http://schemas.openxmlformats.org/spreadsheetml/2006/main">
  <authors>
    <author>Carmenza Sevilla</author>
  </authors>
  <commentList>
    <comment ref="D51" authorId="0" shapeId="0">
      <text>
        <r>
          <rPr>
            <b/>
            <sz val="9"/>
            <color indexed="81"/>
            <rFont val="Tahoma"/>
            <family val="2"/>
          </rPr>
          <t xml:space="preserve">En el primer año, dado que se va a diseñar el Plan, se estima que la capacitación inicie en el tercer trimestre del 2018 unicamente a los funcionarios del INDEC (1.469). En 2019, se continuará la capacitación a funcionarios más personal del SEN determinado (aprox. 2500).
EL valor es aproximado y dependerá de la planificación de las capacitaciones en Provincia para los documentos precontractuales
</t>
        </r>
      </text>
    </comment>
    <comment ref="C94" authorId="0" shapeId="0">
      <text>
        <r>
          <rPr>
            <sz val="9"/>
            <color indexed="81"/>
            <rFont val="Tahoma"/>
            <family val="2"/>
          </rPr>
          <t>Por oportunidad, el censo económico tiene planificado realizarse en 2019 por lo que el levantamiento de unidades económicas debe ser relevado con anterioridad al archivo de domicilios.</t>
        </r>
      </text>
    </comment>
    <comment ref="C111" authorId="0" shapeId="0">
      <text>
        <r>
          <rPr>
            <b/>
            <sz val="9"/>
            <color indexed="81"/>
            <rFont val="Tahoma"/>
            <family val="2"/>
          </rPr>
          <t>La audioria no tiene costo</t>
        </r>
      </text>
    </comment>
  </commentList>
</comments>
</file>

<file path=xl/comments7.xml><?xml version="1.0" encoding="utf-8"?>
<comments xmlns="http://schemas.openxmlformats.org/spreadsheetml/2006/main">
  <authors>
    <author>Carmenza Sevilla</author>
  </authors>
  <commentList>
    <comment ref="C50" authorId="0" shapeId="0">
      <text>
        <r>
          <rPr>
            <b/>
            <sz val="9"/>
            <color indexed="81"/>
            <rFont val="Tahoma"/>
            <family val="2"/>
          </rPr>
          <t xml:space="preserve">En el primer año, dado que se va a diseñar el Plan, se estima que la capacitación inicie en el tercer trimestre del 2018 unicamente a los funcionarios del INDEC (1.469). En 2019, se continuará la capacitación a funcionarios más personal del SEN determinado (aprox. 2500).
EL valor es aproximado y dependerá de la planificación de las capacitaciones en Provincia para los documentos precontractuales
</t>
        </r>
      </text>
    </comment>
    <comment ref="B93" authorId="0" shapeId="0">
      <text>
        <r>
          <rPr>
            <sz val="9"/>
            <color indexed="81"/>
            <rFont val="Tahoma"/>
            <family val="2"/>
          </rPr>
          <t>Por oportunidad, el censo económico tiene planificado realizarse en 2019 por lo que el levantamiento de unidades económicas debe ser relevado con anterioridad al archivo de domicilios.</t>
        </r>
      </text>
    </comment>
  </commentList>
</comments>
</file>

<file path=xl/sharedStrings.xml><?xml version="1.0" encoding="utf-8"?>
<sst xmlns="http://schemas.openxmlformats.org/spreadsheetml/2006/main" count="2206" uniqueCount="853">
  <si>
    <t xml:space="preserve">Objetivo del Proyecto: </t>
  </si>
  <si>
    <t xml:space="preserve">El objetivo del programa es mejorar la calidad y eficiencia de la Gestión Integral de los Residuos Sólidos Urbanos (GIRSU), tanto en centros urbanos como en municipios turísticos del país, lo cual incluye implementar programas de educación y concientización, y de mejora de los servicios de barrido, recolección, transporte, transferencia, valorización, reciclaje y/o disposición final de Residuos Sólidos Urbanos (RSU). El programa tiene como finalidad disminuir el número de Basurales a Cielo Abierto (BCA) e incrementar la cantidad de residuos dispuestos en rellenos sanitarios. </t>
  </si>
  <si>
    <t>Indicadores de Impacto</t>
  </si>
  <si>
    <t>Unidad de Medida</t>
  </si>
  <si>
    <t>Linea de Base</t>
  </si>
  <si>
    <t>Año Línea de Base</t>
  </si>
  <si>
    <t>Meta FDP</t>
  </si>
  <si>
    <t>Año Linea de Base</t>
  </si>
  <si>
    <t>Año 1</t>
  </si>
  <si>
    <t>Año 2</t>
  </si>
  <si>
    <t>Año 3</t>
  </si>
  <si>
    <t>Año 4</t>
  </si>
  <si>
    <t>Año 5</t>
  </si>
  <si>
    <t>Provincias que cuentan con Planes Provinciales para la GIRSU</t>
  </si>
  <si>
    <t xml:space="preserve">Municipios fortalecidos en GIRSU </t>
  </si>
  <si>
    <t>Productos</t>
  </si>
  <si>
    <t>Resultado: Formalización e inclusión de Recuperadores y aprovechamiento de RSU</t>
  </si>
  <si>
    <t>Toneladas de RSU recuperadas en el sistema formal de recuperación y reciclaje</t>
  </si>
  <si>
    <t>Nuevos BCA clausurados</t>
  </si>
  <si>
    <t>Desarrollo de estrategias GIRSU a nivel provincial</t>
  </si>
  <si>
    <t>Resultado: Mejorar la capacidad operativa y de gestión de entes operadores</t>
  </si>
  <si>
    <t>Planes Provinciales</t>
  </si>
  <si>
    <t>Indicadores de Resultado</t>
  </si>
  <si>
    <t>Nuevos Municipios que implementen un Plan GIRSU aprobado por Autoridad Competente</t>
  </si>
  <si>
    <t>Planes de Mejora de la Gestión GIRSU</t>
  </si>
  <si>
    <t>Resultado: Incremento en los niveles de recuperación y reciclaje y mejora en los servicios de recolección y disposición final</t>
  </si>
  <si>
    <t xml:space="preserve">Infraestructura para la transferencia </t>
  </si>
  <si>
    <t>Rellenos sanitarios construidos</t>
  </si>
  <si>
    <t>Basurales a cielo abierto saneados y/o clausurados</t>
  </si>
  <si>
    <t>Población beneficiaria de sistemas de disposición inicial</t>
  </si>
  <si>
    <t>Equipamiento de higiene urbana,recolección y transporte</t>
  </si>
  <si>
    <t>Población beneficiaria de sistemas de recolección</t>
  </si>
  <si>
    <t>RSU recolectados a partir de sistemas de disposición inicial</t>
  </si>
  <si>
    <t>Porcentaje de RSU recuperados respecto de los generados</t>
  </si>
  <si>
    <t>Nuevos municipios con sistemas de transferencia en operación</t>
  </si>
  <si>
    <t>Población que dispone sus RSU en sistemas adecuados</t>
  </si>
  <si>
    <t>Población beneficiaria de los saneamiento de basurales</t>
  </si>
  <si>
    <t>Nuevos municipios con BCA saneados y/o clausurados</t>
  </si>
  <si>
    <t>Planes de Inclusión Social</t>
  </si>
  <si>
    <t>Equipamiento para iniciativas sociales</t>
  </si>
  <si>
    <t>Planes de Comunicación Ambiental y Social</t>
  </si>
  <si>
    <t>Infraestructura para iniciativas sociales</t>
  </si>
  <si>
    <t>Elementos de trabajo para iniciativas sociales</t>
  </si>
  <si>
    <t>Equipamiento y elementos de comunicación</t>
  </si>
  <si>
    <t>Campañas de comunicación</t>
  </si>
  <si>
    <t>Recuperadores incluidos en actividades previstas en los PISOs</t>
  </si>
  <si>
    <t>Recuperadores que mejoraron sus condiciones de trabajo</t>
  </si>
  <si>
    <t>Cantidad de recuperadores incluidos en grupos asociativos formales</t>
  </si>
  <si>
    <t>Cantidad de recuperadores incorporados en sistemas de recuperación y/o reciclaje</t>
  </si>
  <si>
    <t>Municipios con PCAS implementados</t>
  </si>
  <si>
    <t>Mujeres incluidos en actividades previstas en los PISOs</t>
  </si>
  <si>
    <t>Mujeres que mejoraron sus condiciones de trabajo</t>
  </si>
  <si>
    <t>Incremento (%) de la población del país que disponen RSU en Rellenos Sanitarios</t>
  </si>
  <si>
    <t>Diagnóstico GIRSU actualizado a nivel nacional (información certera)</t>
  </si>
  <si>
    <t>Nuevos BCA saneados</t>
  </si>
  <si>
    <t>Toneladas de RSU recuperados sobre el total de RSU generados en las jurisdicciones intervenidas</t>
  </si>
  <si>
    <t xml:space="preserve">Estudios técnicos y sectoriales </t>
  </si>
  <si>
    <t>Equipamiento para la recuperación y reciclaje</t>
  </si>
  <si>
    <t>Infraestructura para la recuperación y reciclaje</t>
  </si>
  <si>
    <t>Sistema de Disposición Inicial instalados</t>
  </si>
  <si>
    <t>Nuevos municipios con sistemas de recuperación y reciclaje en operación</t>
  </si>
  <si>
    <t>Nuevos municipios con sistemas de disposición final adecuados</t>
  </si>
  <si>
    <t>Equipamientos de medición y monitoreo</t>
  </si>
  <si>
    <t>Sistemas de Información y Diagnóstico GIRSU</t>
  </si>
  <si>
    <t>Planes de Concientización y/o Comunicación</t>
  </si>
  <si>
    <t>Sistemas de medición y monitoreo en funcionamiento</t>
  </si>
  <si>
    <t>Medios de Verificación / Observaciones</t>
  </si>
  <si>
    <t>Total</t>
  </si>
  <si>
    <t>USD</t>
  </si>
  <si>
    <t>Otros Costos</t>
  </si>
  <si>
    <t>Ingeniería y administración</t>
  </si>
  <si>
    <t>Categorías</t>
  </si>
  <si>
    <t>Costos Concurrentes</t>
  </si>
  <si>
    <t>Costos Financieros</t>
  </si>
  <si>
    <t>Total General</t>
  </si>
  <si>
    <t>1.1</t>
  </si>
  <si>
    <t>Incremento de la población del país que disponen RSU en Rellenos Sanitarios</t>
  </si>
  <si>
    <t>% de población</t>
  </si>
  <si>
    <t>Ver 1.1.</t>
  </si>
  <si>
    <t>1.2</t>
  </si>
  <si>
    <t>Clausura de Basurales a Cielo Abierto</t>
  </si>
  <si>
    <t>BCA</t>
  </si>
  <si>
    <t>Ver 1.2</t>
  </si>
  <si>
    <t>1.3</t>
  </si>
  <si>
    <t>Sanemiento de Basurales a Cielo Abierto</t>
  </si>
  <si>
    <t>Ver 1.3</t>
  </si>
  <si>
    <t>1.4</t>
  </si>
  <si>
    <t>Incremento de RSU recuperados</t>
  </si>
  <si>
    <t>% toneladas recup./ ton generadas</t>
  </si>
  <si>
    <t>Ver 1.4.</t>
  </si>
  <si>
    <t>1.5</t>
  </si>
  <si>
    <t>Generación de Información GIRSU</t>
  </si>
  <si>
    <t>Municipios</t>
  </si>
  <si>
    <t>Ver 1.5</t>
  </si>
  <si>
    <t>1.6</t>
  </si>
  <si>
    <t>Promoción de estrategias GIRSU a nivel provincial</t>
  </si>
  <si>
    <t>% de provinicias con estrategía / provincias totales</t>
  </si>
  <si>
    <t>Ver 1.6</t>
  </si>
  <si>
    <t>Resultado: Mejorar la capacidad operativa y de gestión de entes operadores (Gestión Operativa)</t>
  </si>
  <si>
    <t>2.4</t>
  </si>
  <si>
    <t>Ver 2.4</t>
  </si>
  <si>
    <t>2.5</t>
  </si>
  <si>
    <t>Ver 2.5</t>
  </si>
  <si>
    <t>2.6</t>
  </si>
  <si>
    <t>sistema</t>
  </si>
  <si>
    <t>Ver 2.6</t>
  </si>
  <si>
    <t>2.7</t>
  </si>
  <si>
    <t>Ver 2.7</t>
  </si>
  <si>
    <t>2.8</t>
  </si>
  <si>
    <t>Ver 2.8</t>
  </si>
  <si>
    <t>Resultado: Incremento en los niveles de recuperación y reciclaje y mejora en los servicios de recolección y disposición final (Infraestructura y Equipamiento)</t>
  </si>
  <si>
    <t>3.1</t>
  </si>
  <si>
    <t>Población beneficiaria de Sistemas de Disposición Inicial Selectiva</t>
  </si>
  <si>
    <t>Habitantes</t>
  </si>
  <si>
    <t>3.2</t>
  </si>
  <si>
    <t>RSU recolectados a partir de sistemas de disposición inicial selectiva</t>
  </si>
  <si>
    <t>Toneladas RSU recolectadas/día</t>
  </si>
  <si>
    <t>3.3</t>
  </si>
  <si>
    <t>Población beneficiaria de sistemas de recolección financiados con el programa</t>
  </si>
  <si>
    <t>3.4</t>
  </si>
  <si>
    <t>% RSU recuperados / generados</t>
  </si>
  <si>
    <t>Ver 3.4</t>
  </si>
  <si>
    <t>3.5</t>
  </si>
  <si>
    <t>Ver 3.5</t>
  </si>
  <si>
    <t>3.6</t>
  </si>
  <si>
    <t>3.7</t>
  </si>
  <si>
    <t>Ver 3.7</t>
  </si>
  <si>
    <t>3.8</t>
  </si>
  <si>
    <t>3.9</t>
  </si>
  <si>
    <t>Ver 3.9</t>
  </si>
  <si>
    <t>3.10</t>
  </si>
  <si>
    <t>3.11</t>
  </si>
  <si>
    <t>3.12</t>
  </si>
  <si>
    <t>Sistemas de Disposición Inicial selectiva instalados (contenedores,puntos verdes, etc.)</t>
  </si>
  <si>
    <t>3.13</t>
  </si>
  <si>
    <t>equipo</t>
  </si>
  <si>
    <t>3.14</t>
  </si>
  <si>
    <t>infraestructura</t>
  </si>
  <si>
    <t>3.15</t>
  </si>
  <si>
    <t xml:space="preserve"> equipo</t>
  </si>
  <si>
    <t>3.16</t>
  </si>
  <si>
    <t>Ver 3.16</t>
  </si>
  <si>
    <t>3.17</t>
  </si>
  <si>
    <t>relleno sanit.</t>
  </si>
  <si>
    <t>Ver 3.17</t>
  </si>
  <si>
    <t>3.18</t>
  </si>
  <si>
    <t>Equipamiento de medición y monitoreo de higiene urbana, recolección y transporte</t>
  </si>
  <si>
    <t>3.19</t>
  </si>
  <si>
    <t xml:space="preserve">basural </t>
  </si>
  <si>
    <t>Resultado: Formalización e inclusión de Recuperadores y aprovechamiento de RSU (Gestión Ambiental y Social)</t>
  </si>
  <si>
    <t>Se contabilizaran los planes provinciales aprobados por la Autoridad de Aplicación y ejecutados en el marco de este proyecto. M. verificación: informe de la UE.</t>
  </si>
  <si>
    <t xml:space="preserve">Cantidad de habitantes cuyos RSU son recolectados con sistemas de recolección financiados con el programa (camiones, carros, motocarros, etc.). </t>
  </si>
  <si>
    <t>Cantidad de vehículos habilitados, y debidamente acondicionados de manera de garantizar una adecuada contención de los residuos y evitar su dispersión en el ambiente (incluyendo por ejemplo unidades de recoleccion de RSU, de servicio de barrido de calles, de unidades de transferencia de RSU desde plantas a sitios de disposición final), adquiridos por el proyecto y en operación.  Medio de verificación: informe de la UE en base a relevamiento de campo.</t>
  </si>
  <si>
    <t xml:space="preserve">Cantidad de instalaciones habilitadas para tal fin por la autoridad competente, y en las cuales los RSU son acondicionados y/o valorizados,  construidas y operadas regularmente. Medio de verificación: informe de la UE en base a relevamiento de campo. </t>
  </si>
  <si>
    <t xml:space="preserve">Cantidad de equipos para recuperación y/o reciclaje instalados y operados regularmente en los municipios beneficiarios. Medio de verificación: informe de la UE en base a relevamiento de campo. </t>
  </si>
  <si>
    <t xml:space="preserve">Cantidad de  instalaciones, habilitadas por la autoridad competente, y en las cuales los RSU son almacenados transitoriamente y/o acondicionados para su transporte, construidas y operadas regularmente. Medio de verificación: informe de la UE en base a relevamiento de campo. </t>
  </si>
  <si>
    <t xml:space="preserve">Cantidad de centros de disposición final,  habilitados por la autoridad competente para la disposición permanente de los residuos, construidos y operados regularmente. Medio de verificación: informe de la UE en base a relevamiento de campo. </t>
  </si>
  <si>
    <t xml:space="preserve">Cantidad de Basurales a cielo abierto saneados y/o clausurados en los municipios beneficiarios. M. de verificación: informe de la UE. </t>
  </si>
  <si>
    <t>Medios de Verificación</t>
  </si>
  <si>
    <t>Observaciones</t>
  </si>
  <si>
    <t xml:space="preserve">Se toma el dato de línea de base de la Evaluación Regional del Manejo de residuos sólidos urbanos en ALC 2010 (BID, 2011). Para verificar este indicador se tomarán los datos de población proyectados a 2019 de los proyectos a construir. </t>
  </si>
  <si>
    <t>Informe de la UE.</t>
  </si>
  <si>
    <t>Se considera basural a cielo abierto cerrado a aquel predio que fue debidamente cercado a los fines de impedir nuevos vertidos de RSU a cielo abierto.</t>
  </si>
  <si>
    <t>Se considera BCA saneado a aquel predio debidamente cerrado, donde se realizó cobertura de RSU y obras para escurrimiento de aguas superficiales, gestión de lixiviados y gases del relleno, a los fines impedir nuevos vertidos de RSU en el predio.</t>
  </si>
  <si>
    <t>Se toma el dato de línea de base de la Evaluación Regional del Manejo de residuos sólidos urbanos en ALC 2010 (BID, 2011). Para verificar este indicador se tomarán los datos de recuperación proyectados a 2019 de la infraestructuta a construir.</t>
  </si>
  <si>
    <t xml:space="preserve">Informe de la UE en base a consultorías contratadas y aprobadas. </t>
  </si>
  <si>
    <t>Se contabilizarán la cantidad de estudios sectoriales, referidos a corrientes de residuos gestionados a menudo con los RSU, como residuos de la construcción y demolición, residuos de aparatos electricos y electrónicos y residuos de comida,  aprobados por la UE.</t>
  </si>
  <si>
    <t xml:space="preserve">Informe de la UE. </t>
  </si>
  <si>
    <t>Informe de la UE</t>
  </si>
  <si>
    <t>Cantidad de habitantes que cuentan con sistemas de disposición inicial selectiva instalados en los municipios beneficiarios.</t>
  </si>
  <si>
    <t xml:space="preserve">Informe de la UE en base a relevamiento de campo. </t>
  </si>
  <si>
    <t>Cantidad de  municipios con BCA saneados y/o clausurados en el marco del programa.</t>
  </si>
  <si>
    <t>Porcentaje de RSU recuperados respecto de los generados.</t>
  </si>
  <si>
    <t>Cantidad de municipios con centros de disposición final,  habilitados por la autoridad competente para la disposición permanente de los residuos, construidos y operados regularmente.</t>
  </si>
  <si>
    <t>Cantidad de municipios con instalaciones habilitadas  por la autoridad competente, y en las cuales los RSU son acondicionados y/o valorizados,  construidas y operadas regularmente.</t>
  </si>
  <si>
    <t>Cantidad de municipios con instalaciones habilitadas por la autoridad competente, y en las cuales los RSU son acondicionados y/o valorizados,  construidas y operadas regularmente.</t>
  </si>
  <si>
    <t>RSU recuperados sobre RSU generados</t>
  </si>
  <si>
    <t>Nuevos municipios con sistemas de disposición final adecuados en operación</t>
  </si>
  <si>
    <t>Población que dispone sus RSU en sistemas de disposición final adecuados</t>
  </si>
  <si>
    <t>Sistemas</t>
  </si>
  <si>
    <t>Equipos</t>
  </si>
  <si>
    <t>Instalaciones</t>
  </si>
  <si>
    <t>Rellenos Sanitarios</t>
  </si>
  <si>
    <t>Recuperadores incluidos en actividades previstas en los PISO/PSA</t>
  </si>
  <si>
    <t>Recuperadores</t>
  </si>
  <si>
    <t>Recuperadores mujeres</t>
  </si>
  <si>
    <t xml:space="preserve">Recuperadores </t>
  </si>
  <si>
    <t>Recuperadores trabajando en las plantas de selección o en programas de recuperación con inclusión, en el marco del PISO/PSA</t>
  </si>
  <si>
    <t>Al menos 1 Actividad contemplada en el PCAS llevada a cabo</t>
  </si>
  <si>
    <t>Planes de Comunicación Ambiental y Social (PCAS)</t>
  </si>
  <si>
    <t xml:space="preserve">PCAS con No Objeción del BID </t>
  </si>
  <si>
    <t xml:space="preserve">Campañas </t>
  </si>
  <si>
    <t>Campañas de comunicación desarrolladas</t>
  </si>
  <si>
    <t>Planes de Inclusión Social (PISo) y Planes Sociales Abreviados (PSA)</t>
  </si>
  <si>
    <t xml:space="preserve">PISo/PSA con No Objeción del BID </t>
  </si>
  <si>
    <t>Infraestructura construida para el funcionamiento de iniciativas sociales contempladas en el PISO/PSA</t>
  </si>
  <si>
    <t>Recuperadores trabajando en grupos asociativos formalmente conformados en el marco del PISO/PSA (Grupos Asociativos, Cooperativas o Emprendimientos Sociales)</t>
  </si>
  <si>
    <t>PCAS</t>
  </si>
  <si>
    <t>Kits</t>
  </si>
  <si>
    <t>Se considera kit al conjunto de  elementos de comunicación definidos en el PCAS.</t>
  </si>
  <si>
    <t>Planes</t>
  </si>
  <si>
    <t>Se considera kit al conjunto de bienes definidos en el PISO/PSA.</t>
  </si>
  <si>
    <t>Medio de Verificación</t>
  </si>
  <si>
    <t>Medios de Verif.</t>
  </si>
  <si>
    <t>Recuperadores mujeres incluidas en actividades previstas en los PISO/PSA</t>
  </si>
  <si>
    <t>Estudios</t>
  </si>
  <si>
    <t>Costos</t>
  </si>
  <si>
    <t>Ver 2.1</t>
  </si>
  <si>
    <t>Ver 2.2</t>
  </si>
  <si>
    <t>Ver 2.3</t>
  </si>
  <si>
    <t>Ver 3.1</t>
  </si>
  <si>
    <t>Ver 3.2</t>
  </si>
  <si>
    <t>Ver 3.3</t>
  </si>
  <si>
    <t>Ver 3.6</t>
  </si>
  <si>
    <t>Ver 3.8</t>
  </si>
  <si>
    <t>Ver 3.10</t>
  </si>
  <si>
    <t>Ver 3.11</t>
  </si>
  <si>
    <t>Ver 3.12</t>
  </si>
  <si>
    <t>Ver 3.13</t>
  </si>
  <si>
    <t>Ver 3.14</t>
  </si>
  <si>
    <t>Ver 3.15</t>
  </si>
  <si>
    <t>Ver 3.18</t>
  </si>
  <si>
    <t>Ver 3.19</t>
  </si>
  <si>
    <t>Ver 4.01</t>
  </si>
  <si>
    <t>Ver 4.02</t>
  </si>
  <si>
    <t>Ver 4.03</t>
  </si>
  <si>
    <t>Ver 4.04</t>
  </si>
  <si>
    <t>Ver 4.05</t>
  </si>
  <si>
    <t>Ver 4.06</t>
  </si>
  <si>
    <t>Ver 4.07</t>
  </si>
  <si>
    <t>Ver 4.08</t>
  </si>
  <si>
    <t>Ver 4.09</t>
  </si>
  <si>
    <t>Ver 4.10</t>
  </si>
  <si>
    <t>Ver 4.11</t>
  </si>
  <si>
    <t>Ver 4.12</t>
  </si>
  <si>
    <t>Certificados de participación entregados</t>
  </si>
  <si>
    <t>Plan GIRSU municipal validado por autoridad competente y con al menos alguna de sus medidas implementada.</t>
  </si>
  <si>
    <t>Talleres</t>
  </si>
  <si>
    <t>Talleres realizados</t>
  </si>
  <si>
    <t>Talleres de Capacitación y/o fortalecimiento</t>
  </si>
  <si>
    <t>Nuevos Municipios que cuentan con una Unidad GIRSU</t>
  </si>
  <si>
    <t>Resolución de formación de la Unidad</t>
  </si>
  <si>
    <t>Resolución de formación de la Unidad, con personal y presupuesto asignado.</t>
  </si>
  <si>
    <r>
      <t>Nuevos municipios con sistemas de recuperación</t>
    </r>
    <r>
      <rPr>
        <sz val="8"/>
        <rFont val="Arial"/>
        <family val="2"/>
      </rPr>
      <t xml:space="preserve"> </t>
    </r>
    <r>
      <rPr>
        <sz val="11"/>
        <rFont val="Arial"/>
        <family val="2"/>
      </rPr>
      <t>en operación</t>
    </r>
  </si>
  <si>
    <t>Nuevos municipios con sistemas de recuperación en operación</t>
  </si>
  <si>
    <t>Población beneficiaria del saneamiento de basurales</t>
  </si>
  <si>
    <t>Cantidad de habitantes beneficiados por los saneamientos de basurales.</t>
  </si>
  <si>
    <t>Cantidad de sistemas de disposicion inicial selectiva instalados en municipios beneficiarios, entendiéndose como disposicion inicial selectiva a lo previsto en el articulo 3 b) 2 de la Ley 25.916 (sistema con separacion y clasificacion de residuos a cargo del generador). Entre estos sistemas, se incluyen contenedores de RSU separados, puntos verdes, estaciones ambientales, etc.</t>
  </si>
  <si>
    <t>Recuperadores presentes en BCA; que participen de al menos una actividad contemplada en el PISO/PSA, incluyendo las actividades iniciales de mejora de condiciones de los BCA.</t>
  </si>
  <si>
    <t>Recuperadores mujeres presentes en BCA; que participen de al menos una actividad contemplada en el PISO/PSA, incluyendo las actividades iniciales de mejora de condiciones de los BCA.</t>
  </si>
  <si>
    <t>Recuperadores de vía pública incluidos en actividades previstas en el PISO/PSA</t>
  </si>
  <si>
    <t xml:space="preserve">Informe de la UE en base a relevamiento de campo y/o Informes de jurisdicciones intervenidas. </t>
  </si>
  <si>
    <t>Recuperadores en vía pública contemplados en el PISO/PSA  beneficiarios de capacacitaciones en seguridad e higiene y entrega de elementos de protección personal (guantes, chalecos, indumentaria, normas de convivencia, etc).</t>
  </si>
  <si>
    <t>Informe de la UE en base a relevamiento de campo y/o Informes de jurisdicciones intervenidas.</t>
  </si>
  <si>
    <t>De donde sale el 100200?</t>
  </si>
  <si>
    <t>De donde sale el 300000?</t>
  </si>
  <si>
    <t>Población beneficiaria de sistemas de higiene urbana,recolección y transporte financiados con el programa</t>
  </si>
  <si>
    <t>Campaña nacional de comunicación</t>
  </si>
  <si>
    <t>Campaña</t>
  </si>
  <si>
    <t>Campaña Nacional de Comunicación</t>
  </si>
  <si>
    <t>% (de población de los municipios que presentaron DA / total de población nacional)</t>
  </si>
  <si>
    <t>Se trata de un sistema de información de acuerdo con el artículo 25 de la Ley Nacional 25.916. "(...)el que deberá, como mínimo, especificar el tipo y cantidad de residuos domiciliarios que son recolectados, y además, aquellos que son valorizados o que tengan potencial para su valorización en cada una de las jurisdicciones."
Los costos posteriores al año de entrega del producto corresponden a mantenimiento y difusión del Sistema.</t>
  </si>
  <si>
    <t>habitantes</t>
  </si>
  <si>
    <t>recuperacion tn/dia</t>
  </si>
  <si>
    <t>generacion toneladas / dia</t>
  </si>
  <si>
    <t>Préstamo 3249/OC-AR</t>
  </si>
  <si>
    <t>Matriz de Resultados - Costos</t>
  </si>
  <si>
    <t>Informe de la UE en base a las Declaraciones Anuales del Observatorio Nacional para la GIRSU</t>
  </si>
  <si>
    <t>Se define el indicador en base a población, en lugar de municipios, porque el 85% de la misma se encuentra concentrada en el 13.6% de los municipios.  Este indicador medirá el impacto de la información de GIRSU generada en los municipios según tamaño poblacional.
El Sistema de Información de GIRSU del Observatorio Nacional contendrá el estado de situación de la gestión de residuos del universo total de municipios argentinos, con actualizaciones anuales, año base 2015. Se contabilizarán estudios de diagnóstico de la gestión de RSU a nivel nacional de Argentina realizados y aprobados por la UE a 2019. Una vez enviada la declaración, el municipio recibe un email de confirmación y ya no puede ser modificada.</t>
  </si>
  <si>
    <t>Se entiende por fortalecidos aquellos municipios que hayan participado de: 1) Taller de capacitación económico-financiero, o de 2) Capacitaciones en Gestión Integral de RSU contempladas dentro del Programa de capacitación a distancia del portal del Observatorio Nacional de la SAyDS; o 3) Otras Capacitaciones técnicas de gestión de RSU dicadas en el marco del Préstamo BID N° 3249/OC-AR. El indicador estará dado por la cantidad de municipios alcanzados por al menos una capacitación (no se contarán dos veces en caso de realizar más de una capacitación)</t>
  </si>
  <si>
    <t>Implementación de la Campaña SEPARA de la SAyDS en municipios.</t>
  </si>
  <si>
    <t>1) Taller de capacitación económico-financiero
2) Capacitaciones en Gestión Integral de RSU contempladas dentro del Programa de capacitación a distancia del portal del Observatorio Nacional para la GIRSU de la SAyDS
3) Otras Capacitaciones de gestión de RSU dictadas en el marco del Préstamo BID N° 3249/OC-AR</t>
  </si>
  <si>
    <t>Se contabilizarán estudios de planes provinciales de GIRSU finalizados y aprobados por la Autoridad de Aplicación Provincial  al año 2019. Se tiene en cuenta que al 2015 se aprobaran los planes provinciales de Entre Ríos, Catamarca, Formosa y Río Negro. Como línea de base se toman los Planes Provinciales financiados con fondos de los préstamos BID y BIRF en los últimos 5 años. (14 provincias de línea de base y 19 provincias como meta).</t>
  </si>
  <si>
    <t>1.0</t>
  </si>
  <si>
    <t>Hogares cuyos residuos sólidos son dispuestos en rellenos sanitarios (RF Indicator)</t>
  </si>
  <si>
    <t>Hogares</t>
  </si>
  <si>
    <t>Se toma el dato de línea de base de la Evaluación Regional del Manejo de residuos sólidos urbanos en ALC 2010 (BID, 2011). Para verificar este indicador se tomarán los datos de población proyectados a 2019 de los proyectos a construir. El indicador de hogares se calcula teniendo en cuenta la población total dividida por 4.</t>
  </si>
  <si>
    <t>Provincia</t>
  </si>
  <si>
    <t>Proyecto</t>
  </si>
  <si>
    <t>Población</t>
  </si>
  <si>
    <t>Toneladas generadas (ton/día)</t>
  </si>
  <si>
    <t>Toneladas a disponer (ton/día)</t>
  </si>
  <si>
    <t>Toneladas a recuperar (ton/día)</t>
  </si>
  <si>
    <t>Cant. Contenedores o Ptos. Verdes</t>
  </si>
  <si>
    <t xml:space="preserve">Cant. Mun. </t>
  </si>
  <si>
    <t>Cant. Basurales (Fondos BID)</t>
  </si>
  <si>
    <t>Cant. Basurales (Pcia/Munic)</t>
  </si>
  <si>
    <t>Costo US$</t>
  </si>
  <si>
    <t>Jujuy</t>
  </si>
  <si>
    <t>Chanchillos</t>
  </si>
  <si>
    <t>La Quiaca</t>
  </si>
  <si>
    <t>Quebrada</t>
  </si>
  <si>
    <t>San Pedro</t>
  </si>
  <si>
    <t>Misiones</t>
  </si>
  <si>
    <t>Posadas</t>
  </si>
  <si>
    <t>-</t>
  </si>
  <si>
    <t>Entre Ríos</t>
  </si>
  <si>
    <t>Concordia</t>
  </si>
  <si>
    <t>Paraná</t>
  </si>
  <si>
    <t>Santa Elena y La Paz</t>
  </si>
  <si>
    <t>San José</t>
  </si>
  <si>
    <t xml:space="preserve">0* </t>
  </si>
  <si>
    <t>Gualeguaychú</t>
  </si>
  <si>
    <t>Catamarca</t>
  </si>
  <si>
    <t>SFVC</t>
  </si>
  <si>
    <t>Santa María</t>
  </si>
  <si>
    <t>Recreo</t>
  </si>
  <si>
    <t>Aconquija</t>
  </si>
  <si>
    <t>Río Negro</t>
  </si>
  <si>
    <t>Viedma</t>
  </si>
  <si>
    <t>Cipoletti</t>
  </si>
  <si>
    <t>Lamarque</t>
  </si>
  <si>
    <t>Formosa</t>
  </si>
  <si>
    <t xml:space="preserve">Formosa Cap. </t>
  </si>
  <si>
    <t>Pirané - Palo Santo</t>
  </si>
  <si>
    <t>Las Lomitas - Pozo del Tigre</t>
  </si>
  <si>
    <t>Mendoza</t>
  </si>
  <si>
    <t>AMM</t>
  </si>
  <si>
    <t xml:space="preserve">Malargüe </t>
  </si>
  <si>
    <t>Alvear</t>
  </si>
  <si>
    <t>Santiago del Estero</t>
  </si>
  <si>
    <t>Termas</t>
  </si>
  <si>
    <t>Buenos Aires</t>
  </si>
  <si>
    <t>MDP</t>
  </si>
  <si>
    <t>Zarate Campana</t>
  </si>
  <si>
    <t>Costa Bonaerense</t>
  </si>
  <si>
    <t>Neuquén</t>
  </si>
  <si>
    <t>Neuquén Area Met.</t>
  </si>
  <si>
    <t xml:space="preserve"> Tierra del Fuego</t>
  </si>
  <si>
    <t>Chanchillos - Relleno Sanitario</t>
  </si>
  <si>
    <t>RS</t>
  </si>
  <si>
    <t>Chanchillos - Planta de Separación</t>
  </si>
  <si>
    <t>PS</t>
  </si>
  <si>
    <t>Chanchillos - Cierre de Basurales</t>
  </si>
  <si>
    <t>construcción del Centro Ambiental La Quiaca, Estaciones de Transferencia en Humahuaca, Tilcara, Purmamarca y Saneamiento de 6 BCAs</t>
  </si>
  <si>
    <t>Concordia - Relleno Sanitario</t>
  </si>
  <si>
    <t>Concordia - Planta de Separación</t>
  </si>
  <si>
    <t>Concordia - Cierre de Basurales</t>
  </si>
  <si>
    <t>San Fernando del Valle de Catamarca- Relleno Sanitario</t>
  </si>
  <si>
    <t>San Fernando del Valle de Catamarca- Planta de Separación</t>
  </si>
  <si>
    <t>San Fernando del Valle de Catamarca- Cierre/Saneamiento de BCA</t>
  </si>
  <si>
    <t>San Fernando del Valle de Catamarca- Equipamiento para la Disposición Inicial</t>
  </si>
  <si>
    <t>Pcia. de Neuquén- Planta de Separación</t>
  </si>
  <si>
    <t>Pcia. Tierra del Fuego- Planta de Separación</t>
  </si>
  <si>
    <t>Costa</t>
  </si>
  <si>
    <t>PS y ET</t>
  </si>
  <si>
    <t>Partido de la Costa-Relleno Sanitario, Planta de Separación,  Estación de Transferencia, Saneamiento de 2 BCAs</t>
  </si>
  <si>
    <t>Zarate</t>
  </si>
  <si>
    <t>Desembolsos Acumulados</t>
  </si>
  <si>
    <t xml:space="preserve">Costo </t>
  </si>
  <si>
    <t>Chanchillos 2</t>
  </si>
  <si>
    <t>Relleno Sanitario Chanchillos</t>
  </si>
  <si>
    <t>Planta de Separación y Transferencia San Pedro</t>
  </si>
  <si>
    <t>Saneamiento de 2 BCA (El Pongo y Palpalá)</t>
  </si>
  <si>
    <t>Chanchillos 3</t>
  </si>
  <si>
    <t>RS + PS + SBCA La Quiaca</t>
  </si>
  <si>
    <t>Planta de Separación y Transferencia Quebrada</t>
  </si>
  <si>
    <t>Saneamiento de BCA Quebrada</t>
  </si>
  <si>
    <t>dólares</t>
  </si>
  <si>
    <t>Relleno Sanitario Concordia</t>
  </si>
  <si>
    <t>Planta de Separación Concordia</t>
  </si>
  <si>
    <t>Saneamiento de BCA Concordia</t>
  </si>
  <si>
    <t>Equipamiento y Fortalecimiento Concordia</t>
  </si>
  <si>
    <t>Relleno Sanitario SFVC</t>
  </si>
  <si>
    <t>Planta de Separación SFVC</t>
  </si>
  <si>
    <t>Saneamiento de BCA SFVC</t>
  </si>
  <si>
    <t>Relleno Sanitario Formosa Capital</t>
  </si>
  <si>
    <t>Planta de Separación Formosa Capital</t>
  </si>
  <si>
    <t>Saneamiento de BCA Formosa Capital</t>
  </si>
  <si>
    <t>Centro Ambiental Zárate-Campana</t>
  </si>
  <si>
    <t>Saneamiento de 1 BCA Zárate</t>
  </si>
  <si>
    <t>Relleno Sanitario Costa Bonaerense</t>
  </si>
  <si>
    <t>Saneamiento de 2 BCA Costa Bonaerense</t>
  </si>
  <si>
    <t>Planta de Separación Neuquén Area Met.</t>
  </si>
  <si>
    <t>Tierra del Fuego</t>
  </si>
  <si>
    <t>Planta de Separación Ushuaia</t>
  </si>
  <si>
    <t>PLAN OPERATIVO ANUAL</t>
  </si>
  <si>
    <t>Programa de Gestión Integral de Residuos Sólidos Urbanos - Subprograma I</t>
  </si>
  <si>
    <t>Valor Dólar</t>
  </si>
  <si>
    <t>Identificación del Proceso</t>
  </si>
  <si>
    <t>Fuente de Financiamiento (ARS)</t>
  </si>
  <si>
    <t>Presupuesto 2014</t>
  </si>
  <si>
    <t>Fuente de Financiamiento (USD)</t>
  </si>
  <si>
    <t>Ejecución (ARS)</t>
  </si>
  <si>
    <t>Descripción matriz</t>
  </si>
  <si>
    <t>Duración (meses)</t>
  </si>
  <si>
    <t>Ap. Préstamo</t>
  </si>
  <si>
    <t>Apertura Programática</t>
  </si>
  <si>
    <t>Monto Total ($)</t>
  </si>
  <si>
    <t>%</t>
  </si>
  <si>
    <t>Monto Total (USD)</t>
  </si>
  <si>
    <t>Tesoro de la Nación</t>
  </si>
  <si>
    <t>BID</t>
  </si>
  <si>
    <t>Presup. Aprobado F11</t>
  </si>
  <si>
    <t>Presup. Aprobado F22</t>
  </si>
  <si>
    <t>Total Aprobado</t>
  </si>
  <si>
    <t>Enero</t>
  </si>
  <si>
    <t>Febrero</t>
  </si>
  <si>
    <t>Marzo</t>
  </si>
  <si>
    <t>Abril</t>
  </si>
  <si>
    <t>Mayo</t>
  </si>
  <si>
    <t>Junio</t>
  </si>
  <si>
    <t>Julio</t>
  </si>
  <si>
    <t>Agosto</t>
  </si>
  <si>
    <t>Septiembre</t>
  </si>
  <si>
    <t>Octubre</t>
  </si>
  <si>
    <t>Noviembre</t>
  </si>
  <si>
    <t>Diciembre</t>
  </si>
  <si>
    <t>F11</t>
  </si>
  <si>
    <t>F22</t>
  </si>
  <si>
    <t>Consultores individuales</t>
  </si>
  <si>
    <t>01.01.01</t>
  </si>
  <si>
    <t>25.62.0.6.1.8.7</t>
  </si>
  <si>
    <t>Servicios no personales</t>
  </si>
  <si>
    <t>25.62.0.6.3.2.1</t>
  </si>
  <si>
    <t>Pasajes y Viáticos</t>
  </si>
  <si>
    <t>III. COSTOS CONCURRENTES</t>
  </si>
  <si>
    <t>Auditoría,  Evaluación y seguimiento</t>
  </si>
  <si>
    <t>Escalamiento e imprevistos</t>
  </si>
  <si>
    <t>IV. COSTOS FINANCIEROS</t>
  </si>
  <si>
    <t>Intereses</t>
  </si>
  <si>
    <t>Comisión de crédito, inspección y vigilancia</t>
  </si>
  <si>
    <t>V. TOTAL</t>
  </si>
  <si>
    <t>Presupuesto en dólares</t>
  </si>
  <si>
    <t xml:space="preserve">    Relleno Sanitario Viedma</t>
  </si>
  <si>
    <t>pesos</t>
  </si>
  <si>
    <t xml:space="preserve">    Obras Comp. al RS Viedma</t>
  </si>
  <si>
    <t xml:space="preserve">    Planta de Separación Viedma</t>
  </si>
  <si>
    <t xml:space="preserve">    Saneamiento de BCA</t>
  </si>
  <si>
    <t xml:space="preserve">    Mejoras Recolección</t>
  </si>
  <si>
    <t xml:space="preserve">    Planta de Separación y Obras Comp. Viedma</t>
  </si>
  <si>
    <t xml:space="preserve">    Saneamiento de BCA (Cipolletti-Allen-Campo Grande-Cinco Saltos-F.Oro)</t>
  </si>
  <si>
    <t xml:space="preserve">    Relleno Sanitario Lamarque</t>
  </si>
  <si>
    <t xml:space="preserve">    Planta de Separación y Obras Comp. Lamarque</t>
  </si>
  <si>
    <t xml:space="preserve">    Saneamiento de BCA (Lamarque-Pomona-Beltrán)</t>
  </si>
  <si>
    <t>Planta de Separación y Obras Comp. Formosa Capital</t>
  </si>
  <si>
    <t>Mejoras Recolección</t>
  </si>
  <si>
    <t>Relleno Sanitario en Pirané</t>
  </si>
  <si>
    <t xml:space="preserve">Planta de Separación y Obras Comp. en Pirané </t>
  </si>
  <si>
    <t>Saneamiento de 2 BCA (Pirané - Palo Santo)</t>
  </si>
  <si>
    <t>Mejoras Recolección Pirané - Palo Santo</t>
  </si>
  <si>
    <t>Relleno Sanitario en Las Lomitas</t>
  </si>
  <si>
    <t>Planta de Separación y Obras Comp. Las Lomitas</t>
  </si>
  <si>
    <t>Saneamiento de 2 BCA (Las Lomitas - Pozo del Tigre)</t>
  </si>
  <si>
    <t>Mejoras Recolección Las Lomitas - Pozo del Tigre</t>
  </si>
  <si>
    <t>Equipamiento y Fortalecimiento SFV Catamarca</t>
  </si>
  <si>
    <t>Santa Elena</t>
  </si>
  <si>
    <t>RS y Camiones</t>
  </si>
  <si>
    <t>Camiones $7700000</t>
  </si>
  <si>
    <t>Paraná - Relleno Sanitario</t>
  </si>
  <si>
    <t>Paraná - Camiones</t>
  </si>
  <si>
    <t>Paraná- Saneamiento de BCA</t>
  </si>
  <si>
    <t>Presupuesto en dólares (-10%)</t>
  </si>
  <si>
    <t>Avance Físico</t>
  </si>
  <si>
    <t>Avance Financiero</t>
  </si>
  <si>
    <t>Total 2016</t>
  </si>
  <si>
    <t>Porcentaje de Ejecución 2016</t>
  </si>
  <si>
    <t>Obra de Chanchillos 2</t>
  </si>
  <si>
    <t>Catamarca (SF V Catm)</t>
  </si>
  <si>
    <t>Formosa Mejora Recolección</t>
  </si>
  <si>
    <t>Río Negro (Viedma)</t>
  </si>
  <si>
    <t>Río Negro (Viedma) - Mejora de Recolección</t>
  </si>
  <si>
    <t>Partido de la Costa</t>
  </si>
  <si>
    <t>Zárate -  Campana</t>
  </si>
  <si>
    <t>Ejecucion en dólares</t>
  </si>
  <si>
    <t>Concordia - Mejora Recolección</t>
  </si>
  <si>
    <t>Catamarca - Mejora de Recolección</t>
  </si>
  <si>
    <t>Porcentaje de Ejecución 2017</t>
  </si>
  <si>
    <t>AR-L1266</t>
  </si>
  <si>
    <t>EJERCICIO 2018</t>
  </si>
  <si>
    <t>1,2,1</t>
  </si>
  <si>
    <t>1,2,2</t>
  </si>
  <si>
    <t>1,2,3</t>
  </si>
  <si>
    <t>3,3</t>
  </si>
  <si>
    <t>1,3,3</t>
  </si>
  <si>
    <t>3,2,1</t>
  </si>
  <si>
    <t>3,1,1</t>
  </si>
  <si>
    <t>3,1,2</t>
  </si>
  <si>
    <t>3,1,3</t>
  </si>
  <si>
    <t>3,1,4</t>
  </si>
  <si>
    <t>3,1,5</t>
  </si>
  <si>
    <t>Administración</t>
  </si>
  <si>
    <t>Auditorías</t>
  </si>
  <si>
    <t>1,3,1</t>
  </si>
  <si>
    <t>1,3,2</t>
  </si>
  <si>
    <t>ACTIVIDADES</t>
  </si>
  <si>
    <t>1,3,4</t>
  </si>
  <si>
    <t>1,3,5</t>
  </si>
  <si>
    <t>2,1,1</t>
  </si>
  <si>
    <t>2,1,2</t>
  </si>
  <si>
    <t>2,2,1</t>
  </si>
  <si>
    <t>2,2,2</t>
  </si>
  <si>
    <t>2,2,3</t>
  </si>
  <si>
    <t>3,2,2</t>
  </si>
  <si>
    <t xml:space="preserve">4. Administración </t>
  </si>
  <si>
    <t>Mejora de la Infraestructura edilicia e informática</t>
  </si>
  <si>
    <t>COMPONENTE 2. ACTUALIZACION DE LA BASE SOCIODEMOGRAFICA</t>
  </si>
  <si>
    <t>Pruebas Piloto, Encuestas de validaciòn, Prueba Piloto de la Encuesta Post Censal y Censo Experimental</t>
  </si>
  <si>
    <t xml:space="preserve">Archivo de domicilios de la Repùblica Argentina (ADRA) y otras tareas cartograficas conexas y relativas a segmentacion </t>
  </si>
  <si>
    <t xml:space="preserve">Componente 3. Actualización de la base estadistica económica </t>
  </si>
  <si>
    <t>Aprovechamiento estadístico de registros administrativos</t>
  </si>
  <si>
    <t>Actividades preparatorias del CNE</t>
  </si>
  <si>
    <t>Estadística e indicadores económicos</t>
  </si>
  <si>
    <t>TOTAL</t>
  </si>
  <si>
    <t>Evaluación de medio término</t>
  </si>
  <si>
    <t>Consultoría Individual para el diseño del plan estratégico de acceso a la información pública (open data)</t>
  </si>
  <si>
    <t>Consultoría Individual para traducción y producción de contenidos en idioma inglés</t>
  </si>
  <si>
    <t>DETALLES</t>
  </si>
  <si>
    <t>Movilización (pasajes y viáticos) del personal de la Dirección de Metodología para intercambio de experiencias con otros institutos de estadística para actualización en programas de modernizaciónpara la recoleccion, captura y procesamiento de datos</t>
  </si>
  <si>
    <t xml:space="preserve">Movilización (pasajes y viáticos) de personal de otros institutos de estadística al INDEC para intercambio de experiencias </t>
  </si>
  <si>
    <t>Consultoría individual para elaboración de una Metodología de Aseguramiento de la Calidad de la Información Estadística en base a requerimientos de la OCDE</t>
  </si>
  <si>
    <t>2 consultores x 17.454 (Decreto 2345) x 12 meses cada año de duración del Proyecto</t>
  </si>
  <si>
    <t>1 consultor x 23,270 (Decreto 2345) x 4 meses</t>
  </si>
  <si>
    <t>Consultoría para diagnóstico del marco normativo del INDEC y generación de propuesta en base a los requerimientos de la OCDE para la actualización de la normativa en materia estadística</t>
  </si>
  <si>
    <t>Contratación del servicio de relevamiento, reinstalación y chequeo final del Data Center a su lugar de destino para garantizar la seguridad de la información</t>
  </si>
  <si>
    <t xml:space="preserve">Costo aproximado </t>
  </si>
  <si>
    <t>3 meses</t>
  </si>
  <si>
    <t>1,2,4</t>
  </si>
  <si>
    <t>1,2,5</t>
  </si>
  <si>
    <t>Adquisición de Software y el costo para la renovación de licencias por 3 años</t>
  </si>
  <si>
    <t>Adquisición de equipamiento para Data Center, incluido servicio de mantenimiento</t>
  </si>
  <si>
    <t>Consultoría individual para el desarrollo de un manual de organización de recursos humanos.</t>
  </si>
  <si>
    <t>Consultoría individual para la realización del diagnostico y análisis de requerimientos para la institucionalizacion del "Instituto de Formacion Estadisticos de Gobierno"</t>
  </si>
  <si>
    <t>Consultores individuales para el fortalecimiento de las áreas de apoyo del INDEC (informática, operaciones, recursos humanos)</t>
  </si>
  <si>
    <t>30 consultores x 17.454 (Decreto 2345) x 12 meses por cada año</t>
  </si>
  <si>
    <t xml:space="preserve">Consultorías individuales para Diseñar estrategias y programas de trabajo que contribuyan a facilitar y optimizar la vinculación con los medios de comunicación y la opinión pública </t>
  </si>
  <si>
    <t>Consultorías indiduales para Contribuir en la planificación estratégica del área de vinculación con los medios y realizar tareas operativas de prensa</t>
  </si>
  <si>
    <t xml:space="preserve">Consultorías individuales para análisis y seguimiento de la coordinación del INDEC con organismos del SEN </t>
  </si>
  <si>
    <t>6 meses</t>
  </si>
  <si>
    <t>Servicios de capacitación con distintos organismos del SEN</t>
  </si>
  <si>
    <t>12 meses en 2 años</t>
  </si>
  <si>
    <t>Movilización (pasajes y viáticos) de personal de los organismos del SEN y de personal del INDEC para actividades de cooperación y fortalecimiento del INDEC</t>
  </si>
  <si>
    <t>1,2,6</t>
  </si>
  <si>
    <t>1,2,7</t>
  </si>
  <si>
    <t>Adquisición de equipamiento tecnológico, incluido servicio de mantenimiento</t>
  </si>
  <si>
    <t>Consultores individuales para planeamiento y programación del Censo de Población</t>
  </si>
  <si>
    <t>Consultores individuales para la planificación, desarrollo y análisis de talleres con agentes externos para consolidar el diseño conceptual metodológico del Censo</t>
  </si>
  <si>
    <t>Consultorías individuales para desarrollo de las Pruebas Piloto, encuesta post censal y censo experimental</t>
  </si>
  <si>
    <t>2,1,3</t>
  </si>
  <si>
    <t>2,1,4</t>
  </si>
  <si>
    <t>2,1,5</t>
  </si>
  <si>
    <t>2,1,6</t>
  </si>
  <si>
    <t>Consultorías individuales para Planificar y producir campañas de sensibilización y otras acciones de comunicación</t>
  </si>
  <si>
    <t>Consultorías individuales para trabajar en la planificación e implementación de estrategias para la gestión de redes sociales y otras acciones de comunicación</t>
  </si>
  <si>
    <t>Consultorías individuales para planificar y elaborar productos editoriales. Editar, compaginar y corregir informes, documentos y publicaciones</t>
  </si>
  <si>
    <t>Consultoría individual para Planificar e implementar nuevas plataformas y herramientas digitales. Desarrollos web</t>
  </si>
  <si>
    <t>Consultorías individuales para producir material gráfico y audiovisual para soportes digitales y redes sociales. Visualización de datos</t>
  </si>
  <si>
    <t xml:space="preserve">Consultorías individuales para Diseñar piezas gráficas y editoriales y diagramar material de campo </t>
  </si>
  <si>
    <t>Consultorías individuales para realizar filmación y fotografía para producciones audiovisuales y coberturas de eventos</t>
  </si>
  <si>
    <t>Consultorías individuales para editar videos y fotografías para producciones audiovisuales y material de prensa</t>
  </si>
  <si>
    <t>Adquisición de equipamiento tecnológico para la realización de las pruebas piloto, encuestas de validación, censo experimental</t>
  </si>
  <si>
    <t>2,1,7</t>
  </si>
  <si>
    <t>Movilización (pasajes y viáticos) de personal de la Dirección Nacional de Estadísticas Sociales y de Producción a las Provincias para seguimiento y monitoreo de las pruebas piloto, censo experimental</t>
  </si>
  <si>
    <t>2018: 79 personas por 10 meses a 1000 pesos por viaje, 2019: por 12 meses para 50 personas, 2020: 44 personas</t>
  </si>
  <si>
    <t>2,1,8</t>
  </si>
  <si>
    <t>Servicios de capacitación específicas para formar a los recursos humanos que implementarán el operativo censal y pruebas piloto</t>
  </si>
  <si>
    <t>2,1,9</t>
  </si>
  <si>
    <t>Contratación del servicio de alquiler de mini vans y minibuses para transporte de censistas en la realización de las prueba piloto, encuestas complementarias y censo experimental</t>
  </si>
  <si>
    <t>2,1,10</t>
  </si>
  <si>
    <t>Servicios de capacitación 2da Capacitación (escalonada) en GIS  / 2da Capacitación para actualizadores</t>
  </si>
  <si>
    <t>30 personas. Junio  a  agosto y 1351 actualizadores en las DPE. Costo en BA: $3 y en Provincia $6</t>
  </si>
  <si>
    <t>2,2,4</t>
  </si>
  <si>
    <t>Contratación de consultores para actualización cartográfica, listado y segmentación (INDEC - DPE) y Archivo de domicilios (INDEC-DPE)</t>
  </si>
  <si>
    <t>Consultorías individuales para apoyo a la actualización del Marco cartográfico y de la Muestra Maestra Urbana de Viviendas de la República Argentina (MMUVRA</t>
  </si>
  <si>
    <t>2,2,5</t>
  </si>
  <si>
    <t>2 consultores en la Dir. Nacional de Metodología Estadística con 23270 x 12 meses</t>
  </si>
  <si>
    <t>5 consultores en la Dir. Nacional de Metodología Estadística con 23270 x 12 meses</t>
  </si>
  <si>
    <t>6 consultores expertos en la Dir. De Informática con 37182 x 12 meses</t>
  </si>
  <si>
    <t>Desarrollo de una plataforma de interoperabilidad con AFIP con el fin de producir los datos en información estadística</t>
  </si>
  <si>
    <t>3,2,3</t>
  </si>
  <si>
    <t>3,2,4</t>
  </si>
  <si>
    <t>5 meses a $3 dólares la encuesta para un aproximado de 20.000 personas y empresas. Dependerá de la determinación de la muestra</t>
  </si>
  <si>
    <t>Firma consultora para la implementación a nivel nacional de una encuesta de satisfacción al usuario de la información que produce el INDEC (mediante muestra probabilistica), analísis y reporte de resultados</t>
  </si>
  <si>
    <t>Plan Estratégico de Acceso a la Información Pública implementado</t>
  </si>
  <si>
    <t>Directorios de Empresas y agentes económicos, con utilización estadística actualizados.</t>
  </si>
  <si>
    <t>Consultores individuales para el diseño metodológico conceptual de la actualización del listado de las unidades económicas</t>
  </si>
  <si>
    <t>Servicios de capacitación específicas para formar a los recursos humanos que implementarán el levantamiento de unidades económicas</t>
  </si>
  <si>
    <t>3,2,5</t>
  </si>
  <si>
    <t>Movilización (pasajes y viáticos) de personal del INDEC a las Provincias para seguimiento y monitoreo del relevamiento de la información para la actualización del listado de las unidades económicas</t>
  </si>
  <si>
    <t>Consultores individuales para el diseño metodológico conceptual y apoyo a la elaboración de los indicadores económicos de la actualización del listado de las unidades económicas</t>
  </si>
  <si>
    <t>6 consultores por indicador (6) con 37.182 mensual por 12 meses por todo el año</t>
  </si>
  <si>
    <t>Gsbpm programa de modernización estadística: Generic statistical business process model</t>
  </si>
  <si>
    <t>Censo experimental realizado</t>
  </si>
  <si>
    <t>Contratación de personal de campo para actualización del listado de unidades económicas</t>
  </si>
  <si>
    <t>1,3,6</t>
  </si>
  <si>
    <t>CI</t>
  </si>
  <si>
    <t>FC</t>
  </si>
  <si>
    <t>firmas consultoras nacionales e internacionales (OCDE)</t>
  </si>
  <si>
    <t>PYV</t>
  </si>
  <si>
    <t>2 consultores x 20.235 (Decreto 2345) x 12 meses cada año de duración del Proyecto</t>
  </si>
  <si>
    <t>B</t>
  </si>
  <si>
    <t>S</t>
  </si>
  <si>
    <t>Firma consultora para la elaboración del PLAN MAESTRO y propuesta de intervención para de las adecuaciones edilicias en el INDEC</t>
  </si>
  <si>
    <t>1,2,8</t>
  </si>
  <si>
    <t xml:space="preserve">1 consultor x 20.235 (Decreto 2345) x 6 meses </t>
  </si>
  <si>
    <r>
      <t xml:space="preserve">Consultoría para el diseño de un plan de desarollo de carrera en coordinación con el Ministerio de </t>
    </r>
    <r>
      <rPr>
        <sz val="9"/>
        <color rgb="FFFF0000"/>
        <rFont val="Calibri"/>
        <family val="2"/>
        <scheme val="minor"/>
      </rPr>
      <t>Coordinación</t>
    </r>
  </si>
  <si>
    <t>1 consultor x 20.235 (Decreto 2345) x 6 meses</t>
  </si>
  <si>
    <t>2 consultores x 20.235 (Decreto 2345) x 6 meses</t>
  </si>
  <si>
    <t>1,3,7</t>
  </si>
  <si>
    <t>2 consultores x 20235 (Decreto 2345) x 12 meses cada año de duración del Proyecto</t>
  </si>
  <si>
    <t>6 PCs y 6 impresoras  e insumos mantenim</t>
  </si>
  <si>
    <t>CI*</t>
  </si>
  <si>
    <t>Consultorías individuales para el diseño marco-conceptual para manejo de registros administrativos, identificación de fuentes de datos, propuesta de identificadores y clasificadores comunes y análisis de normativa y porpuesta de interoperabilidad</t>
  </si>
  <si>
    <t>3,3,1</t>
  </si>
  <si>
    <t xml:space="preserve">Componente 4. Unidad Ejecutora del Programa </t>
  </si>
  <si>
    <t>4,1</t>
  </si>
  <si>
    <t>APL</t>
  </si>
  <si>
    <t>Alquiler Oficina</t>
  </si>
  <si>
    <t>pesos 50.000 mensuales</t>
  </si>
  <si>
    <t>4,2</t>
  </si>
  <si>
    <t>Gastos comunes y servicios</t>
  </si>
  <si>
    <t>pesos 7.900 mensuales</t>
  </si>
  <si>
    <t>4,3</t>
  </si>
  <si>
    <t>Equipamiento informatico UEP</t>
  </si>
  <si>
    <t>25 PCs, 6 Notebook, 3 impresoras, 2 servidor, 3 scanner</t>
  </si>
  <si>
    <t>4,4</t>
  </si>
  <si>
    <t>4,5</t>
  </si>
  <si>
    <t>Auditoria Externa anual</t>
  </si>
  <si>
    <t>firma consultora</t>
  </si>
  <si>
    <t>4,6</t>
  </si>
  <si>
    <t>Gastos Operativos</t>
  </si>
  <si>
    <t>4,7</t>
  </si>
  <si>
    <t>4,8</t>
  </si>
  <si>
    <t>Evaluación final</t>
  </si>
  <si>
    <t>4,9</t>
  </si>
  <si>
    <t>Personal de la UEP</t>
  </si>
  <si>
    <t>Resultado: Mejorar la calidad de las estadísticas del INDEC en términos de oportunidad, relevancia y confiabilidad</t>
  </si>
  <si>
    <t>Código Nacional de Buenas Prácticas para Oficinas Estadísticas aprobado</t>
  </si>
  <si>
    <t>Seguridad lógica y física mejorada (TIR I)</t>
  </si>
  <si>
    <t xml:space="preserve">Selección de personal para labores de mediano plazo realizada </t>
  </si>
  <si>
    <t>Convenios de coordinación con los organismos del SEN implementadas</t>
  </si>
  <si>
    <t>Archivo de Domicilios de la República Argentina (ADRA)” actualizado</t>
  </si>
  <si>
    <t>Indicadores económicos en base a nuevas metodologías estimados y difundidos</t>
  </si>
  <si>
    <t>Encuestas económicas especiales difundidas</t>
  </si>
  <si>
    <t>Administración del Programa</t>
  </si>
  <si>
    <t>Evaluación del Programa</t>
  </si>
  <si>
    <t>Firma Consultora</t>
  </si>
  <si>
    <t>A Ejecutar 2018</t>
  </si>
  <si>
    <t>Capacitación del personal de INDEC y actores externos para la implementación del plan de fomento de la cultura estadística.</t>
  </si>
  <si>
    <t xml:space="preserve">2 consultores x 20.235 (Decreto 2345) x 12 meses cada año de duración del Proyecto. </t>
  </si>
  <si>
    <t>Servicios de capacitación</t>
  </si>
  <si>
    <r>
      <t xml:space="preserve">Consultorías para el diseño </t>
    </r>
    <r>
      <rPr>
        <sz val="9"/>
        <color rgb="FFFF0000"/>
        <rFont val="Calibri"/>
        <family val="2"/>
        <scheme val="minor"/>
      </rPr>
      <t>e implementación</t>
    </r>
    <r>
      <rPr>
        <sz val="9"/>
        <color theme="1"/>
        <rFont val="Calibri"/>
        <family val="2"/>
        <scheme val="minor"/>
      </rPr>
      <t xml:space="preserve"> de un plan de fomento de la cultura estadística </t>
    </r>
  </si>
  <si>
    <t xml:space="preserve"> (1469+2500)*30) por cada año del proyecto (personal del INDEC y aprox 2500 personas del SEN. </t>
  </si>
  <si>
    <t>6 personas x $1000 (pasaje, estadía y alimentación para 2 días) a 3 lugares distintos</t>
  </si>
  <si>
    <t>7 personas x $1000 (pasaje, estadía y alimentación para 2 días) (aprox de 3 lugares)</t>
  </si>
  <si>
    <t>Bienes</t>
  </si>
  <si>
    <t>Valor</t>
  </si>
  <si>
    <t>Consultorías Individuales Desarrollo Informática</t>
  </si>
  <si>
    <t>2,1,11</t>
  </si>
  <si>
    <t>4 Coordinadores IV (31364) :10 Meses            1ro de marzo a 31 de diciembre. 1 Consultor IV(17454): 7 meses. Junio a diciembre.</t>
  </si>
  <si>
    <t>2017: 3 Coordinadores IV (31364). 5 Meses.  y 2018: 3 Coordinadores IV (31364) y 1 Consultores IV (17454) : 6 Meses. Enero a junio</t>
  </si>
  <si>
    <r>
      <rPr>
        <b/>
        <sz val="9"/>
        <color theme="1"/>
        <rFont val="Calibri"/>
        <family val="2"/>
        <scheme val="minor"/>
      </rPr>
      <t>2017</t>
    </r>
    <r>
      <rPr>
        <sz val="9"/>
        <color theme="1"/>
        <rFont val="Calibri"/>
        <family val="2"/>
        <scheme val="minor"/>
      </rPr>
      <t xml:space="preserve">: 16 Coordinadores IV (31364):  9 Meses,  2 Consultor IV (17454): 6 meses, </t>
    </r>
    <r>
      <rPr>
        <b/>
        <sz val="9"/>
        <color theme="1"/>
        <rFont val="Calibri"/>
        <family val="2"/>
        <scheme val="minor"/>
      </rPr>
      <t>2018:</t>
    </r>
    <r>
      <rPr>
        <sz val="9"/>
        <color theme="1"/>
        <rFont val="Calibri"/>
        <family val="2"/>
        <scheme val="minor"/>
      </rPr>
      <t xml:space="preserve"> 17 Coordinadores IV (31364); 20 Consultor Experto IV (23270) y 1 Consultor IV (17454): 12 Meses,</t>
    </r>
    <r>
      <rPr>
        <b/>
        <sz val="9"/>
        <color theme="1"/>
        <rFont val="Calibri"/>
        <family val="2"/>
        <scheme val="minor"/>
      </rPr>
      <t xml:space="preserve"> 2019</t>
    </r>
    <r>
      <rPr>
        <sz val="9"/>
        <color theme="1"/>
        <rFont val="Calibri"/>
        <family val="2"/>
        <scheme val="minor"/>
      </rPr>
      <t xml:space="preserve">:18 Coordinadores IV (31364) y 34 Consultores Expertos IV (23270): 12 Meses, </t>
    </r>
    <r>
      <rPr>
        <b/>
        <sz val="9"/>
        <color theme="1"/>
        <rFont val="Calibri"/>
        <family val="2"/>
        <scheme val="minor"/>
      </rPr>
      <t>2020</t>
    </r>
    <r>
      <rPr>
        <sz val="9"/>
        <color theme="1"/>
        <rFont val="Calibri"/>
        <family val="2"/>
        <scheme val="minor"/>
      </rPr>
      <t xml:space="preserve">: 31 Coordinadores IV (31364) y 52 Consultores IV (17454): 12 Meses.      </t>
    </r>
  </si>
  <si>
    <t>2 consultores expertos II ($20232) (Decreto 2345) x 12 meses cada año de duración del Proyecto</t>
  </si>
  <si>
    <t>2,2,6</t>
  </si>
  <si>
    <t>Comité de supervisión y gerenciamiento del CNE</t>
  </si>
  <si>
    <t>5 Consultores individuales</t>
  </si>
  <si>
    <t>Pasajes y viáticos</t>
  </si>
  <si>
    <t>2. Actualización de la base estadistica sociodemografica</t>
  </si>
  <si>
    <t>3. Actualización de la base estadistica económica</t>
  </si>
  <si>
    <t>11 consultores</t>
  </si>
  <si>
    <t>1 consultor x 23,270 (Decreto 2345) x 6 meses</t>
  </si>
  <si>
    <t>1,3,8</t>
  </si>
  <si>
    <t>1,3,9</t>
  </si>
  <si>
    <t>1,3,10</t>
  </si>
  <si>
    <t>1,3,11</t>
  </si>
  <si>
    <t>Adquisición de equipamiento para el desarrollo de programas de e-learning y capacitación virtual</t>
  </si>
  <si>
    <t>E-learnig: consutores educadores especialistas en tecnología educativa</t>
  </si>
  <si>
    <t>2 consulotres x $30.000 x 8 meses 2017 hasta final del proyecto</t>
  </si>
  <si>
    <t>E-learnig: 2 diseñadores didácticos, 2 animadores/ilustradores y 1 editor de video.</t>
  </si>
  <si>
    <t>5 consultores x $23270 (dto 2345) x 12 meses desde 2018</t>
  </si>
  <si>
    <t>E-learnig: 1 Programador PHP/SCORM para desarrollo MOODLE y 1 consultor en MOODLE implements de soluciones modulares</t>
  </si>
  <si>
    <t>2 consultores x $30.000. 1 x 4 meses 2018 y otro por 6 meses 2018.</t>
  </si>
  <si>
    <t xml:space="preserve">E-learning: 2 administradores de plataforma y 2 tester/corrector </t>
  </si>
  <si>
    <t xml:space="preserve">4 consultores x $17454 x 12 meses a partir de 2018 </t>
  </si>
  <si>
    <t>INDICADOR DE PRODUCTO 7: Archivo de Domicilios de la República Argentina (Pruebas Piloto) actualizado</t>
  </si>
  <si>
    <t>12 consultores 2017                                                      19 Consultores 2018 de 23270 (Decreto 2345)
40 consultores 2019
40 consutrores 2020</t>
  </si>
  <si>
    <t>Consultorias individuales para el diseño de las variables, codificación, formulario reducido para encuesta trimestral, reformulación de formulario completo para encuesta anual</t>
  </si>
  <si>
    <t>Consultorias individuales en la Dirección de Informática para la reformulación del aplicativo de gestión de captura y procesamiento de datos</t>
  </si>
  <si>
    <t>Consultorías individuales para el análisis y consistencia de la información captada en el aplicativo de grandes empresas</t>
  </si>
  <si>
    <t>3 consultores de 23270 x 6 meses</t>
  </si>
  <si>
    <t>6 consultores cooordinador 4 (31364) por 12 meses</t>
  </si>
  <si>
    <t>3 consultores de 23270 x 12 meses</t>
  </si>
  <si>
    <t xml:space="preserve">INDICADOR DE PRODUCTO 8:Encuesta a Grandes Empresas (EGE), fortalecida </t>
  </si>
  <si>
    <t>INDICADOR DE PRODUCTO 9: Directorios de Empresas y agentes económicos, con utilización estadística actualizados.</t>
  </si>
  <si>
    <t>INDICADOR DE PRODUCTO 10: Indicadores económicos en base a nuevas metodologías estimados y difundidos</t>
  </si>
  <si>
    <r>
      <rPr>
        <sz val="11"/>
        <rFont val="Arial"/>
        <family val="2"/>
      </rPr>
      <t xml:space="preserve">Encuesta a Grandes Empresas (EGE), </t>
    </r>
    <r>
      <rPr>
        <sz val="11"/>
        <color rgb="FFFF0000"/>
        <rFont val="Arial"/>
        <family val="2"/>
      </rPr>
      <t>fortalecida</t>
    </r>
  </si>
  <si>
    <t xml:space="preserve">Auditoría </t>
  </si>
  <si>
    <t xml:space="preserve">Bienes </t>
  </si>
  <si>
    <t>INDICADOR DE PRODUCTO 6: Censo experimental realizado</t>
  </si>
  <si>
    <t>3,3,2</t>
  </si>
  <si>
    <t>3,3,3</t>
  </si>
  <si>
    <t>3,3,4</t>
  </si>
  <si>
    <t>Consultorias individuales para el diseño de muestras, variables a relevar, plan de tabulados y diseño de tabulados para las encuestas especiales (Márgenes de Comercio, Margenes de transporte, servicios</t>
  </si>
  <si>
    <t>Consultorias individuales en la Dirección de Informática para la creación del aplicativo de captura para las encuestas especiales (Márgenes de Comercio, Margenes de transporte, servicios</t>
  </si>
  <si>
    <t>Consultorías individuales para el análisis y consistencia de la información captada en el aplicativo para las encuestas especiales (Márgenes de Comercio, Margenes de transporte, servicios</t>
  </si>
  <si>
    <t>3 consultores de 31364 x 12 meses</t>
  </si>
  <si>
    <t>4 consultores de 23270 x 12 meses</t>
  </si>
  <si>
    <t>INDICADOR DE PRODUCTO 11: Encuestas económicas especiales difundidas</t>
  </si>
  <si>
    <t>6 personas del INDEC + 2 personas por 24 Provincias +20 otros organismos x $800 (pasaje, estadía y alimentación para 2 días)</t>
  </si>
  <si>
    <t>Estimado de 5 minibus de minimo 8 personas por 10 días para cada evento planificado (precio por día $200 incluido chofer x 10 dias por 4 eventos). Para 2019, 8 buses x $200 diarios x 5 dias x 4 eventos</t>
  </si>
  <si>
    <t>1,2,9</t>
  </si>
  <si>
    <t xml:space="preserve">Fiscalización de adecuaciones edilicias </t>
  </si>
  <si>
    <t>Componente 1</t>
  </si>
  <si>
    <t>componente 2</t>
  </si>
  <si>
    <t>componente 3</t>
  </si>
  <si>
    <t>componente 4</t>
  </si>
  <si>
    <t>Servicios de logística para capacitación específicas para formar a los recursos humanos que implementarán el levantamiento de unidades económicas</t>
  </si>
  <si>
    <t>Servicios de logística para capacitación específicas para formar a los recursos humanos que implementarán el operativo censal y pruebas piloto</t>
  </si>
  <si>
    <t>BID
A01 SEM01</t>
  </si>
  <si>
    <t>BID
A01 SEM02</t>
  </si>
  <si>
    <t>BID
A02 SEM01</t>
  </si>
  <si>
    <t>BID
A02 SEM02</t>
  </si>
  <si>
    <t>BID
A03 SEM01</t>
  </si>
  <si>
    <t>BID
A03 SEM02</t>
  </si>
  <si>
    <t>BID
A04 SEM01</t>
  </si>
  <si>
    <t>BID
A04 SEM02</t>
  </si>
  <si>
    <t>BID
A05 SEM01</t>
  </si>
  <si>
    <t>BID
A05 SEM02</t>
  </si>
  <si>
    <t>SUBTOTAL COMPONENTES</t>
  </si>
  <si>
    <t>SUBTOTAL Componentes</t>
  </si>
  <si>
    <t>Evaluacion Intermedio</t>
  </si>
  <si>
    <t>SUBTOTAL ADMINISTRACIÓN</t>
  </si>
  <si>
    <t>SUBTOTAL</t>
  </si>
  <si>
    <t>Componente 2. Actualización de la base Sociodemográfica</t>
  </si>
  <si>
    <t>Personal</t>
  </si>
  <si>
    <t xml:space="preserve">Consultorías para el diseño e implementación de un plan de fomento de la cultura estadística </t>
  </si>
  <si>
    <t>Consultoría individual para elaboración de propuestas para la actualización del Código de Buenas Prácticas de las Estadísticas en base a los principios de la OCDE</t>
  </si>
  <si>
    <t>Consultor individual para elaboración de propuestas para la actualización del Código de Buenas Prácticas de las Estadísticas en base a los principios de la OCDE</t>
  </si>
  <si>
    <t>Firma consultora para reestructuración de procesos internos  y acompañamiento por dos años para la implementación de los nuevos procesos y procedimientos para producción estadística de acuerdo a los estándares de la OCDE</t>
  </si>
  <si>
    <t xml:space="preserve">Gastos operativos </t>
  </si>
  <si>
    <t>Mobiliario UEP</t>
  </si>
  <si>
    <t>Gastos financieros</t>
  </si>
  <si>
    <t>Promoción de la transparencia, modernización y de la adopción buenas prácticas estadísticas</t>
  </si>
  <si>
    <t>1.4.1</t>
  </si>
  <si>
    <t>1.4.2</t>
  </si>
  <si>
    <t>1.4.3</t>
  </si>
  <si>
    <t>1.4.4</t>
  </si>
  <si>
    <t>1.4.5</t>
  </si>
  <si>
    <t>1.4.6</t>
  </si>
  <si>
    <t>1.4.7</t>
  </si>
  <si>
    <t>1.4.8</t>
  </si>
  <si>
    <t>1.4.9</t>
  </si>
  <si>
    <t>1.4.10</t>
  </si>
  <si>
    <t>1.4.11</t>
  </si>
  <si>
    <t>1.4.12</t>
  </si>
  <si>
    <t>INDICADOR DE PRODUCTO 4: Plan Estratégico de Acceso a la Información Pública implementado</t>
  </si>
  <si>
    <t>Mejora de la infraestructura edilicia e informática</t>
  </si>
  <si>
    <t>1,1,1</t>
  </si>
  <si>
    <t>1,1,2</t>
  </si>
  <si>
    <t>1,1,3</t>
  </si>
  <si>
    <t>1,1,4</t>
  </si>
  <si>
    <t>1,1,5</t>
  </si>
  <si>
    <t>1,1,6</t>
  </si>
  <si>
    <t>1,1,7</t>
  </si>
  <si>
    <t>1,1,8</t>
  </si>
  <si>
    <t>INDICADOR DE PRODUCTO 1: Seguridad lógica y física mejorada (TIR I)</t>
  </si>
  <si>
    <t>Adecuación de espacios físicos, mejora de infraestructura, conectividad y redes, y mobiliario  del Edificio principal del INDEC</t>
  </si>
  <si>
    <t>Firma consultora por el 6% del valor de las Obra (valor aproximado: $1.944.000 para 2018 y $1.296.000 para 2019)</t>
  </si>
  <si>
    <t>Fortalecimiento de las capacidades humanas</t>
  </si>
  <si>
    <t>1,2,10</t>
  </si>
  <si>
    <t>1,2,11</t>
  </si>
  <si>
    <t xml:space="preserve">INDICADOR DE PRODUCTO 2: Selección de personal para labores de mediano plazo realizada </t>
  </si>
  <si>
    <t>Consultores individuales para la conformación del "Instituto de Formacion Estadisticos de Gobierno" en el INDEC y modelo de gestión</t>
  </si>
  <si>
    <t>1 consultor x 25.294 x 3 meses en 2017 y 2018. Y otro consultor x 23270 x 12 meses en 2018</t>
  </si>
  <si>
    <t>Consultoría individual para actualización  del sistema PROSIP para la selección del personal del INDEC</t>
  </si>
  <si>
    <t>Un consultor x 25.294 (D 2345) x 5 meses</t>
  </si>
  <si>
    <t>2 notebook, 1 equipo video conferencia, 1 proyector, 1 TV LED, 25 licencias software ZOOM, 1 filmadora FULL HD, 1 PC edición de videos, 1 PC diseño gráfico, 1 impresora color c/scanner + 15% de mantenimiento y demás servicios conexos</t>
  </si>
  <si>
    <t>Consultores individuales: E-learnig: consutores educadores especialistas en tecnología educativa</t>
  </si>
  <si>
    <t>Consultores individuales: E-learnig: 2 diseñadores didácticos, 2 animadores/ilustradores y 1 editor de video.</t>
  </si>
  <si>
    <t>Consultores individuales: E-learnig: 1 Programador PHP/SCORM para desarrollo MOODLE y 1 consultor en MOODLE implements de soluciones modulares</t>
  </si>
  <si>
    <t xml:space="preserve">Consultores individuales: E-learning: 2 administradores de plataforma y 2 tester/corrector </t>
  </si>
  <si>
    <t>Consultoría para el diseño de un plan de desarollo de carrera del personal</t>
  </si>
  <si>
    <t xml:space="preserve">Consultores individuales para el desarrollo del sistema PROSIP (un Evaluador Técnico, un Psicólogo y un Adm.) </t>
  </si>
  <si>
    <t>3 consultores: 1x$25.294 y 2x$23.270. 3 meses en 2017 y hasta final del proyecto</t>
  </si>
  <si>
    <t>Mejora de la coordinación entre el INDEC y otros organismos del SEN</t>
  </si>
  <si>
    <t xml:space="preserve">4 consultores (2 desde 3er trim 2017 y 2 desde 01/2018) x 23270 </t>
  </si>
  <si>
    <t>12 consultores</t>
  </si>
  <si>
    <t>Consultorías individuales para soporte de la Dirección de Administración para actividades preparatorias al Censo (área presupuesto, Tesorería y Compras)</t>
  </si>
  <si>
    <t>Contratación de consultores para el diseño metodológico de la evaluación de la cobertura del ADRA, su actualización y la asistencia georeferenciada en dispositivos móviles a emplear en la conformación del archivo domicilios (ADRA)</t>
  </si>
  <si>
    <t>Consultorías individuales para apoyo a la actualización del Marco cartográfico y el desarrollo de un visor geográfico para asistir la tarea de confección del Archivo de Domicilios (ADRA) y su implementación en la Muestra Maestra Urbana de Viviendas de la República Argentina (MMUVRA)</t>
  </si>
  <si>
    <t>Contratación de personal de campo para actualización de listado de domicilios (ADRA)</t>
  </si>
  <si>
    <t>Estimado de 20.000 Radios para 2018 y 50000 Radios para 2019 x $3 por Radio x 5 meses</t>
  </si>
  <si>
    <t>Consultorías individuales para el diseño marco-conceptual a emplear en los registros administrativos que se utilicen como fuente estadística en la producción de indicadores sociales y económicos, como base o complemento de Diseño Muestrales, y/o como insumo para evaluar coberturas de Marcos Muestrales.</t>
  </si>
  <si>
    <t>Consultores individuales para el diseño metodológico conceptual de la estrategia de actualización, la evaluación de la cobertura, la homogeneización, la calidad de las fuentes y su intervinculación para ser empleadas en la confección de un listado de las unidades económicas con el objetivo de conformar un marco de muestreo.</t>
  </si>
  <si>
    <t>Estimado de 10.000 Radios para 2018 y 50000 Radios para 2019 x $3 por encuesta x 5 meses</t>
  </si>
  <si>
    <t>Adecuación de oficina (cableado, instalaciones, etc.)</t>
  </si>
  <si>
    <t>U$S 250 el m2</t>
  </si>
  <si>
    <t>4,10</t>
  </si>
  <si>
    <t>Dólar</t>
  </si>
  <si>
    <t>Componente 2</t>
  </si>
  <si>
    <t>Componente 3</t>
  </si>
  <si>
    <t>Pesos</t>
  </si>
  <si>
    <t>FUENTE 11</t>
  </si>
  <si>
    <t>FUENTE 22</t>
  </si>
  <si>
    <t>COMPONENTE 1. FORTALECIMIENTO DE LA CAPACIDAD INSTITITUCIONAL DEL INDEC</t>
  </si>
  <si>
    <t>Hardware</t>
  </si>
  <si>
    <t xml:space="preserve">Hardware (PC´s para funcionarios) - Aprox 100 distribuidos en 2 años </t>
  </si>
  <si>
    <t xml:space="preserve">Adquisición de equipamiento tecnológico para la realización de las pruebas piloto, encuestas de validación, censo experimental </t>
  </si>
  <si>
    <t>PC de escritorio, impresoras para las Direcciones Provinciales de Estadística e INDEC (2017 200 pc y 50 impresoras; 2018, 19 y 20 400 PC, 100 impresoras e insumos) . + 5000 tablets 2018+4000 2019 y 3000 2020 del total de 100.000 que se necesitan para el censo poblacional</t>
  </si>
  <si>
    <t>Adquisición de equipamiento tecnológico para el relevamiento del listado de unidades económicas en el INDEC</t>
  </si>
  <si>
    <t>600 tablets y sus licencias de software</t>
  </si>
  <si>
    <t xml:space="preserve">Espacios físicos y mejora de infraestructura: Planificación inicial 5400m2 x usd600. (60% de 9000m2). A ejecutarse 60% en 2019 y 40% 2020 (incluye imprevistos)
Conectividad y redes: Red Edificio Roca (2018), Fortinet y Fortiweb (2018), Enlaces DPE (2018), Servicio de Videoconferencia (2018/2019),  Rango de IPs públicas (2019), Telefonía IP en DPEs (2019), Telefonía IP para el edificio ROCA (2019). Equipamiento necesario para el armado de dos aulas de capacitación a saber: dos tablets, 40 PC, 40 NOTEBOOK, 2 SISTEMAS DE VIDEOCONFERENCIA, 2 SMART 55, 2 PROYECTORES, 25 LICENCIAS, SOFTWARE 2000M, 1 FILMADORA FULL HD, 1 PC DE EDICION DE VIDEO, 1 PC DE DISEÑO GRÁFICO, UNA IMPRESORA COLOR, 2 IMPRESORAS BLANCO Y NEGRO, 2 EQUIPOS DE AUDIO, 4 MICRÓFONOS INALAMBRICOS, 2 PIZARRAS ELECTRÓNICAS.
Mobiliario: 1200 ambientes y puestos de trabajo, distribuidos en 3 años a un costo de $2.500 por puesto.
</t>
  </si>
  <si>
    <t>1,1,9</t>
  </si>
  <si>
    <t>1,1,10</t>
  </si>
  <si>
    <t>Consultores para las Unidades Regionales</t>
  </si>
  <si>
    <t>5 consultores para cada una de las 6 U.R., a razón de 23.000 pesos</t>
  </si>
  <si>
    <t>Consultores individuales para el diseño y desarrollo de los protocolos de coordinación con organismos del SEN</t>
  </si>
  <si>
    <t>Comisión de administración</t>
  </si>
  <si>
    <t>Evaluación</t>
  </si>
  <si>
    <t>Auditoria</t>
  </si>
  <si>
    <t>Costo de administración</t>
  </si>
  <si>
    <t>ARS
A01 SEM01</t>
  </si>
  <si>
    <t>ARS
A01 SEM02</t>
  </si>
  <si>
    <t>ARS
A02 SEM01</t>
  </si>
  <si>
    <t>ARS
A02 SEM02</t>
  </si>
  <si>
    <t>ARS
A03 SEM01</t>
  </si>
  <si>
    <t>ARS
A03 SEM02</t>
  </si>
  <si>
    <t>ARS
A04 SEM01</t>
  </si>
  <si>
    <t>ARS
A04 SEM02</t>
  </si>
  <si>
    <t>ARS
A05 SEM01</t>
  </si>
  <si>
    <t>ARS
A05 SEM02</t>
  </si>
  <si>
    <t>Equipamiento, adecuaciones y mobiliario UEP</t>
  </si>
  <si>
    <t xml:space="preserve">Alquiler de oficina </t>
  </si>
  <si>
    <t>1.1. Mejora de la Infraestructura edilicia e informática</t>
  </si>
  <si>
    <t>1.2.  Fortalecimiento de las capacidades humanas</t>
  </si>
  <si>
    <t>1.3.  Mejora de la Coordinación entre el INDEC y otros organismos del SEN</t>
  </si>
  <si>
    <t>1.4.  Promoción de la transparencia, modernización y de la adopción buenas prácticas estadísticas</t>
  </si>
  <si>
    <t>1,2,12</t>
  </si>
  <si>
    <t>Encuesta a Grandes Empresas (EGE), fortalecida</t>
  </si>
  <si>
    <t>El objetivo general es mejorar la confiabilidad, oportunidad y relevancia de las estadísticas producidas por el INDEC para contribuir a la mejora de las políticas públicas, toma de decisiones privadas y ejercicio pleno del derecho a la información pública por parte de la ciudadanía.</t>
  </si>
  <si>
    <t>I. FORTALECIMIENTO DE LA CAPACIDAD INSTITUCIONAL DEL INDEC</t>
  </si>
  <si>
    <t>Subcomponente 1.1</t>
  </si>
  <si>
    <t>Subcomponente 1.2</t>
  </si>
  <si>
    <t>Subcomponente 1.3</t>
  </si>
  <si>
    <t>Subcomponente 1.4</t>
  </si>
  <si>
    <t>Reconocimiento aporte local año 0</t>
  </si>
  <si>
    <t>Reconocimiento de Gastos / Gastos retroactivos</t>
  </si>
  <si>
    <t>1,2,13</t>
  </si>
  <si>
    <t>Pago de fee de administración a entes facilitadores de la contratación de personal seleccionado por PROSIP</t>
  </si>
  <si>
    <t xml:space="preserve">Se calcula el 6% del costo de personal </t>
  </si>
  <si>
    <t xml:space="preserve">Evaluacion Final </t>
  </si>
  <si>
    <t>Capacitación del personal de INDEC y actores externos para la implementación del plan de fomento de la cultura estadística*.</t>
  </si>
  <si>
    <t>Recomendaciones de la OCDE cumplidas</t>
  </si>
  <si>
    <t>Aporte local</t>
  </si>
  <si>
    <t>Transferencias</t>
  </si>
  <si>
    <t>Firma consultora para la elaboración del PLAN MAESTRO y propuesta de intervención para de las adecuaciones edilicias en el INDEC*</t>
  </si>
  <si>
    <t>INDICADOR DE PRODUCTO 5: Recomendaciones de la OCDE cumplidas</t>
  </si>
  <si>
    <t>Firma consultora para reestructuración de procesos internos  y acompañamiento por dos años para la implementación de los nuevos procesos y procedimientos para producción estadística de acuerdo a los estándares de la OCDE*</t>
  </si>
  <si>
    <t>Adecuación de espacios físicos, mejora de infraestructura, conectividad y redes, y mobiliario  del Edificio principal del INDEC*</t>
  </si>
  <si>
    <t>Adquisición de equipamiento tecnológico, incluido servicio de mantenimiento*</t>
  </si>
  <si>
    <t>* Las actividades marcadas corresponden a las medidas de mitigación de riesgos (1,4,4, 1,4,5, 1,1,3, 1,1,8 y 1,1,7)</t>
  </si>
  <si>
    <t>Protocolos de coordinación con los organismos del SEN implementadas</t>
  </si>
  <si>
    <t>INDICADOR DE PRODUCTO 3: Protocolos de coordinación con los organismos del SEN implementadas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</si>
</sst>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3" formatCode="_(* #,##0.00_);_(* \(#,##0.00\);_(* &quot;-&quot;??_);_(@_)"/>
    <numFmt numFmtId="164" formatCode="_(&quot;$&quot;\ * #,##0.00_);_(&quot;$&quot;\ * \(#,##0.00\);_(&quot;$&quot;\ * &quot;-&quot;??_);_(@_)"/>
    <numFmt numFmtId="165" formatCode="_ * #,##0_ ;_ * \-#,##0_ ;_ * &quot;-&quot;_ ;_ @_ "/>
    <numFmt numFmtId="166" formatCode="_ &quot;$&quot;\ * #,##0.00_ ;_ &quot;$&quot;\ * \-#,##0.00_ ;_ &quot;$&quot;\ * &quot;-&quot;??_ ;_ @_ "/>
    <numFmt numFmtId="167" formatCode="_ * #,##0.00_ ;_ * \-#,##0.00_ ;_ * &quot;-&quot;??_ ;_ @_ "/>
    <numFmt numFmtId="168" formatCode="&quot;$&quot;#.00"/>
    <numFmt numFmtId="169" formatCode="m\o\n\th\ d\,\ yyyy"/>
    <numFmt numFmtId="170" formatCode="_-* #,##0.00\ &quot;€&quot;_-;\-* #,##0.00\ &quot;€&quot;_-;_-* &quot;-&quot;??\ &quot;€&quot;_-;_-@_-"/>
    <numFmt numFmtId="171" formatCode="#.00"/>
    <numFmt numFmtId="172" formatCode="#."/>
    <numFmt numFmtId="173" formatCode="_-* #,##0.00\ _€_-;\-* #,##0.00\ _€_-;_-* &quot;-&quot;??\ _€_-;_-@_-"/>
    <numFmt numFmtId="174" formatCode="%#.00"/>
    <numFmt numFmtId="175" formatCode="&quot;$&quot;\ #,##0.00"/>
    <numFmt numFmtId="176" formatCode="_ &quot;$&quot;\ * #,##0_ ;_ &quot;$&quot;\ * \-#,##0_ ;_ &quot;$&quot;\ * &quot;-&quot;??_ ;_ @_ "/>
    <numFmt numFmtId="177" formatCode="#,##0_ ;\-#,##0\ "/>
    <numFmt numFmtId="178" formatCode="_ [$USD]\ * #,##0.00_ ;_ [$USD]\ * \-#,##0.00_ ;_ [$USD]\ * &quot;-&quot;??_ ;_ @_ "/>
    <numFmt numFmtId="179" formatCode="&quot;$&quot;\ #,##0"/>
    <numFmt numFmtId="180" formatCode="_(&quot;$&quot;\ * #,##0_);_(&quot;$&quot;\ * \(#,##0\);_(&quot;$&quot;\ * &quot;-&quot;??_);_(@_)"/>
    <numFmt numFmtId="181" formatCode="0.0"/>
    <numFmt numFmtId="182" formatCode="_ &quot;$&quot;\ * #,##0.000_ ;_ &quot;$&quot;\ * \-#,##0.000_ ;_ &quot;$&quot;\ * &quot;-&quot;??_ ;_ @_ "/>
  </numFmts>
  <fonts count="130"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name val="Arial"/>
      <family val="2"/>
    </font>
    <font>
      <b/>
      <sz val="8"/>
      <color indexed="8"/>
      <name val="Arial"/>
      <family val="2"/>
    </font>
    <font>
      <b/>
      <sz val="10"/>
      <color indexed="8"/>
      <name val="Arial"/>
      <family val="2"/>
    </font>
    <font>
      <b/>
      <sz val="10"/>
      <name val="Arial"/>
      <family val="2"/>
    </font>
    <font>
      <sz val="11"/>
      <name val="Arial"/>
      <family val="2"/>
    </font>
    <font>
      <i/>
      <sz val="11"/>
      <name val="Arial"/>
      <family val="2"/>
    </font>
    <font>
      <sz val="10"/>
      <color rgb="FFFF0000"/>
      <name val="Arial"/>
      <family val="2"/>
    </font>
    <font>
      <b/>
      <sz val="8"/>
      <color indexed="81"/>
      <name val="Tahoma"/>
      <family val="2"/>
    </font>
    <font>
      <sz val="8"/>
      <color indexed="81"/>
      <name val="Tahoma"/>
      <family val="2"/>
    </font>
    <font>
      <b/>
      <sz val="9"/>
      <color indexed="81"/>
      <name val="Tahoma"/>
      <family val="2"/>
    </font>
    <font>
      <sz val="9"/>
      <color indexed="81"/>
      <name val="Tahoma"/>
      <family val="2"/>
    </font>
    <font>
      <sz val="8"/>
      <name val="Arial"/>
      <family val="2"/>
    </font>
    <font>
      <sz val="11"/>
      <color theme="1"/>
      <name val="Arial"/>
      <family val="2"/>
    </font>
    <font>
      <sz val="10"/>
      <color theme="1"/>
      <name val="Arial"/>
      <family val="2"/>
    </font>
    <font>
      <sz val="11"/>
      <color rgb="FF000000"/>
      <name val="Arial"/>
      <family val="2"/>
    </font>
    <font>
      <u/>
      <sz val="10"/>
      <color theme="10"/>
      <name val="Arial"/>
      <family val="2"/>
    </font>
    <font>
      <b/>
      <sz val="16"/>
      <name val="Arial"/>
      <family val="2"/>
    </font>
    <font>
      <sz val="12"/>
      <color theme="1"/>
      <name val="Calibri"/>
      <family val="2"/>
      <scheme val="minor"/>
    </font>
    <font>
      <sz val="11"/>
      <color indexed="8"/>
      <name val="Calibri"/>
      <family val="2"/>
    </font>
    <font>
      <sz val="10"/>
      <color indexed="8"/>
      <name val="Arial"/>
      <family val="2"/>
    </font>
    <font>
      <sz val="11"/>
      <color indexed="9"/>
      <name val="Calibri"/>
      <family val="2"/>
    </font>
    <font>
      <sz val="10"/>
      <color indexed="9"/>
      <name val="Arial"/>
      <family val="2"/>
    </font>
    <font>
      <sz val="11"/>
      <color indexed="17"/>
      <name val="Calibri"/>
      <family val="2"/>
    </font>
    <font>
      <sz val="10"/>
      <color rgb="FF006100"/>
      <name val="Arial"/>
      <family val="2"/>
    </font>
    <font>
      <b/>
      <sz val="11"/>
      <color indexed="52"/>
      <name val="Calibri"/>
      <family val="2"/>
    </font>
    <font>
      <b/>
      <sz val="10"/>
      <color rgb="FFFA7D00"/>
      <name val="Arial"/>
      <family val="2"/>
    </font>
    <font>
      <b/>
      <sz val="11"/>
      <color indexed="9"/>
      <name val="Calibri"/>
      <family val="2"/>
    </font>
    <font>
      <b/>
      <sz val="10"/>
      <color indexed="9"/>
      <name val="Arial"/>
      <family val="2"/>
    </font>
    <font>
      <sz val="11"/>
      <color indexed="52"/>
      <name val="Calibri"/>
      <family val="2"/>
    </font>
    <font>
      <sz val="10"/>
      <color rgb="FFFA7D00"/>
      <name val="Arial"/>
      <family val="2"/>
    </font>
    <font>
      <sz val="1"/>
      <color indexed="8"/>
      <name val="Courier"/>
      <family val="3"/>
    </font>
    <font>
      <b/>
      <sz val="11"/>
      <color indexed="56"/>
      <name val="Calibri"/>
      <family val="2"/>
    </font>
    <font>
      <b/>
      <sz val="11"/>
      <color theme="3"/>
      <name val="Arial"/>
      <family val="2"/>
    </font>
    <font>
      <sz val="11"/>
      <color indexed="62"/>
      <name val="Calibri"/>
      <family val="2"/>
    </font>
    <font>
      <sz val="10"/>
      <color rgb="FF3F3F76"/>
      <name val="Arial"/>
      <family val="2"/>
    </font>
    <font>
      <b/>
      <sz val="1"/>
      <color indexed="8"/>
      <name val="Courier"/>
      <family val="3"/>
    </font>
    <font>
      <u/>
      <sz val="9"/>
      <color indexed="12"/>
      <name val="Calibri"/>
      <family val="2"/>
    </font>
    <font>
      <u/>
      <sz val="9"/>
      <color rgb="FF0000FF"/>
      <name val="Calibri"/>
      <family val="2"/>
    </font>
    <font>
      <sz val="11"/>
      <color indexed="20"/>
      <name val="Calibri"/>
      <family val="2"/>
    </font>
    <font>
      <sz val="10"/>
      <color rgb="FF9C0006"/>
      <name val="Arial"/>
      <family val="2"/>
    </font>
    <font>
      <sz val="12"/>
      <color indexed="8"/>
      <name val="Calibri"/>
      <family val="2"/>
    </font>
    <font>
      <sz val="11"/>
      <color indexed="60"/>
      <name val="Calibri"/>
      <family val="2"/>
    </font>
    <font>
      <sz val="10"/>
      <color rgb="FF9C6500"/>
      <name val="Arial"/>
      <family val="2"/>
    </font>
    <font>
      <sz val="11"/>
      <name val="Calibri"/>
      <family val="2"/>
    </font>
    <font>
      <b/>
      <sz val="11"/>
      <color indexed="63"/>
      <name val="Calibri"/>
      <family val="2"/>
    </font>
    <font>
      <b/>
      <sz val="10"/>
      <color rgb="FF3F3F3F"/>
      <name val="Arial"/>
      <family val="2"/>
    </font>
    <font>
      <sz val="11"/>
      <color indexed="10"/>
      <name val="Calibri"/>
      <family val="2"/>
    </font>
    <font>
      <sz val="10"/>
      <color indexed="10"/>
      <name val="Arial"/>
      <family val="2"/>
    </font>
    <font>
      <i/>
      <sz val="11"/>
      <color indexed="23"/>
      <name val="Calibri"/>
      <family val="2"/>
    </font>
    <font>
      <i/>
      <sz val="10"/>
      <color rgb="FF7F7F7F"/>
      <name val="Arial"/>
      <family val="2"/>
    </font>
    <font>
      <b/>
      <sz val="15"/>
      <color indexed="56"/>
      <name val="Calibri"/>
      <family val="2"/>
    </font>
    <font>
      <b/>
      <sz val="15"/>
      <color theme="3"/>
      <name val="Arial"/>
      <family val="2"/>
    </font>
    <font>
      <b/>
      <sz val="13"/>
      <color indexed="56"/>
      <name val="Calibri"/>
      <family val="2"/>
    </font>
    <font>
      <b/>
      <sz val="13"/>
      <color theme="3"/>
      <name val="Arial"/>
      <family val="2"/>
    </font>
    <font>
      <b/>
      <sz val="18"/>
      <color indexed="56"/>
      <name val="Cambria"/>
      <family val="2"/>
    </font>
    <font>
      <b/>
      <sz val="11"/>
      <color indexed="8"/>
      <name val="Calibri"/>
      <family val="2"/>
    </font>
    <font>
      <b/>
      <sz val="12"/>
      <name val="Arial"/>
      <family val="2"/>
    </font>
    <font>
      <b/>
      <sz val="11"/>
      <color indexed="8"/>
      <name val="Arial"/>
      <family val="2"/>
    </font>
    <font>
      <sz val="16"/>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name val="Arial"/>
      <family val="2"/>
    </font>
    <font>
      <sz val="10"/>
      <color rgb="FF000000"/>
      <name val="Arial"/>
      <family val="2"/>
    </font>
    <font>
      <sz val="11"/>
      <color rgb="FF000000"/>
      <name val="Calibri"/>
      <family val="2"/>
      <scheme val="minor"/>
    </font>
    <font>
      <b/>
      <sz val="18"/>
      <color theme="3" tint="-0.249977111117893"/>
      <name val="Arial"/>
      <family val="2"/>
    </font>
    <font>
      <b/>
      <sz val="12"/>
      <color theme="3" tint="-0.249977111117893"/>
      <name val="Arial"/>
      <family val="2"/>
    </font>
    <font>
      <sz val="14"/>
      <color theme="1"/>
      <name val="Calibri"/>
      <family val="2"/>
      <scheme val="minor"/>
    </font>
    <font>
      <sz val="11"/>
      <name val="Calibri"/>
      <family val="2"/>
      <scheme val="minor"/>
    </font>
    <font>
      <sz val="12"/>
      <color theme="3" tint="-0.249977111117893"/>
      <name val="Arial"/>
      <family val="2"/>
    </font>
    <font>
      <b/>
      <sz val="12"/>
      <color theme="1"/>
      <name val="Calibri"/>
      <family val="2"/>
      <scheme val="minor"/>
    </font>
    <font>
      <b/>
      <sz val="12"/>
      <color theme="0"/>
      <name val="Calibri"/>
      <family val="2"/>
      <scheme val="minor"/>
    </font>
    <font>
      <b/>
      <sz val="14"/>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b/>
      <sz val="16"/>
      <color theme="1"/>
      <name val="Calibri"/>
      <family val="2"/>
      <scheme val="minor"/>
    </font>
    <font>
      <sz val="9"/>
      <name val="Calibri"/>
      <family val="2"/>
      <scheme val="minor"/>
    </font>
    <font>
      <sz val="11"/>
      <color rgb="FFFF0000"/>
      <name val="Arial"/>
      <family val="2"/>
    </font>
    <font>
      <sz val="9"/>
      <color rgb="FF7030A0"/>
      <name val="Calibri"/>
      <family val="2"/>
      <scheme val="minor"/>
    </font>
    <font>
      <b/>
      <sz val="11"/>
      <name val="Calibri"/>
      <family val="2"/>
      <scheme val="minor"/>
    </font>
    <font>
      <b/>
      <sz val="9"/>
      <name val="Calibri"/>
      <family val="2"/>
      <scheme val="minor"/>
    </font>
    <font>
      <b/>
      <sz val="9"/>
      <color theme="0"/>
      <name val="Calibri"/>
      <family val="2"/>
      <scheme val="minor"/>
    </font>
    <font>
      <b/>
      <sz val="16"/>
      <color theme="0"/>
      <name val="Calibri"/>
      <family val="2"/>
      <scheme val="minor"/>
    </font>
    <font>
      <sz val="8"/>
      <color theme="1"/>
      <name val="Calibri"/>
      <family val="2"/>
      <scheme val="minor"/>
    </font>
    <font>
      <sz val="8"/>
      <name val="Calibri"/>
      <family val="2"/>
      <scheme val="minor"/>
    </font>
    <font>
      <sz val="10"/>
      <color theme="0"/>
      <name val="Arial"/>
      <family val="2"/>
    </font>
    <font>
      <sz val="9"/>
      <color rgb="FF000000"/>
      <name val="Calibri"/>
      <family val="2"/>
    </font>
    <font>
      <sz val="9"/>
      <name val="Calibri"/>
      <family val="2"/>
    </font>
    <font>
      <b/>
      <sz val="10"/>
      <color theme="1"/>
      <name val="Calibri"/>
      <family val="2"/>
      <scheme val="minor"/>
    </font>
    <font>
      <sz val="11"/>
      <color rgb="FF000000"/>
      <name val="Calibri"/>
      <family val="2"/>
    </font>
    <font>
      <sz val="9"/>
      <color rgb="FF000000"/>
      <name val="Calibri"/>
      <family val="2"/>
    </font>
    <font>
      <sz val="9"/>
      <color theme="9"/>
      <name val="Calibri"/>
      <family val="2"/>
      <scheme val="minor"/>
    </font>
    <font>
      <b/>
      <sz val="10"/>
      <color theme="0"/>
      <name val="Arial"/>
      <family val="2"/>
    </font>
  </fonts>
  <fills count="90">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0000"/>
        <bgColor indexed="64"/>
      </patternFill>
    </fill>
    <fill>
      <patternFill patternType="solid">
        <fgColor theme="9" tint="0.39997558519241921"/>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rgb="FF0070C0"/>
        <bgColor indexed="64"/>
      </patternFill>
    </fill>
    <fill>
      <patternFill patternType="solid">
        <fgColor rgb="FF7030A0"/>
        <bgColor indexed="64"/>
      </patternFill>
    </fill>
    <fill>
      <patternFill patternType="solid">
        <fgColor rgb="FFFF00FF"/>
        <bgColor indexed="64"/>
      </patternFill>
    </fill>
    <fill>
      <patternFill patternType="solid">
        <fgColor rgb="FF7EEAC1"/>
        <bgColor indexed="64"/>
      </patternFill>
    </fill>
    <fill>
      <patternFill patternType="solid">
        <fgColor rgb="FFFFC0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9"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99FFCC"/>
        <bgColor indexed="64"/>
      </patternFill>
    </fill>
    <fill>
      <patternFill patternType="solid">
        <fgColor rgb="FF99CCFF"/>
        <bgColor indexed="64"/>
      </patternFill>
    </fill>
    <fill>
      <patternFill patternType="solid">
        <fgColor theme="3" tint="0.79998168889431442"/>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FFFFF"/>
        <bgColor rgb="FFFFFFFF"/>
      </patternFill>
    </fill>
    <fill>
      <patternFill patternType="solid">
        <fgColor theme="7" tint="0.39997558519241921"/>
        <bgColor rgb="FFFFFF00"/>
      </patternFill>
    </fill>
    <fill>
      <patternFill patternType="solid">
        <fgColor theme="9" tint="0.79998168889431442"/>
        <bgColor indexed="64"/>
      </patternFill>
    </fill>
    <fill>
      <patternFill patternType="solid">
        <fgColor theme="5" tint="0.79998168889431442"/>
        <bgColor indexed="64"/>
      </patternFill>
    </fill>
  </fills>
  <borders count="10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style="thick">
        <color auto="1"/>
      </right>
      <top/>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style="thin">
        <color indexed="64"/>
      </top>
      <bottom style="double">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diagonal/>
    </border>
    <border>
      <left style="medium">
        <color indexed="64"/>
      </left>
      <right/>
      <top style="thin">
        <color indexed="64"/>
      </top>
      <bottom/>
      <diagonal/>
    </border>
    <border>
      <left style="thin">
        <color indexed="64"/>
      </left>
      <right/>
      <top/>
      <bottom/>
      <diagonal/>
    </border>
    <border>
      <left/>
      <right/>
      <top style="medium">
        <color indexed="64"/>
      </top>
      <bottom style="thin">
        <color indexed="64"/>
      </bottom>
      <diagonal/>
    </border>
    <border>
      <left/>
      <right style="medium">
        <color indexed="64"/>
      </right>
      <top style="thin">
        <color indexed="64"/>
      </top>
      <bottom/>
      <diagonal/>
    </border>
    <border>
      <left/>
      <right/>
      <top style="thin">
        <color indexed="64"/>
      </top>
      <bottom style="medium">
        <color indexed="64"/>
      </bottom>
      <diagonal/>
    </border>
    <border>
      <left/>
      <right/>
      <top style="thin">
        <color indexed="64"/>
      </top>
      <bottom style="thin">
        <color indexed="64"/>
      </bottom>
      <diagonal/>
    </border>
    <border>
      <left/>
      <right/>
      <top/>
      <bottom style="thin">
        <color indexed="64"/>
      </bottom>
      <diagonal/>
    </border>
    <border>
      <left/>
      <right style="thin">
        <color theme="0"/>
      </right>
      <top/>
      <bottom style="thin">
        <color indexed="64"/>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theme="0"/>
      </right>
      <top/>
      <bottom/>
      <diagonal/>
    </border>
    <border>
      <left style="thin">
        <color rgb="FF000000"/>
      </left>
      <right style="thin">
        <color rgb="FF000000"/>
      </right>
      <top style="thin">
        <color rgb="FF000000"/>
      </top>
      <bottom style="thin">
        <color rgb="FF000000"/>
      </bottom>
      <diagonal/>
    </border>
    <border>
      <left style="thin">
        <color theme="0"/>
      </left>
      <right/>
      <top/>
      <bottom style="thin">
        <color auto="1"/>
      </bottom>
      <diagonal/>
    </border>
    <border>
      <left style="medium">
        <color indexed="64"/>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584">
    <xf numFmtId="0" fontId="0" fillId="0" borderId="0" applyNumberFormat="0" applyFont="0" applyFill="0" applyBorder="0" applyAlignment="0" applyProtection="0"/>
    <xf numFmtId="43" fontId="22" fillId="0" borderId="0" applyNumberFormat="0" applyFont="0" applyFill="0" applyBorder="0" applyAlignment="0" applyProtection="0"/>
    <xf numFmtId="43" fontId="22" fillId="0" borderId="0" applyNumberFormat="0" applyFont="0" applyFill="0" applyBorder="0" applyAlignment="0" applyProtection="0"/>
    <xf numFmtId="0" fontId="22" fillId="0" borderId="0" applyNumberFormat="0" applyFont="0" applyFill="0" applyBorder="0" applyAlignment="0" applyProtection="0"/>
    <xf numFmtId="0" fontId="21" fillId="0" borderId="0"/>
    <xf numFmtId="166" fontId="22" fillId="0" borderId="0" applyFont="0" applyFill="0" applyBorder="0" applyAlignment="0" applyProtection="0"/>
    <xf numFmtId="9" fontId="22" fillId="0" borderId="0" applyFont="0" applyFill="0" applyBorder="0" applyAlignment="0" applyProtection="0"/>
    <xf numFmtId="0" fontId="20" fillId="0" borderId="0"/>
    <xf numFmtId="0" fontId="19" fillId="0" borderId="0"/>
    <xf numFmtId="0" fontId="19" fillId="0" borderId="0"/>
    <xf numFmtId="0" fontId="18" fillId="0" borderId="0"/>
    <xf numFmtId="0" fontId="17" fillId="0" borderId="0"/>
    <xf numFmtId="0" fontId="17"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16" fillId="0" borderId="0"/>
    <xf numFmtId="0" fontId="15" fillId="0" borderId="0"/>
    <xf numFmtId="166" fontId="15" fillId="0" borderId="0" applyFont="0" applyFill="0" applyBorder="0" applyAlignment="0" applyProtection="0"/>
    <xf numFmtId="167" fontId="15" fillId="0" borderId="0" applyFont="0" applyFill="0" applyBorder="0" applyAlignment="0" applyProtection="0"/>
    <xf numFmtId="0" fontId="14" fillId="0" borderId="0"/>
    <xf numFmtId="166" fontId="14" fillId="0" borderId="0" applyFont="0" applyFill="0" applyBorder="0" applyAlignment="0" applyProtection="0"/>
    <xf numFmtId="0" fontId="41" fillId="50" borderId="0" applyNumberFormat="0" applyBorder="0" applyAlignment="0" applyProtection="0"/>
    <xf numFmtId="0" fontId="42" fillId="27" borderId="0" applyNumberFormat="0" applyBorder="0" applyAlignment="0" applyProtection="0"/>
    <xf numFmtId="0" fontId="41" fillId="51" borderId="0" applyNumberFormat="0" applyBorder="0" applyAlignment="0" applyProtection="0"/>
    <xf numFmtId="0" fontId="42" fillId="31" borderId="0" applyNumberFormat="0" applyBorder="0" applyAlignment="0" applyProtection="0"/>
    <xf numFmtId="0" fontId="41" fillId="52" borderId="0" applyNumberFormat="0" applyBorder="0" applyAlignment="0" applyProtection="0"/>
    <xf numFmtId="0" fontId="42" fillId="35" borderId="0" applyNumberFormat="0" applyBorder="0" applyAlignment="0" applyProtection="0"/>
    <xf numFmtId="0" fontId="41" fillId="53" borderId="0" applyNumberFormat="0" applyBorder="0" applyAlignment="0" applyProtection="0"/>
    <xf numFmtId="0" fontId="42" fillId="39" borderId="0" applyNumberFormat="0" applyBorder="0" applyAlignment="0" applyProtection="0"/>
    <xf numFmtId="0" fontId="41" fillId="54" borderId="0" applyNumberFormat="0" applyBorder="0" applyAlignment="0" applyProtection="0"/>
    <xf numFmtId="0" fontId="42" fillId="43"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1" fillId="56" borderId="0" applyNumberFormat="0" applyBorder="0" applyAlignment="0" applyProtection="0"/>
    <xf numFmtId="0" fontId="42" fillId="28" borderId="0" applyNumberFormat="0" applyBorder="0" applyAlignment="0" applyProtection="0"/>
    <xf numFmtId="0" fontId="41" fillId="57" borderId="0" applyNumberFormat="0" applyBorder="0" applyAlignment="0" applyProtection="0"/>
    <xf numFmtId="0" fontId="42" fillId="32" borderId="0" applyNumberFormat="0" applyBorder="0" applyAlignment="0" applyProtection="0"/>
    <xf numFmtId="0" fontId="41" fillId="58" borderId="0" applyNumberFormat="0" applyBorder="0" applyAlignment="0" applyProtection="0"/>
    <xf numFmtId="0" fontId="42" fillId="36" borderId="0" applyNumberFormat="0" applyBorder="0" applyAlignment="0" applyProtection="0"/>
    <xf numFmtId="0" fontId="41" fillId="53" borderId="0" applyNumberFormat="0" applyBorder="0" applyAlignment="0" applyProtection="0"/>
    <xf numFmtId="0" fontId="42" fillId="40" borderId="0" applyNumberFormat="0" applyBorder="0" applyAlignment="0" applyProtection="0"/>
    <xf numFmtId="0" fontId="41" fillId="56" borderId="0" applyNumberFormat="0" applyBorder="0" applyAlignment="0" applyProtection="0"/>
    <xf numFmtId="0" fontId="42" fillId="44" borderId="0" applyNumberFormat="0" applyBorder="0" applyAlignment="0" applyProtection="0"/>
    <xf numFmtId="0" fontId="41" fillId="59" borderId="0" applyNumberFormat="0" applyBorder="0" applyAlignment="0" applyProtection="0"/>
    <xf numFmtId="0" fontId="42" fillId="48" borderId="0" applyNumberFormat="0" applyBorder="0" applyAlignment="0" applyProtection="0"/>
    <xf numFmtId="0" fontId="43" fillId="60" borderId="0" applyNumberFormat="0" applyBorder="0" applyAlignment="0" applyProtection="0"/>
    <xf numFmtId="0" fontId="44" fillId="29" borderId="0" applyNumberFormat="0" applyBorder="0" applyAlignment="0" applyProtection="0"/>
    <xf numFmtId="0" fontId="43" fillId="57" borderId="0" applyNumberFormat="0" applyBorder="0" applyAlignment="0" applyProtection="0"/>
    <xf numFmtId="0" fontId="44" fillId="33" borderId="0" applyNumberFormat="0" applyBorder="0" applyAlignment="0" applyProtection="0"/>
    <xf numFmtId="0" fontId="43" fillId="58" borderId="0" applyNumberFormat="0" applyBorder="0" applyAlignment="0" applyProtection="0"/>
    <xf numFmtId="0" fontId="44" fillId="37" borderId="0" applyNumberFormat="0" applyBorder="0" applyAlignment="0" applyProtection="0"/>
    <xf numFmtId="0" fontId="43" fillId="61" borderId="0" applyNumberFormat="0" applyBorder="0" applyAlignment="0" applyProtection="0"/>
    <xf numFmtId="0" fontId="44" fillId="41" borderId="0" applyNumberFormat="0" applyBorder="0" applyAlignment="0" applyProtection="0"/>
    <xf numFmtId="0" fontId="43" fillId="62" borderId="0" applyNumberFormat="0" applyBorder="0" applyAlignment="0" applyProtection="0"/>
    <xf numFmtId="0" fontId="44" fillId="45" borderId="0" applyNumberFormat="0" applyBorder="0" applyAlignment="0" applyProtection="0"/>
    <xf numFmtId="0" fontId="43" fillId="63" borderId="0" applyNumberFormat="0" applyBorder="0" applyAlignment="0" applyProtection="0"/>
    <xf numFmtId="0" fontId="44" fillId="49" borderId="0" applyNumberFormat="0" applyBorder="0" applyAlignment="0" applyProtection="0"/>
    <xf numFmtId="0" fontId="45" fillId="52" borderId="0" applyNumberFormat="0" applyBorder="0" applyAlignment="0" applyProtection="0"/>
    <xf numFmtId="0" fontId="46" fillId="19" borderId="0" applyNumberFormat="0" applyBorder="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7" fillId="64" borderId="74" applyNumberFormat="0" applyAlignment="0" applyProtection="0"/>
    <xf numFmtId="0" fontId="48" fillId="23" borderId="68" applyNumberFormat="0" applyAlignment="0" applyProtection="0"/>
    <xf numFmtId="0" fontId="49" fillId="65" borderId="75" applyNumberFormat="0" applyAlignment="0" applyProtection="0"/>
    <xf numFmtId="0" fontId="50" fillId="24" borderId="71" applyNumberFormat="0" applyAlignment="0" applyProtection="0"/>
    <xf numFmtId="0" fontId="51" fillId="0" borderId="76" applyNumberFormat="0" applyFill="0" applyAlignment="0" applyProtection="0"/>
    <xf numFmtId="0" fontId="52" fillId="0" borderId="70" applyNumberFormat="0" applyFill="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 fontId="53" fillId="0" borderId="0">
      <protection locked="0"/>
    </xf>
    <xf numFmtId="168" fontId="53" fillId="0" borderId="0">
      <protection locked="0"/>
    </xf>
    <xf numFmtId="169" fontId="53" fillId="0" borderId="0">
      <protection locked="0"/>
    </xf>
    <xf numFmtId="169" fontId="53" fillId="0" borderId="0">
      <protection locked="0"/>
    </xf>
    <xf numFmtId="0" fontId="54" fillId="0" borderId="0" applyNumberFormat="0" applyFill="0" applyBorder="0" applyAlignment="0" applyProtection="0"/>
    <xf numFmtId="0" fontId="55" fillId="0" borderId="0" applyNumberFormat="0" applyFill="0" applyBorder="0" applyAlignment="0" applyProtection="0"/>
    <xf numFmtId="0" fontId="43" fillId="66" borderId="0" applyNumberFormat="0" applyBorder="0" applyAlignment="0" applyProtection="0"/>
    <xf numFmtId="0" fontId="44" fillId="26" borderId="0" applyNumberFormat="0" applyBorder="0" applyAlignment="0" applyProtection="0"/>
    <xf numFmtId="0" fontId="43" fillId="67" borderId="0" applyNumberFormat="0" applyBorder="0" applyAlignment="0" applyProtection="0"/>
    <xf numFmtId="0" fontId="44" fillId="30" borderId="0" applyNumberFormat="0" applyBorder="0" applyAlignment="0" applyProtection="0"/>
    <xf numFmtId="0" fontId="43" fillId="68" borderId="0" applyNumberFormat="0" applyBorder="0" applyAlignment="0" applyProtection="0"/>
    <xf numFmtId="0" fontId="44" fillId="34" borderId="0" applyNumberFormat="0" applyBorder="0" applyAlignment="0" applyProtection="0"/>
    <xf numFmtId="0" fontId="43" fillId="61" borderId="0" applyNumberFormat="0" applyBorder="0" applyAlignment="0" applyProtection="0"/>
    <xf numFmtId="0" fontId="44" fillId="38" borderId="0" applyNumberFormat="0" applyBorder="0" applyAlignment="0" applyProtection="0"/>
    <xf numFmtId="0" fontId="43" fillId="62" borderId="0" applyNumberFormat="0" applyBorder="0" applyAlignment="0" applyProtection="0"/>
    <xf numFmtId="0" fontId="44" fillId="42" borderId="0" applyNumberFormat="0" applyBorder="0" applyAlignment="0" applyProtection="0"/>
    <xf numFmtId="0" fontId="43" fillId="69" borderId="0" applyNumberFormat="0" applyBorder="0" applyAlignment="0" applyProtection="0"/>
    <xf numFmtId="0" fontId="44" fillId="46" borderId="0" applyNumberFormat="0" applyBorder="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6" fillId="55" borderId="74" applyNumberFormat="0" applyAlignment="0" applyProtection="0"/>
    <xf numFmtId="0" fontId="57" fillId="22" borderId="68" applyNumberFormat="0" applyAlignment="0" applyProtection="0"/>
    <xf numFmtId="170" fontId="22" fillId="0" borderId="0" applyFont="0" applyFill="0" applyBorder="0" applyAlignment="0" applyProtection="0"/>
    <xf numFmtId="170" fontId="22" fillId="0" borderId="0" applyFont="0" applyFill="0" applyBorder="0" applyAlignment="0" applyProtection="0"/>
    <xf numFmtId="171" fontId="53" fillId="0" borderId="0">
      <protection locked="0"/>
    </xf>
    <xf numFmtId="171" fontId="53" fillId="0" borderId="0">
      <protection locked="0"/>
    </xf>
    <xf numFmtId="172" fontId="58" fillId="0" borderId="0">
      <protection locked="0"/>
    </xf>
    <xf numFmtId="172" fontId="58" fillId="0" borderId="0">
      <protection locked="0"/>
    </xf>
    <xf numFmtId="172" fontId="58" fillId="0" borderId="0">
      <protection locked="0"/>
    </xf>
    <xf numFmtId="172" fontId="58" fillId="0" borderId="0">
      <protection locked="0"/>
    </xf>
    <xf numFmtId="0" fontId="59" fillId="0" borderId="0"/>
    <xf numFmtId="0" fontId="60" fillId="0" borderId="0"/>
    <xf numFmtId="0" fontId="61" fillId="51" borderId="0" applyNumberFormat="0" applyBorder="0" applyAlignment="0" applyProtection="0"/>
    <xf numFmtId="0" fontId="62" fillId="20" borderId="0" applyNumberFormat="0" applyBorder="0" applyAlignment="0" applyProtection="0"/>
    <xf numFmtId="165" fontId="40"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40" fillId="0" borderId="0" applyFont="0" applyFill="0" applyBorder="0" applyAlignment="0" applyProtection="0"/>
    <xf numFmtId="173" fontId="22" fillId="0" borderId="0" applyFont="0" applyFill="0" applyBorder="0" applyAlignment="0" applyProtection="0"/>
    <xf numFmtId="167" fontId="22" fillId="0" borderId="0" applyFont="0" applyFill="0" applyBorder="0" applyAlignment="0" applyProtection="0"/>
    <xf numFmtId="167" fontId="63"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40" fillId="0" borderId="0" applyFont="0" applyFill="0" applyBorder="0" applyAlignment="0" applyProtection="0"/>
    <xf numFmtId="167" fontId="40"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73" fontId="22"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6" fontId="40"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6" fontId="42" fillId="0" borderId="0" applyFont="0" applyFill="0" applyBorder="0" applyAlignment="0" applyProtection="0"/>
    <xf numFmtId="170" fontId="22" fillId="0" borderId="0" applyFont="0" applyFill="0" applyBorder="0" applyAlignment="0" applyProtection="0"/>
    <xf numFmtId="170" fontId="22" fillId="0" borderId="0" applyFont="0" applyFill="0" applyBorder="0" applyAlignment="0" applyProtection="0"/>
    <xf numFmtId="166" fontId="22" fillId="0" borderId="0" applyFont="0" applyFill="0" applyBorder="0" applyAlignment="0" applyProtection="0"/>
    <xf numFmtId="170" fontId="22"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0" fontId="64" fillId="70" borderId="0" applyNumberFormat="0" applyBorder="0" applyAlignment="0" applyProtection="0"/>
    <xf numFmtId="0" fontId="65" fillId="21" borderId="0" applyNumberFormat="0" applyBorder="0" applyAlignment="0" applyProtection="0"/>
    <xf numFmtId="0" fontId="40" fillId="0" borderId="0"/>
    <xf numFmtId="0" fontId="22" fillId="0" borderId="0"/>
    <xf numFmtId="0" fontId="14" fillId="0" borderId="0"/>
    <xf numFmtId="0" fontId="2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6" fillId="0" borderId="0"/>
    <xf numFmtId="0" fontId="42" fillId="0" borderId="0"/>
    <xf numFmtId="0" fontId="22" fillId="0" borderId="0"/>
    <xf numFmtId="0" fontId="42" fillId="0" borderId="0"/>
    <xf numFmtId="0" fontId="14" fillId="0" borderId="0"/>
    <xf numFmtId="0" fontId="22" fillId="0" borderId="0"/>
    <xf numFmtId="0" fontId="2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2" fillId="0" borderId="0"/>
    <xf numFmtId="0" fontId="14" fillId="0" borderId="0"/>
    <xf numFmtId="0" fontId="14" fillId="0" borderId="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22"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1" fillId="71" borderId="77" applyNumberFormat="0" applyFont="0" applyAlignment="0" applyProtection="0"/>
    <xf numFmtId="0" fontId="42" fillId="25" borderId="72" applyNumberFormat="0" applyFont="0" applyAlignment="0" applyProtection="0"/>
    <xf numFmtId="174" fontId="53" fillId="0" borderId="0">
      <protection locked="0"/>
    </xf>
    <xf numFmtId="9" fontId="40" fillId="0" borderId="0" applyFont="0" applyFill="0" applyBorder="0" applyAlignment="0" applyProtection="0"/>
    <xf numFmtId="9" fontId="40"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7" fillId="64" borderId="78" applyNumberFormat="0" applyAlignment="0" applyProtection="0"/>
    <xf numFmtId="0" fontId="68" fillId="23" borderId="69" applyNumberFormat="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71" fillId="0" borderId="0" applyNumberFormat="0" applyFill="0" applyBorder="0" applyAlignment="0" applyProtection="0"/>
    <xf numFmtId="0" fontId="72" fillId="0" borderId="0" applyNumberFormat="0" applyFill="0" applyBorder="0" applyAlignment="0" applyProtection="0"/>
    <xf numFmtId="0" fontId="73" fillId="0" borderId="79" applyNumberFormat="0" applyFill="0" applyAlignment="0" applyProtection="0"/>
    <xf numFmtId="0" fontId="74" fillId="0" borderId="65" applyNumberFormat="0" applyFill="0" applyAlignment="0" applyProtection="0"/>
    <xf numFmtId="0" fontId="75" fillId="0" borderId="80" applyNumberFormat="0" applyFill="0" applyAlignment="0" applyProtection="0"/>
    <xf numFmtId="0" fontId="76" fillId="0" borderId="66" applyNumberFormat="0" applyFill="0" applyAlignment="0" applyProtection="0"/>
    <xf numFmtId="0" fontId="54" fillId="0" borderId="81" applyNumberFormat="0" applyFill="0" applyAlignment="0" applyProtection="0"/>
    <xf numFmtId="0" fontId="55" fillId="0" borderId="67" applyNumberFormat="0" applyFill="0" applyAlignment="0" applyProtection="0"/>
    <xf numFmtId="0" fontId="77" fillId="0" borderId="0" applyNumberFormat="0" applyFill="0" applyBorder="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172" fontId="53" fillId="0" borderId="83">
      <protection locked="0"/>
    </xf>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78" fillId="0" borderId="82" applyNumberFormat="0" applyFill="0" applyAlignment="0" applyProtection="0"/>
    <xf numFmtId="0" fontId="25" fillId="0" borderId="73" applyNumberFormat="0" applyFill="0" applyAlignment="0" applyProtection="0"/>
    <xf numFmtId="172" fontId="53" fillId="0" borderId="83">
      <protection locked="0"/>
    </xf>
    <xf numFmtId="0" fontId="22" fillId="0" borderId="0"/>
    <xf numFmtId="0" fontId="14" fillId="0" borderId="0"/>
    <xf numFmtId="9" fontId="14" fillId="0" borderId="0" applyFont="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166" fontId="14" fillId="0" borderId="0" applyFont="0" applyFill="0" applyBorder="0" applyAlignment="0" applyProtection="0"/>
    <xf numFmtId="167" fontId="14" fillId="0" borderId="0" applyFont="0" applyFill="0" applyBorder="0" applyAlignment="0" applyProtection="0"/>
    <xf numFmtId="0" fontId="82" fillId="0" borderId="0" applyNumberFormat="0" applyFill="0" applyBorder="0" applyAlignment="0" applyProtection="0"/>
    <xf numFmtId="0" fontId="83" fillId="0" borderId="65" applyNumberFormat="0" applyFill="0" applyAlignment="0" applyProtection="0"/>
    <xf numFmtId="0" fontId="84" fillId="0" borderId="66" applyNumberFormat="0" applyFill="0" applyAlignment="0" applyProtection="0"/>
    <xf numFmtId="0" fontId="85" fillId="0" borderId="67" applyNumberFormat="0" applyFill="0" applyAlignment="0" applyProtection="0"/>
    <xf numFmtId="0" fontId="85" fillId="0" borderId="0" applyNumberFormat="0" applyFill="0" applyBorder="0" applyAlignment="0" applyProtection="0"/>
    <xf numFmtId="0" fontId="86" fillId="19" borderId="0" applyNumberFormat="0" applyBorder="0" applyAlignment="0" applyProtection="0"/>
    <xf numFmtId="0" fontId="87" fillId="20" borderId="0" applyNumberFormat="0" applyBorder="0" applyAlignment="0" applyProtection="0"/>
    <xf numFmtId="0" fontId="88" fillId="21" borderId="0" applyNumberFormat="0" applyBorder="0" applyAlignment="0" applyProtection="0"/>
    <xf numFmtId="0" fontId="89" fillId="22" borderId="68" applyNumberFormat="0" applyAlignment="0" applyProtection="0"/>
    <xf numFmtId="0" fontId="90" fillId="23" borderId="69" applyNumberFormat="0" applyAlignment="0" applyProtection="0"/>
    <xf numFmtId="0" fontId="91" fillId="23" borderId="68" applyNumberFormat="0" applyAlignment="0" applyProtection="0"/>
    <xf numFmtId="0" fontId="92" fillId="0" borderId="70" applyNumberFormat="0" applyFill="0" applyAlignment="0" applyProtection="0"/>
    <xf numFmtId="0" fontId="93" fillId="24" borderId="71" applyNumberFormat="0" applyAlignment="0" applyProtection="0"/>
    <xf numFmtId="0" fontId="94" fillId="0" borderId="0" applyNumberFormat="0" applyFill="0" applyBorder="0" applyAlignment="0" applyProtection="0"/>
    <xf numFmtId="0" fontId="95" fillId="0" borderId="0" applyNumberFormat="0" applyFill="0" applyBorder="0" applyAlignment="0" applyProtection="0"/>
    <xf numFmtId="0" fontId="96" fillId="0" borderId="73" applyNumberFormat="0" applyFill="0" applyAlignment="0" applyProtection="0"/>
    <xf numFmtId="0" fontId="97" fillId="26"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97" fillId="29" borderId="0" applyNumberFormat="0" applyBorder="0" applyAlignment="0" applyProtection="0"/>
    <xf numFmtId="0" fontId="97" fillId="30" borderId="0" applyNumberFormat="0" applyBorder="0" applyAlignment="0" applyProtection="0"/>
    <xf numFmtId="0" fontId="13" fillId="31" borderId="0" applyNumberFormat="0" applyBorder="0" applyAlignment="0" applyProtection="0"/>
    <xf numFmtId="0" fontId="13" fillId="32" borderId="0" applyNumberFormat="0" applyBorder="0" applyAlignment="0" applyProtection="0"/>
    <xf numFmtId="0" fontId="97" fillId="33" borderId="0" applyNumberFormat="0" applyBorder="0" applyAlignment="0" applyProtection="0"/>
    <xf numFmtId="0" fontId="97" fillId="34" borderId="0" applyNumberFormat="0" applyBorder="0" applyAlignment="0" applyProtection="0"/>
    <xf numFmtId="0" fontId="13" fillId="35" borderId="0" applyNumberFormat="0" applyBorder="0" applyAlignment="0" applyProtection="0"/>
    <xf numFmtId="0" fontId="13" fillId="36" borderId="0" applyNumberFormat="0" applyBorder="0" applyAlignment="0" applyProtection="0"/>
    <xf numFmtId="0" fontId="97" fillId="37" borderId="0" applyNumberFormat="0" applyBorder="0" applyAlignment="0" applyProtection="0"/>
    <xf numFmtId="0" fontId="97" fillId="38" borderId="0" applyNumberFormat="0" applyBorder="0" applyAlignment="0" applyProtection="0"/>
    <xf numFmtId="0" fontId="13" fillId="39" borderId="0" applyNumberFormat="0" applyBorder="0" applyAlignment="0" applyProtection="0"/>
    <xf numFmtId="0" fontId="13" fillId="40" borderId="0" applyNumberFormat="0" applyBorder="0" applyAlignment="0" applyProtection="0"/>
    <xf numFmtId="0" fontId="97" fillId="41" borderId="0" applyNumberFormat="0" applyBorder="0" applyAlignment="0" applyProtection="0"/>
    <xf numFmtId="0" fontId="97" fillId="42" borderId="0" applyNumberFormat="0" applyBorder="0" applyAlignment="0" applyProtection="0"/>
    <xf numFmtId="0" fontId="13" fillId="43" borderId="0" applyNumberFormat="0" applyBorder="0" applyAlignment="0" applyProtection="0"/>
    <xf numFmtId="0" fontId="13" fillId="44" borderId="0" applyNumberFormat="0" applyBorder="0" applyAlignment="0" applyProtection="0"/>
    <xf numFmtId="0" fontId="97" fillId="45" borderId="0" applyNumberFormat="0" applyBorder="0" applyAlignment="0" applyProtection="0"/>
    <xf numFmtId="0" fontId="97" fillId="46" borderId="0" applyNumberFormat="0" applyBorder="0" applyAlignment="0" applyProtection="0"/>
    <xf numFmtId="0" fontId="13" fillId="47" borderId="0" applyNumberFormat="0" applyBorder="0" applyAlignment="0" applyProtection="0"/>
    <xf numFmtId="0" fontId="13" fillId="48" borderId="0" applyNumberFormat="0" applyBorder="0" applyAlignment="0" applyProtection="0"/>
    <xf numFmtId="0" fontId="97" fillId="49" borderId="0" applyNumberFormat="0" applyBorder="0" applyAlignment="0" applyProtection="0"/>
    <xf numFmtId="0" fontId="100" fillId="0" borderId="0"/>
    <xf numFmtId="0" fontId="13" fillId="0" borderId="0"/>
    <xf numFmtId="0" fontId="13" fillId="25" borderId="72" applyNumberFormat="0" applyFont="0" applyAlignment="0" applyProtection="0"/>
    <xf numFmtId="0" fontId="22" fillId="0" borderId="0" applyNumberFormat="0" applyFont="0" applyFill="0" applyBorder="0" applyAlignment="0" applyProtection="0"/>
    <xf numFmtId="0" fontId="12" fillId="0" borderId="0"/>
    <xf numFmtId="166" fontId="12" fillId="0" borderId="0" applyFont="0" applyFill="0" applyBorder="0" applyAlignment="0" applyProtection="0"/>
    <xf numFmtId="9" fontId="12" fillId="0" borderId="0" applyFont="0" applyFill="0" applyBorder="0" applyAlignment="0" applyProtection="0"/>
    <xf numFmtId="0" fontId="11" fillId="0" borderId="0"/>
    <xf numFmtId="166" fontId="11" fillId="0" borderId="0" applyFont="0" applyFill="0" applyBorder="0" applyAlignment="0" applyProtection="0"/>
    <xf numFmtId="9" fontId="11" fillId="0" borderId="0" applyFont="0" applyFill="0" applyBorder="0" applyAlignment="0" applyProtection="0"/>
    <xf numFmtId="0" fontId="10" fillId="0" borderId="0"/>
    <xf numFmtId="166" fontId="10" fillId="0" borderId="0" applyFont="0" applyFill="0" applyBorder="0" applyAlignment="0" applyProtection="0"/>
    <xf numFmtId="9" fontId="10" fillId="0" borderId="0" applyFont="0" applyFill="0" applyBorder="0" applyAlignment="0" applyProtection="0"/>
    <xf numFmtId="0" fontId="9" fillId="0" borderId="0"/>
    <xf numFmtId="166" fontId="9" fillId="0" borderId="0" applyFont="0" applyFill="0" applyBorder="0" applyAlignment="0" applyProtection="0"/>
    <xf numFmtId="9" fontId="9" fillId="0" borderId="0" applyFont="0" applyFill="0" applyBorder="0" applyAlignment="0" applyProtection="0"/>
    <xf numFmtId="0" fontId="8" fillId="0" borderId="0"/>
    <xf numFmtId="0" fontId="8" fillId="0" borderId="0"/>
    <xf numFmtId="9" fontId="8" fillId="0" borderId="0" applyFont="0" applyFill="0" applyBorder="0" applyAlignment="0" applyProtection="0"/>
    <xf numFmtId="0" fontId="7" fillId="0" borderId="0"/>
    <xf numFmtId="0" fontId="6" fillId="0" borderId="0"/>
    <xf numFmtId="0" fontId="22" fillId="0" borderId="0" applyNumberFormat="0" applyFont="0" applyFill="0" applyBorder="0" applyAlignment="0" applyProtection="0"/>
    <xf numFmtId="0" fontId="5" fillId="0" borderId="0"/>
    <xf numFmtId="0" fontId="4" fillId="0" borderId="0"/>
    <xf numFmtId="0" fontId="4" fillId="0" borderId="0"/>
    <xf numFmtId="0" fontId="3" fillId="0" borderId="0"/>
    <xf numFmtId="9" fontId="22" fillId="0" borderId="0" applyFont="0" applyFill="0" applyBorder="0" applyAlignment="0" applyProtection="0"/>
    <xf numFmtId="0" fontId="2" fillId="0" borderId="0"/>
    <xf numFmtId="0" fontId="126" fillId="0" borderId="0"/>
    <xf numFmtId="9" fontId="126" fillId="0" borderId="0" applyFont="0" applyFill="0" applyBorder="0" applyAlignment="0" applyProtection="0"/>
  </cellStyleXfs>
  <cellXfs count="1382">
    <xf numFmtId="0" fontId="0" fillId="0" borderId="0" xfId="0"/>
    <xf numFmtId="0" fontId="0" fillId="0" borderId="0" xfId="0" applyNumberFormat="1" applyFont="1" applyFill="1" applyBorder="1" applyAlignment="1"/>
    <xf numFmtId="0" fontId="0" fillId="0" borderId="0" xfId="0" applyNumberFormat="1" applyFont="1" applyFill="1" applyBorder="1" applyAlignment="1">
      <alignment wrapText="1"/>
    </xf>
    <xf numFmtId="0" fontId="23" fillId="0" borderId="0" xfId="0" applyNumberFormat="1" applyFont="1" applyFill="1" applyBorder="1" applyAlignment="1">
      <alignment horizontal="left" vertical="center"/>
    </xf>
    <xf numFmtId="0" fontId="24" fillId="2" borderId="0" xfId="0" applyNumberFormat="1" applyFont="1" applyFill="1" applyBorder="1" applyAlignment="1">
      <alignment horizontal="left" vertical="top" wrapText="1"/>
    </xf>
    <xf numFmtId="0" fontId="24" fillId="0" borderId="0" xfId="0" applyNumberFormat="1" applyFont="1" applyFill="1" applyBorder="1" applyAlignment="1">
      <alignment vertical="top" wrapText="1"/>
    </xf>
    <xf numFmtId="0" fontId="24" fillId="0" borderId="0" xfId="0" applyNumberFormat="1" applyFont="1" applyFill="1" applyBorder="1" applyAlignment="1">
      <alignment horizontal="left" vertical="top" wrapText="1"/>
    </xf>
    <xf numFmtId="0" fontId="0" fillId="0" borderId="0" xfId="0" applyNumberFormat="1" applyFont="1" applyFill="1" applyBorder="1" applyAlignment="1">
      <alignment horizontal="left" vertical="center" wrapText="1"/>
    </xf>
    <xf numFmtId="0" fontId="27" fillId="0" borderId="12" xfId="0" applyNumberFormat="1" applyFont="1" applyFill="1" applyBorder="1" applyAlignment="1">
      <alignment vertical="center"/>
    </xf>
    <xf numFmtId="0" fontId="26" fillId="0" borderId="13" xfId="0" applyNumberFormat="1" applyFont="1" applyFill="1" applyBorder="1" applyAlignment="1">
      <alignment horizontal="center" vertical="center" wrapText="1"/>
    </xf>
    <xf numFmtId="0" fontId="26" fillId="0" borderId="12" xfId="0" applyNumberFormat="1" applyFont="1" applyFill="1" applyBorder="1" applyAlignment="1">
      <alignment horizontal="center" vertical="center" wrapText="1"/>
    </xf>
    <xf numFmtId="0" fontId="27" fillId="0" borderId="13" xfId="0" applyNumberFormat="1" applyFont="1" applyFill="1" applyBorder="1" applyAlignment="1">
      <alignment vertical="center"/>
    </xf>
    <xf numFmtId="0" fontId="27" fillId="0" borderId="14" xfId="0" applyNumberFormat="1" applyFont="1" applyFill="1" applyBorder="1" applyAlignment="1">
      <alignment vertical="center"/>
    </xf>
    <xf numFmtId="0" fontId="27" fillId="0" borderId="0" xfId="0" applyNumberFormat="1" applyFont="1" applyFill="1" applyBorder="1" applyAlignment="1">
      <alignment vertical="center"/>
    </xf>
    <xf numFmtId="0" fontId="26" fillId="0" borderId="0" xfId="0" applyNumberFormat="1" applyFont="1" applyFill="1" applyBorder="1" applyAlignment="1">
      <alignment horizontal="center" vertical="center" wrapText="1"/>
    </xf>
    <xf numFmtId="0" fontId="0" fillId="0" borderId="8" xfId="0" applyNumberFormat="1" applyFont="1" applyFill="1" applyBorder="1" applyAlignment="1"/>
    <xf numFmtId="0" fontId="0" fillId="0" borderId="21" xfId="0" applyNumberFormat="1" applyFont="1" applyFill="1" applyBorder="1" applyAlignment="1"/>
    <xf numFmtId="0" fontId="0" fillId="0" borderId="22" xfId="0" applyNumberFormat="1" applyFont="1" applyFill="1" applyBorder="1" applyAlignment="1"/>
    <xf numFmtId="0" fontId="0" fillId="0" borderId="23" xfId="0" applyNumberFormat="1" applyFont="1" applyFill="1" applyBorder="1" applyAlignment="1"/>
    <xf numFmtId="0" fontId="0" fillId="0" borderId="13" xfId="0" applyNumberFormat="1" applyFont="1" applyFill="1" applyBorder="1" applyAlignment="1"/>
    <xf numFmtId="0" fontId="0" fillId="0" borderId="24" xfId="0" applyNumberFormat="1" applyFont="1" applyFill="1" applyBorder="1" applyAlignment="1"/>
    <xf numFmtId="0" fontId="0" fillId="0" borderId="25" xfId="0" applyNumberFormat="1" applyFont="1" applyFill="1" applyBorder="1" applyAlignment="1"/>
    <xf numFmtId="0" fontId="0" fillId="0" borderId="26" xfId="0" applyNumberFormat="1" applyFont="1" applyFill="1" applyBorder="1" applyAlignment="1"/>
    <xf numFmtId="0" fontId="27" fillId="0" borderId="15" xfId="0" applyNumberFormat="1" applyFont="1" applyFill="1" applyBorder="1" applyAlignment="1">
      <alignment vertical="center"/>
    </xf>
    <xf numFmtId="0" fontId="0" fillId="0" borderId="27" xfId="0" applyNumberFormat="1" applyFont="1" applyFill="1" applyBorder="1" applyAlignment="1"/>
    <xf numFmtId="0" fontId="0" fillId="0" borderId="28" xfId="0" applyNumberFormat="1" applyFont="1" applyFill="1" applyBorder="1" applyAlignment="1"/>
    <xf numFmtId="0" fontId="0" fillId="0" borderId="29" xfId="0" applyNumberFormat="1" applyFont="1" applyFill="1" applyBorder="1" applyAlignment="1"/>
    <xf numFmtId="0" fontId="0" fillId="0" borderId="15" xfId="0" applyNumberFormat="1" applyFont="1" applyFill="1" applyBorder="1" applyAlignment="1"/>
    <xf numFmtId="0" fontId="27" fillId="0" borderId="0" xfId="0" applyNumberFormat="1" applyFont="1" applyFill="1" applyBorder="1" applyAlignment="1"/>
    <xf numFmtId="0" fontId="0" fillId="0" borderId="9" xfId="0" applyNumberFormat="1" applyFont="1" applyFill="1" applyBorder="1" applyAlignment="1"/>
    <xf numFmtId="0" fontId="0" fillId="0" borderId="30" xfId="0" applyNumberFormat="1" applyFont="1" applyFill="1" applyBorder="1" applyAlignment="1"/>
    <xf numFmtId="0" fontId="0" fillId="0" borderId="31" xfId="0" applyNumberFormat="1" applyFont="1" applyFill="1" applyBorder="1" applyAlignment="1"/>
    <xf numFmtId="0" fontId="0" fillId="0" borderId="32" xfId="0" applyNumberFormat="1" applyFont="1" applyFill="1" applyBorder="1" applyAlignment="1"/>
    <xf numFmtId="0" fontId="0" fillId="0" borderId="0" xfId="1" applyNumberFormat="1" applyFont="1" applyFill="1" applyBorder="1" applyAlignment="1"/>
    <xf numFmtId="0" fontId="28" fillId="0" borderId="0" xfId="0" applyNumberFormat="1" applyFont="1" applyFill="1" applyBorder="1" applyAlignment="1">
      <alignment vertical="center" wrapText="1"/>
    </xf>
    <xf numFmtId="0" fontId="0" fillId="0" borderId="39" xfId="0" applyNumberFormat="1" applyFont="1" applyFill="1" applyBorder="1" applyAlignment="1"/>
    <xf numFmtId="0" fontId="0" fillId="0" borderId="40" xfId="0" applyNumberFormat="1" applyFont="1" applyFill="1" applyBorder="1" applyAlignment="1"/>
    <xf numFmtId="0" fontId="27" fillId="0" borderId="13" xfId="0" applyNumberFormat="1" applyFont="1" applyFill="1" applyBorder="1" applyAlignment="1">
      <alignment vertical="center" wrapText="1"/>
    </xf>
    <xf numFmtId="0" fontId="27" fillId="0" borderId="15" xfId="0" applyNumberFormat="1" applyFont="1" applyFill="1" applyBorder="1" applyAlignment="1">
      <alignment vertical="center" wrapText="1"/>
    </xf>
    <xf numFmtId="0" fontId="0" fillId="0" borderId="33" xfId="0" applyNumberFormat="1" applyFont="1" applyFill="1" applyBorder="1" applyAlignment="1"/>
    <xf numFmtId="0" fontId="0" fillId="0" borderId="34" xfId="0" applyNumberFormat="1" applyFont="1" applyFill="1" applyBorder="1" applyAlignment="1"/>
    <xf numFmtId="0" fontId="0" fillId="0" borderId="41" xfId="0" applyNumberFormat="1" applyFont="1" applyFill="1" applyBorder="1" applyAlignment="1"/>
    <xf numFmtId="0" fontId="27" fillId="0" borderId="2" xfId="0" applyNumberFormat="1" applyFont="1" applyFill="1" applyBorder="1" applyAlignment="1">
      <alignment vertical="center"/>
    </xf>
    <xf numFmtId="0" fontId="23" fillId="3" borderId="7" xfId="0" applyNumberFormat="1" applyFont="1" applyFill="1" applyBorder="1" applyAlignment="1">
      <alignment horizontal="center" vertical="center"/>
    </xf>
    <xf numFmtId="0" fontId="26" fillId="3" borderId="8" xfId="0" applyNumberFormat="1" applyFont="1" applyFill="1" applyBorder="1" applyAlignment="1">
      <alignment horizontal="center" vertical="center" wrapText="1"/>
    </xf>
    <xf numFmtId="0" fontId="26" fillId="3" borderId="9" xfId="0" applyNumberFormat="1" applyFont="1" applyFill="1" applyBorder="1" applyAlignment="1">
      <alignment horizontal="center" vertical="center" wrapText="1"/>
    </xf>
    <xf numFmtId="0" fontId="26" fillId="3" borderId="10" xfId="0" applyNumberFormat="1" applyFont="1" applyFill="1" applyBorder="1" applyAlignment="1">
      <alignment horizontal="center" vertical="center" wrapText="1"/>
    </xf>
    <xf numFmtId="0" fontId="23" fillId="3" borderId="17" xfId="0" applyNumberFormat="1" applyFont="1" applyFill="1" applyBorder="1" applyAlignment="1">
      <alignment horizontal="center" vertical="center"/>
    </xf>
    <xf numFmtId="0" fontId="26" fillId="3" borderId="18" xfId="0" applyNumberFormat="1" applyFont="1" applyFill="1" applyBorder="1" applyAlignment="1">
      <alignment horizontal="center" vertical="center" wrapText="1"/>
    </xf>
    <xf numFmtId="0" fontId="26" fillId="3" borderId="19" xfId="0" applyNumberFormat="1" applyFont="1" applyFill="1" applyBorder="1" applyAlignment="1">
      <alignment horizontal="center" vertical="center" wrapText="1"/>
    </xf>
    <xf numFmtId="0" fontId="23" fillId="3" borderId="20" xfId="0" applyNumberFormat="1" applyFont="1" applyFill="1" applyBorder="1" applyAlignment="1">
      <alignment horizontal="center" vertical="center"/>
    </xf>
    <xf numFmtId="0" fontId="26" fillId="3" borderId="17" xfId="0" applyNumberFormat="1" applyFont="1" applyFill="1" applyBorder="1" applyAlignment="1">
      <alignment horizontal="center" vertical="center" wrapText="1"/>
    </xf>
    <xf numFmtId="0" fontId="26" fillId="3" borderId="20" xfId="0" applyNumberFormat="1" applyFont="1" applyFill="1" applyBorder="1" applyAlignment="1">
      <alignment horizontal="center" vertical="center" wrapText="1"/>
    </xf>
    <xf numFmtId="0" fontId="26" fillId="3" borderId="36" xfId="0" applyNumberFormat="1" applyFont="1" applyFill="1" applyBorder="1" applyAlignment="1">
      <alignment horizontal="center" vertical="center" wrapText="1"/>
    </xf>
    <xf numFmtId="0" fontId="26" fillId="3" borderId="37" xfId="0" applyNumberFormat="1" applyFont="1" applyFill="1" applyBorder="1" applyAlignment="1">
      <alignment horizontal="center" vertical="center" wrapText="1"/>
    </xf>
    <xf numFmtId="0" fontId="23" fillId="3" borderId="38" xfId="0" applyNumberFormat="1" applyFont="1" applyFill="1" applyBorder="1" applyAlignment="1">
      <alignment horizontal="center" vertical="center"/>
    </xf>
    <xf numFmtId="0" fontId="23" fillId="3" borderId="17" xfId="0" applyNumberFormat="1" applyFont="1" applyFill="1" applyBorder="1" applyAlignment="1">
      <alignment vertical="center"/>
    </xf>
    <xf numFmtId="0" fontId="26" fillId="3" borderId="17" xfId="0" applyNumberFormat="1" applyFont="1" applyFill="1" applyBorder="1" applyAlignment="1">
      <alignment horizontal="center" wrapText="1"/>
    </xf>
    <xf numFmtId="0" fontId="26" fillId="0" borderId="42" xfId="0" applyNumberFormat="1" applyFont="1" applyFill="1" applyBorder="1" applyAlignment="1">
      <alignment horizontal="center" vertical="center" wrapText="1"/>
    </xf>
    <xf numFmtId="0" fontId="27" fillId="0" borderId="32" xfId="0" applyNumberFormat="1" applyFont="1" applyFill="1" applyBorder="1" applyAlignment="1">
      <alignment vertical="center"/>
    </xf>
    <xf numFmtId="0" fontId="23" fillId="3" borderId="36" xfId="0" applyNumberFormat="1" applyFont="1" applyFill="1" applyBorder="1" applyAlignment="1"/>
    <xf numFmtId="0" fontId="27" fillId="0" borderId="39" xfId="0" applyNumberFormat="1" applyFont="1" applyFill="1" applyBorder="1" applyAlignment="1">
      <alignment vertical="center" wrapText="1"/>
    </xf>
    <xf numFmtId="0" fontId="27" fillId="0" borderId="46" xfId="0" applyNumberFormat="1" applyFont="1" applyFill="1" applyBorder="1" applyAlignment="1">
      <alignment vertical="center"/>
    </xf>
    <xf numFmtId="0" fontId="27" fillId="5" borderId="13" xfId="0" applyNumberFormat="1" applyFont="1" applyFill="1" applyBorder="1" applyAlignment="1">
      <alignment vertical="center"/>
    </xf>
    <xf numFmtId="0" fontId="27" fillId="5" borderId="46" xfId="0" applyNumberFormat="1" applyFont="1" applyFill="1" applyBorder="1" applyAlignment="1">
      <alignment vertical="center"/>
    </xf>
    <xf numFmtId="0" fontId="23" fillId="3" borderId="47" xfId="0" applyNumberFormat="1" applyFont="1" applyFill="1" applyBorder="1" applyAlignment="1"/>
    <xf numFmtId="0" fontId="26" fillId="3" borderId="48" xfId="0" applyNumberFormat="1" applyFont="1" applyFill="1" applyBorder="1" applyAlignment="1">
      <alignment horizontal="center" vertical="center" wrapText="1"/>
    </xf>
    <xf numFmtId="0" fontId="26" fillId="3" borderId="49" xfId="0" applyNumberFormat="1" applyFont="1" applyFill="1" applyBorder="1" applyAlignment="1">
      <alignment horizontal="center" vertical="center" wrapText="1"/>
    </xf>
    <xf numFmtId="0" fontId="26" fillId="3" borderId="50" xfId="0" applyNumberFormat="1" applyFont="1" applyFill="1" applyBorder="1" applyAlignment="1">
      <alignment horizontal="center" vertical="center" wrapText="1"/>
    </xf>
    <xf numFmtId="0" fontId="26" fillId="3" borderId="47" xfId="0" applyNumberFormat="1" applyFont="1" applyFill="1" applyBorder="1" applyAlignment="1">
      <alignment horizontal="center" vertical="center" wrapText="1"/>
    </xf>
    <xf numFmtId="0" fontId="27" fillId="5" borderId="25" xfId="0" applyNumberFormat="1" applyFont="1" applyFill="1" applyBorder="1" applyAlignment="1">
      <alignment vertical="center" wrapText="1"/>
    </xf>
    <xf numFmtId="0" fontId="26" fillId="5" borderId="25" xfId="0" applyNumberFormat="1" applyFont="1" applyFill="1" applyBorder="1" applyAlignment="1">
      <alignment horizontal="center" vertical="center" wrapText="1"/>
    </xf>
    <xf numFmtId="0" fontId="27" fillId="5" borderId="12" xfId="0" applyNumberFormat="1" applyFont="1" applyFill="1" applyBorder="1" applyAlignment="1">
      <alignment vertical="center"/>
    </xf>
    <xf numFmtId="0" fontId="0" fillId="0" borderId="45" xfId="0" applyNumberFormat="1" applyFont="1" applyFill="1" applyBorder="1" applyAlignment="1"/>
    <xf numFmtId="0" fontId="0" fillId="0" borderId="52" xfId="0" applyNumberFormat="1" applyFont="1" applyFill="1" applyBorder="1" applyAlignment="1"/>
    <xf numFmtId="0" fontId="0" fillId="0" borderId="51" xfId="0" applyNumberFormat="1" applyFont="1" applyFill="1" applyBorder="1" applyAlignment="1"/>
    <xf numFmtId="0" fontId="27" fillId="0" borderId="13" xfId="0" applyNumberFormat="1" applyFont="1" applyFill="1" applyBorder="1" applyAlignment="1"/>
    <xf numFmtId="0" fontId="27" fillId="5" borderId="42" xfId="0" applyNumberFormat="1" applyFont="1" applyFill="1" applyBorder="1" applyAlignment="1">
      <alignment vertical="center" wrapText="1"/>
    </xf>
    <xf numFmtId="0" fontId="26" fillId="5" borderId="42" xfId="0" applyNumberFormat="1" applyFont="1" applyFill="1" applyBorder="1" applyAlignment="1">
      <alignment horizontal="center" vertical="center" wrapText="1"/>
    </xf>
    <xf numFmtId="0" fontId="27" fillId="0" borderId="51" xfId="0" applyNumberFormat="1" applyFont="1" applyFill="1" applyBorder="1" applyAlignment="1">
      <alignment vertical="center" wrapText="1"/>
    </xf>
    <xf numFmtId="0" fontId="0" fillId="0" borderId="53" xfId="0" applyNumberFormat="1" applyFont="1" applyFill="1" applyBorder="1" applyAlignment="1"/>
    <xf numFmtId="0" fontId="0" fillId="0" borderId="54" xfId="0" applyNumberFormat="1" applyFont="1" applyFill="1" applyBorder="1" applyAlignment="1"/>
    <xf numFmtId="0" fontId="0" fillId="0" borderId="44" xfId="0" applyNumberFormat="1" applyFont="1" applyFill="1" applyBorder="1" applyAlignment="1"/>
    <xf numFmtId="0" fontId="0" fillId="0" borderId="43" xfId="0" applyNumberFormat="1" applyFont="1" applyFill="1" applyBorder="1" applyAlignment="1"/>
    <xf numFmtId="0" fontId="27" fillId="0" borderId="46" xfId="0" applyNumberFormat="1" applyFont="1" applyFill="1" applyBorder="1" applyAlignment="1">
      <alignment vertical="center" wrapText="1"/>
    </xf>
    <xf numFmtId="0" fontId="0" fillId="0" borderId="55" xfId="0" applyNumberFormat="1" applyFont="1" applyFill="1" applyBorder="1" applyAlignment="1"/>
    <xf numFmtId="0" fontId="0" fillId="0" borderId="56" xfId="0" applyNumberFormat="1" applyFont="1" applyFill="1" applyBorder="1" applyAlignment="1"/>
    <xf numFmtId="0" fontId="0" fillId="6" borderId="0" xfId="0" applyNumberFormat="1" applyFont="1" applyFill="1" applyBorder="1" applyAlignment="1"/>
    <xf numFmtId="0" fontId="0" fillId="7" borderId="16" xfId="0" applyNumberFormat="1" applyFont="1" applyFill="1" applyBorder="1" applyAlignment="1"/>
    <xf numFmtId="0" fontId="0" fillId="7" borderId="0" xfId="0" applyNumberFormat="1" applyFont="1" applyFill="1" applyBorder="1" applyAlignment="1"/>
    <xf numFmtId="0" fontId="0" fillId="10" borderId="0" xfId="0" applyNumberFormat="1" applyFont="1" applyFill="1" applyBorder="1" applyAlignment="1"/>
    <xf numFmtId="0" fontId="0" fillId="11" borderId="0" xfId="0" applyNumberFormat="1" applyFont="1" applyFill="1" applyBorder="1" applyAlignment="1"/>
    <xf numFmtId="0" fontId="0" fillId="12" borderId="0" xfId="0" applyNumberFormat="1" applyFont="1" applyFill="1" applyBorder="1" applyAlignment="1"/>
    <xf numFmtId="0" fontId="0" fillId="13" borderId="0" xfId="0" applyNumberFormat="1" applyFont="1" applyFill="1" applyBorder="1" applyAlignment="1"/>
    <xf numFmtId="0" fontId="0" fillId="8" borderId="0" xfId="0" applyNumberFormat="1" applyFont="1" applyFill="1" applyBorder="1" applyAlignment="1"/>
    <xf numFmtId="0" fontId="0" fillId="9" borderId="0" xfId="0" applyNumberFormat="1" applyFont="1" applyFill="1" applyBorder="1" applyAlignment="1"/>
    <xf numFmtId="0" fontId="27" fillId="5" borderId="11" xfId="0" applyNumberFormat="1" applyFont="1" applyFill="1" applyBorder="1" applyAlignment="1"/>
    <xf numFmtId="0" fontId="27" fillId="6" borderId="0" xfId="0" applyNumberFormat="1" applyFont="1" applyFill="1" applyBorder="1" applyAlignment="1">
      <alignment vertical="center"/>
    </xf>
    <xf numFmtId="0" fontId="27" fillId="6" borderId="57" xfId="0" applyNumberFormat="1" applyFont="1" applyFill="1" applyBorder="1" applyAlignment="1">
      <alignment vertical="center"/>
    </xf>
    <xf numFmtId="0" fontId="0" fillId="14" borderId="0" xfId="0" applyNumberFormat="1" applyFont="1" applyFill="1" applyBorder="1" applyAlignment="1"/>
    <xf numFmtId="0" fontId="0" fillId="15" borderId="0" xfId="0" applyNumberFormat="1" applyFont="1" applyFill="1" applyBorder="1" applyAlignment="1"/>
    <xf numFmtId="0" fontId="0" fillId="16" borderId="0" xfId="0" applyNumberFormat="1" applyFont="1" applyFill="1" applyBorder="1" applyAlignment="1"/>
    <xf numFmtId="0" fontId="0" fillId="17" borderId="16" xfId="0" applyNumberFormat="1" applyFont="1" applyFill="1" applyBorder="1" applyAlignment="1"/>
    <xf numFmtId="0" fontId="0" fillId="17" borderId="0" xfId="0" applyNumberFormat="1" applyFont="1" applyFill="1" applyBorder="1" applyAlignment="1"/>
    <xf numFmtId="0" fontId="0" fillId="14" borderId="16" xfId="0" applyNumberFormat="1" applyFont="1" applyFill="1" applyBorder="1" applyAlignment="1"/>
    <xf numFmtId="0" fontId="0" fillId="3" borderId="0" xfId="0" applyNumberFormat="1" applyFont="1" applyFill="1" applyBorder="1" applyAlignment="1"/>
    <xf numFmtId="0" fontId="27" fillId="5" borderId="58" xfId="0" applyNumberFormat="1" applyFont="1" applyFill="1" applyBorder="1" applyAlignment="1">
      <alignment vertical="center"/>
    </xf>
    <xf numFmtId="0" fontId="23" fillId="3" borderId="11" xfId="0" applyNumberFormat="1" applyFont="1" applyFill="1" applyBorder="1" applyAlignment="1">
      <alignment horizontal="center" vertical="center" wrapText="1"/>
    </xf>
    <xf numFmtId="0" fontId="27" fillId="0" borderId="14" xfId="0" applyNumberFormat="1" applyFont="1" applyFill="1" applyBorder="1" applyAlignment="1">
      <alignment vertical="center" wrapText="1"/>
    </xf>
    <xf numFmtId="0" fontId="0" fillId="0" borderId="42" xfId="0" applyNumberFormat="1" applyFont="1" applyFill="1" applyBorder="1" applyAlignment="1"/>
    <xf numFmtId="0" fontId="0" fillId="0" borderId="35" xfId="0" applyNumberFormat="1" applyFont="1" applyFill="1" applyBorder="1" applyAlignment="1"/>
    <xf numFmtId="0" fontId="0" fillId="0" borderId="0" xfId="0" applyNumberFormat="1" applyFont="1" applyFill="1" applyBorder="1" applyAlignment="1">
      <alignment horizontal="center"/>
    </xf>
    <xf numFmtId="0" fontId="0" fillId="5" borderId="0" xfId="0" applyNumberFormat="1" applyFont="1" applyFill="1" applyBorder="1" applyAlignment="1"/>
    <xf numFmtId="0" fontId="27" fillId="5" borderId="12" xfId="0" applyNumberFormat="1" applyFont="1" applyFill="1" applyBorder="1" applyAlignment="1">
      <alignment vertical="center" wrapText="1"/>
    </xf>
    <xf numFmtId="0" fontId="26" fillId="3" borderId="1" xfId="0" applyNumberFormat="1" applyFont="1" applyFill="1" applyBorder="1" applyAlignment="1">
      <alignment horizontal="center" vertical="center" wrapText="1"/>
    </xf>
    <xf numFmtId="0" fontId="27" fillId="5" borderId="32" xfId="0" applyNumberFormat="1" applyFont="1" applyFill="1" applyBorder="1" applyAlignment="1">
      <alignment horizontal="center" vertical="center" wrapText="1"/>
    </xf>
    <xf numFmtId="0" fontId="27" fillId="5" borderId="24" xfId="0" applyNumberFormat="1" applyFont="1" applyFill="1" applyBorder="1" applyAlignment="1">
      <alignment vertical="center" wrapText="1"/>
    </xf>
    <xf numFmtId="0" fontId="26" fillId="5" borderId="24" xfId="0" applyNumberFormat="1" applyFont="1" applyFill="1" applyBorder="1" applyAlignment="1">
      <alignment horizontal="center" vertical="center" wrapText="1"/>
    </xf>
    <xf numFmtId="0" fontId="27" fillId="5" borderId="13" xfId="0" applyNumberFormat="1" applyFont="1" applyFill="1" applyBorder="1" applyAlignment="1">
      <alignment horizontal="center" vertical="center" wrapText="1"/>
    </xf>
    <xf numFmtId="0" fontId="27" fillId="5" borderId="26" xfId="0" applyNumberFormat="1" applyFont="1" applyFill="1" applyBorder="1" applyAlignment="1">
      <alignment vertical="center" wrapText="1"/>
    </xf>
    <xf numFmtId="0" fontId="26" fillId="5" borderId="26" xfId="0" applyNumberFormat="1" applyFont="1" applyFill="1" applyBorder="1" applyAlignment="1">
      <alignment horizontal="center" vertical="center" wrapText="1"/>
    </xf>
    <xf numFmtId="0" fontId="27" fillId="5" borderId="51" xfId="0" applyNumberFormat="1" applyFont="1" applyFill="1" applyBorder="1" applyAlignment="1">
      <alignment horizontal="center" vertical="center" wrapText="1"/>
    </xf>
    <xf numFmtId="0" fontId="23" fillId="3" borderId="17" xfId="0" applyNumberFormat="1" applyFont="1" applyFill="1" applyBorder="1" applyAlignment="1">
      <alignment horizontal="center" vertical="center" wrapText="1"/>
    </xf>
    <xf numFmtId="0" fontId="27" fillId="5" borderId="53" xfId="0" applyNumberFormat="1" applyFont="1" applyFill="1" applyBorder="1" applyAlignment="1">
      <alignment horizontal="center" vertical="center" wrapText="1"/>
    </xf>
    <xf numFmtId="0" fontId="23" fillId="3" borderId="17" xfId="0" applyNumberFormat="1" applyFont="1" applyFill="1" applyBorder="1" applyAlignment="1">
      <alignment vertical="center" wrapText="1"/>
    </xf>
    <xf numFmtId="0" fontId="27" fillId="5" borderId="46" xfId="0" applyNumberFormat="1" applyFont="1" applyFill="1" applyBorder="1" applyAlignment="1">
      <alignment vertical="center" wrapText="1"/>
    </xf>
    <xf numFmtId="0" fontId="27" fillId="5" borderId="39" xfId="0" applyNumberFormat="1" applyFont="1" applyFill="1" applyBorder="1" applyAlignment="1">
      <alignment horizontal="center" vertical="center" wrapText="1"/>
    </xf>
    <xf numFmtId="0" fontId="23" fillId="3" borderId="17" xfId="0" applyNumberFormat="1" applyFont="1" applyFill="1" applyBorder="1" applyAlignment="1"/>
    <xf numFmtId="0" fontId="25" fillId="0" borderId="0" xfId="0" applyNumberFormat="1" applyFont="1" applyFill="1" applyBorder="1" applyAlignment="1">
      <alignment horizontal="left" vertical="center" wrapText="1"/>
    </xf>
    <xf numFmtId="166" fontId="26" fillId="3" borderId="18" xfId="5" applyFont="1" applyFill="1" applyBorder="1" applyAlignment="1"/>
    <xf numFmtId="166" fontId="26" fillId="3" borderId="17" xfId="5" applyFont="1" applyFill="1" applyBorder="1" applyAlignment="1"/>
    <xf numFmtId="166" fontId="0" fillId="0" borderId="32" xfId="5" applyFont="1" applyFill="1" applyBorder="1" applyAlignment="1"/>
    <xf numFmtId="166" fontId="0" fillId="0" borderId="53" xfId="5" applyFont="1" applyFill="1" applyBorder="1" applyAlignment="1"/>
    <xf numFmtId="166" fontId="0" fillId="0" borderId="45" xfId="5" applyFont="1" applyFill="1" applyBorder="1" applyAlignment="1"/>
    <xf numFmtId="166" fontId="0" fillId="0" borderId="52" xfId="5" applyFont="1" applyFill="1" applyBorder="1" applyAlignment="1"/>
    <xf numFmtId="166" fontId="0" fillId="0" borderId="33" xfId="5" applyFont="1" applyFill="1" applyBorder="1" applyAlignment="1"/>
    <xf numFmtId="166" fontId="0" fillId="0" borderId="28" xfId="5" applyFont="1" applyFill="1" applyBorder="1" applyAlignment="1"/>
    <xf numFmtId="166" fontId="0" fillId="0" borderId="29" xfId="5" applyFont="1" applyFill="1" applyBorder="1" applyAlignment="1"/>
    <xf numFmtId="166" fontId="26" fillId="3" borderId="59" xfId="5" applyFont="1" applyFill="1" applyBorder="1" applyAlignment="1"/>
    <xf numFmtId="0" fontId="29" fillId="0" borderId="0" xfId="0" applyNumberFormat="1" applyFont="1" applyFill="1" applyBorder="1" applyAlignment="1"/>
    <xf numFmtId="166" fontId="0" fillId="0" borderId="27" xfId="5" applyFont="1" applyFill="1" applyBorder="1" applyAlignment="1"/>
    <xf numFmtId="166" fontId="26" fillId="0" borderId="43" xfId="5" applyFont="1" applyFill="1" applyBorder="1" applyAlignment="1"/>
    <xf numFmtId="166" fontId="0" fillId="0" borderId="0" xfId="0" applyNumberFormat="1" applyFont="1" applyFill="1" applyBorder="1" applyAlignment="1"/>
    <xf numFmtId="0" fontId="26" fillId="3" borderId="60" xfId="0" applyNumberFormat="1" applyFont="1" applyFill="1" applyBorder="1" applyAlignment="1">
      <alignment horizontal="center" vertical="center" wrapText="1"/>
    </xf>
    <xf numFmtId="0" fontId="0" fillId="0" borderId="61" xfId="0" applyNumberFormat="1" applyFont="1" applyFill="1" applyBorder="1" applyAlignment="1"/>
    <xf numFmtId="0" fontId="0" fillId="0" borderId="14" xfId="0" applyNumberFormat="1" applyFont="1" applyFill="1" applyBorder="1" applyAlignment="1"/>
    <xf numFmtId="0" fontId="0" fillId="0" borderId="62" xfId="0" applyNumberFormat="1" applyFont="1" applyFill="1" applyBorder="1" applyAlignment="1"/>
    <xf numFmtId="0" fontId="27" fillId="5" borderId="13" xfId="0" applyNumberFormat="1" applyFont="1" applyFill="1" applyBorder="1" applyAlignment="1">
      <alignment vertical="center" wrapText="1"/>
    </xf>
    <xf numFmtId="0" fontId="26" fillId="5" borderId="13" xfId="0" applyNumberFormat="1" applyFont="1" applyFill="1" applyBorder="1" applyAlignment="1">
      <alignment horizontal="center" vertical="center" wrapText="1"/>
    </xf>
    <xf numFmtId="0" fontId="27" fillId="0" borderId="33" xfId="0" applyNumberFormat="1" applyFont="1" applyFill="1" applyBorder="1" applyAlignment="1">
      <alignment vertical="center"/>
    </xf>
    <xf numFmtId="0" fontId="27" fillId="0" borderId="62" xfId="0" applyNumberFormat="1" applyFont="1" applyFill="1" applyBorder="1" applyAlignment="1">
      <alignment vertical="center"/>
    </xf>
    <xf numFmtId="0" fontId="23" fillId="3" borderId="8" xfId="0" applyNumberFormat="1" applyFont="1" applyFill="1" applyBorder="1" applyAlignment="1">
      <alignment horizontal="center" vertical="center"/>
    </xf>
    <xf numFmtId="0" fontId="27" fillId="0" borderId="62" xfId="0" applyNumberFormat="1" applyFont="1" applyFill="1" applyBorder="1" applyAlignment="1">
      <alignment vertical="center" wrapText="1"/>
    </xf>
    <xf numFmtId="0" fontId="27" fillId="0" borderId="7" xfId="0" applyNumberFormat="1" applyFont="1" applyFill="1" applyBorder="1" applyAlignment="1">
      <alignment vertical="center" wrapText="1"/>
    </xf>
    <xf numFmtId="0" fontId="27" fillId="0" borderId="12" xfId="0" applyNumberFormat="1" applyFont="1" applyFill="1" applyBorder="1" applyAlignment="1">
      <alignment vertical="center" wrapText="1"/>
    </xf>
    <xf numFmtId="0" fontId="27" fillId="0" borderId="58" xfId="0" applyNumberFormat="1" applyFont="1" applyFill="1" applyBorder="1" applyAlignment="1">
      <alignment vertical="center" wrapText="1"/>
    </xf>
    <xf numFmtId="0" fontId="23" fillId="3" borderId="47" xfId="0" applyNumberFormat="1" applyFont="1" applyFill="1" applyBorder="1" applyAlignment="1">
      <alignment horizontal="center" vertical="center"/>
    </xf>
    <xf numFmtId="0" fontId="23" fillId="3" borderId="3" xfId="0" applyNumberFormat="1" applyFont="1" applyFill="1" applyBorder="1" applyAlignment="1">
      <alignment horizontal="center" vertical="center" wrapText="1"/>
    </xf>
    <xf numFmtId="0" fontId="23" fillId="3" borderId="10" xfId="0" applyNumberFormat="1" applyFont="1" applyFill="1" applyBorder="1" applyAlignment="1">
      <alignment horizontal="center" vertical="center"/>
    </xf>
    <xf numFmtId="0" fontId="26" fillId="3" borderId="3" xfId="0" applyNumberFormat="1" applyFont="1" applyFill="1" applyBorder="1" applyAlignment="1">
      <alignment horizontal="center" vertical="center" wrapText="1"/>
    </xf>
    <xf numFmtId="0" fontId="0" fillId="0" borderId="11" xfId="0" applyNumberFormat="1" applyFont="1" applyFill="1" applyBorder="1" applyAlignment="1"/>
    <xf numFmtId="0" fontId="23" fillId="4" borderId="3" xfId="0" applyNumberFormat="1" applyFont="1" applyFill="1" applyBorder="1" applyAlignment="1">
      <alignment horizontal="center" vertical="center"/>
    </xf>
    <xf numFmtId="0" fontId="23" fillId="4" borderId="6" xfId="0" applyNumberFormat="1" applyFont="1" applyFill="1" applyBorder="1" applyAlignment="1">
      <alignment horizontal="center" vertical="center"/>
    </xf>
    <xf numFmtId="0" fontId="27" fillId="0" borderId="0" xfId="0" applyNumberFormat="1" applyFont="1" applyFill="1" applyBorder="1" applyAlignment="1"/>
    <xf numFmtId="0" fontId="26" fillId="3" borderId="19" xfId="0" applyNumberFormat="1" applyFont="1" applyFill="1" applyBorder="1" applyAlignment="1">
      <alignment horizontal="center" vertical="center" wrapText="1"/>
    </xf>
    <xf numFmtId="0" fontId="26" fillId="3" borderId="17" xfId="0" applyNumberFormat="1" applyFont="1" applyFill="1" applyBorder="1" applyAlignment="1">
      <alignment horizontal="center" vertical="center" wrapText="1"/>
    </xf>
    <xf numFmtId="0" fontId="26" fillId="3" borderId="36" xfId="0" applyNumberFormat="1" applyFont="1" applyFill="1" applyBorder="1" applyAlignment="1">
      <alignment horizontal="center" vertical="center" wrapText="1"/>
    </xf>
    <xf numFmtId="0" fontId="23" fillId="3" borderId="37" xfId="0" applyNumberFormat="1" applyFont="1" applyFill="1" applyBorder="1" applyAlignment="1">
      <alignment horizontal="center" vertical="center"/>
    </xf>
    <xf numFmtId="0" fontId="0" fillId="8" borderId="0" xfId="0" applyNumberFormat="1" applyFont="1" applyFill="1" applyBorder="1" applyAlignment="1"/>
    <xf numFmtId="0" fontId="0" fillId="16" borderId="0" xfId="0" applyNumberFormat="1" applyFont="1" applyFill="1" applyBorder="1" applyAlignment="1"/>
    <xf numFmtId="0" fontId="27" fillId="0" borderId="58" xfId="0" applyNumberFormat="1" applyFont="1" applyFill="1" applyBorder="1" applyAlignment="1">
      <alignment vertical="center" wrapText="1"/>
    </xf>
    <xf numFmtId="0" fontId="36" fillId="0" borderId="0" xfId="0" applyNumberFormat="1" applyFont="1" applyFill="1" applyBorder="1" applyAlignment="1"/>
    <xf numFmtId="0" fontId="0" fillId="0" borderId="0" xfId="0"/>
    <xf numFmtId="0" fontId="0" fillId="0" borderId="0" xfId="0" applyNumberFormat="1" applyFont="1" applyFill="1" applyBorder="1" applyAlignment="1"/>
    <xf numFmtId="0" fontId="27" fillId="6" borderId="0" xfId="0" applyNumberFormat="1" applyFont="1" applyFill="1" applyBorder="1" applyAlignment="1">
      <alignment vertical="center"/>
    </xf>
    <xf numFmtId="0" fontId="23" fillId="0" borderId="0" xfId="0" applyNumberFormat="1" applyFont="1" applyFill="1" applyBorder="1" applyAlignment="1">
      <alignment horizontal="center" vertical="center" wrapText="1"/>
    </xf>
    <xf numFmtId="0" fontId="27" fillId="0" borderId="0" xfId="0" applyNumberFormat="1" applyFont="1" applyFill="1" applyBorder="1" applyAlignment="1">
      <alignment horizontal="center" vertical="center"/>
    </xf>
    <xf numFmtId="0" fontId="27" fillId="0" borderId="25" xfId="0" applyNumberFormat="1" applyFont="1" applyFill="1" applyBorder="1" applyAlignment="1">
      <alignment horizontal="center" vertical="center"/>
    </xf>
    <xf numFmtId="0" fontId="27" fillId="0" borderId="25" xfId="0" applyNumberFormat="1" applyFont="1" applyFill="1" applyBorder="1" applyAlignment="1">
      <alignment horizontal="center" vertical="center" wrapText="1"/>
    </xf>
    <xf numFmtId="0" fontId="27" fillId="5" borderId="25" xfId="0" applyNumberFormat="1" applyFont="1" applyFill="1" applyBorder="1" applyAlignment="1">
      <alignment horizontal="center" vertical="center" wrapText="1"/>
    </xf>
    <xf numFmtId="0" fontId="28" fillId="0" borderId="0" xfId="0" applyNumberFormat="1" applyFont="1" applyFill="1" applyBorder="1" applyAlignment="1">
      <alignment horizontal="center" vertical="center" wrapText="1"/>
    </xf>
    <xf numFmtId="0" fontId="27" fillId="0" borderId="22" xfId="0" applyNumberFormat="1" applyFont="1" applyFill="1" applyBorder="1" applyAlignment="1">
      <alignment horizontal="center" vertical="center" wrapText="1"/>
    </xf>
    <xf numFmtId="0" fontId="37" fillId="0" borderId="25" xfId="0" applyFont="1" applyBorder="1" applyAlignment="1">
      <alignment horizontal="center" vertical="center" wrapText="1"/>
    </xf>
    <xf numFmtId="0" fontId="23" fillId="3" borderId="30" xfId="0" applyNumberFormat="1" applyFont="1" applyFill="1" applyBorder="1" applyAlignment="1">
      <alignment horizontal="center" vertical="center" wrapText="1"/>
    </xf>
    <xf numFmtId="0" fontId="27" fillId="5" borderId="32" xfId="0" applyNumberFormat="1" applyFont="1" applyFill="1" applyBorder="1" applyAlignment="1">
      <alignment horizontal="left" vertical="center"/>
    </xf>
    <xf numFmtId="0" fontId="27" fillId="0" borderId="42" xfId="0" applyNumberFormat="1" applyFont="1" applyFill="1" applyBorder="1" applyAlignment="1">
      <alignment horizontal="left" vertical="center" wrapText="1"/>
    </xf>
    <xf numFmtId="0" fontId="27" fillId="0" borderId="32" xfId="0" applyNumberFormat="1" applyFont="1" applyFill="1" applyBorder="1" applyAlignment="1">
      <alignment horizontal="left" vertical="center"/>
    </xf>
    <xf numFmtId="0" fontId="27" fillId="0" borderId="33" xfId="0" applyNumberFormat="1" applyFont="1" applyFill="1" applyBorder="1" applyAlignment="1">
      <alignment horizontal="left" vertical="center"/>
    </xf>
    <xf numFmtId="0" fontId="27" fillId="0" borderId="28" xfId="0" applyNumberFormat="1" applyFont="1" applyFill="1" applyBorder="1" applyAlignment="1">
      <alignment horizontal="center" vertical="center" wrapText="1"/>
    </xf>
    <xf numFmtId="0" fontId="27" fillId="0" borderId="35" xfId="0" applyNumberFormat="1" applyFont="1" applyFill="1" applyBorder="1" applyAlignment="1">
      <alignment horizontal="left" vertical="center" wrapText="1"/>
    </xf>
    <xf numFmtId="0" fontId="27" fillId="5" borderId="40" xfId="0" applyNumberFormat="1" applyFont="1" applyFill="1" applyBorder="1" applyAlignment="1">
      <alignment horizontal="left" vertical="center"/>
    </xf>
    <xf numFmtId="0" fontId="27" fillId="0" borderId="22" xfId="0" applyNumberFormat="1" applyFont="1" applyFill="1" applyBorder="1" applyAlignment="1">
      <alignment horizontal="center" vertical="center"/>
    </xf>
    <xf numFmtId="0" fontId="27" fillId="0" borderId="54" xfId="0" applyNumberFormat="1" applyFont="1" applyFill="1" applyBorder="1" applyAlignment="1">
      <alignment horizontal="left" vertical="center" wrapText="1"/>
    </xf>
    <xf numFmtId="0" fontId="23" fillId="3" borderId="36" xfId="0" applyNumberFormat="1" applyFont="1" applyFill="1" applyBorder="1" applyAlignment="1">
      <alignment horizontal="center" vertical="center"/>
    </xf>
    <xf numFmtId="0" fontId="23" fillId="3" borderId="19" xfId="0" applyNumberFormat="1" applyFont="1" applyFill="1" applyBorder="1" applyAlignment="1">
      <alignment horizontal="center" vertical="center" wrapText="1"/>
    </xf>
    <xf numFmtId="0" fontId="27" fillId="0" borderId="42" xfId="0" applyNumberFormat="1" applyFont="1" applyFill="1" applyBorder="1" applyAlignment="1">
      <alignment horizontal="center" vertical="center" wrapText="1"/>
    </xf>
    <xf numFmtId="0" fontId="27" fillId="0" borderId="33" xfId="0" applyNumberFormat="1" applyFont="1" applyFill="1" applyBorder="1" applyAlignment="1">
      <alignment horizontal="center" vertical="center" wrapText="1"/>
    </xf>
    <xf numFmtId="0" fontId="27" fillId="0" borderId="35" xfId="0" applyNumberFormat="1" applyFont="1" applyFill="1" applyBorder="1" applyAlignment="1">
      <alignment horizontal="center" vertical="center" wrapText="1"/>
    </xf>
    <xf numFmtId="0" fontId="27" fillId="5" borderId="40" xfId="0" applyNumberFormat="1" applyFont="1" applyFill="1" applyBorder="1" applyAlignment="1">
      <alignment horizontal="center" vertical="center" wrapText="1"/>
    </xf>
    <xf numFmtId="0" fontId="27" fillId="0" borderId="54" xfId="0" applyNumberFormat="1" applyFont="1" applyFill="1" applyBorder="1" applyAlignment="1">
      <alignment horizontal="center" vertical="center" wrapText="1"/>
    </xf>
    <xf numFmtId="0" fontId="23" fillId="3" borderId="36" xfId="0" applyNumberFormat="1" applyFont="1" applyFill="1" applyBorder="1" applyAlignment="1">
      <alignment horizontal="center" vertical="center" wrapText="1"/>
    </xf>
    <xf numFmtId="0" fontId="23" fillId="3" borderId="37" xfId="0" applyNumberFormat="1" applyFont="1" applyFill="1" applyBorder="1" applyAlignment="1">
      <alignment horizontal="center" vertical="center" wrapText="1"/>
    </xf>
    <xf numFmtId="0" fontId="27" fillId="0" borderId="33" xfId="0" applyNumberFormat="1" applyFont="1" applyFill="1" applyBorder="1" applyAlignment="1">
      <alignment horizontal="left" vertical="center" wrapText="1"/>
    </xf>
    <xf numFmtId="0" fontId="23" fillId="3" borderId="9" xfId="0" applyNumberFormat="1" applyFont="1" applyFill="1" applyBorder="1" applyAlignment="1">
      <alignment horizontal="center" vertical="center" wrapText="1"/>
    </xf>
    <xf numFmtId="0" fontId="23" fillId="3" borderId="34" xfId="0" applyNumberFormat="1" applyFont="1" applyFill="1" applyBorder="1" applyAlignment="1">
      <alignment horizontal="center" vertical="center" wrapText="1"/>
    </xf>
    <xf numFmtId="0" fontId="27" fillId="0" borderId="32" xfId="0" applyNumberFormat="1" applyFont="1" applyFill="1" applyBorder="1" applyAlignment="1">
      <alignment horizontal="center" vertical="center" wrapText="1"/>
    </xf>
    <xf numFmtId="0" fontId="27" fillId="0" borderId="42" xfId="0" applyNumberFormat="1" applyFont="1" applyFill="1" applyBorder="1" applyAlignment="1">
      <alignment horizontal="center" vertical="center"/>
    </xf>
    <xf numFmtId="0" fontId="27" fillId="0" borderId="28" xfId="0" applyNumberFormat="1" applyFont="1" applyFill="1" applyBorder="1" applyAlignment="1">
      <alignment horizontal="center" vertical="center"/>
    </xf>
    <xf numFmtId="0" fontId="27" fillId="5" borderId="22" xfId="0" applyNumberFormat="1" applyFont="1" applyFill="1" applyBorder="1" applyAlignment="1">
      <alignment horizontal="center" vertical="center" wrapText="1"/>
    </xf>
    <xf numFmtId="0" fontId="27" fillId="5" borderId="32" xfId="0" applyNumberFormat="1" applyFont="1" applyFill="1" applyBorder="1" applyAlignment="1">
      <alignment horizontal="center" vertical="center"/>
    </xf>
    <xf numFmtId="0" fontId="27" fillId="5" borderId="42" xfId="0" applyNumberFormat="1" applyFont="1" applyFill="1" applyBorder="1" applyAlignment="1">
      <alignment horizontal="center" vertical="center" wrapText="1"/>
    </xf>
    <xf numFmtId="0" fontId="27" fillId="0" borderId="40" xfId="0" applyNumberFormat="1" applyFont="1" applyFill="1" applyBorder="1" applyAlignment="1">
      <alignment horizontal="center" vertical="center" wrapText="1"/>
    </xf>
    <xf numFmtId="0" fontId="23" fillId="0" borderId="0" xfId="0" applyNumberFormat="1" applyFont="1" applyFill="1" applyBorder="1" applyAlignment="1">
      <alignment vertical="center"/>
    </xf>
    <xf numFmtId="0" fontId="25" fillId="0" borderId="0" xfId="0" applyNumberFormat="1" applyFont="1" applyFill="1" applyBorder="1" applyAlignment="1">
      <alignment vertical="center" wrapText="1"/>
    </xf>
    <xf numFmtId="0" fontId="0" fillId="0" borderId="0" xfId="0" applyNumberFormat="1" applyFont="1" applyFill="1" applyBorder="1" applyAlignment="1">
      <alignment horizontal="right" vertical="center"/>
    </xf>
    <xf numFmtId="0" fontId="0" fillId="0" borderId="0" xfId="0" applyNumberFormat="1" applyFont="1" applyFill="1" applyBorder="1" applyAlignment="1">
      <alignment horizontal="right" vertical="center" wrapText="1"/>
    </xf>
    <xf numFmtId="0" fontId="29" fillId="0" borderId="0" xfId="0" applyNumberFormat="1" applyFont="1" applyFill="1" applyBorder="1" applyAlignment="1">
      <alignment horizontal="center"/>
    </xf>
    <xf numFmtId="1" fontId="29" fillId="0" borderId="0" xfId="0" applyNumberFormat="1" applyFont="1" applyFill="1" applyBorder="1" applyAlignment="1">
      <alignment horizontal="center"/>
    </xf>
    <xf numFmtId="0" fontId="35" fillId="0" borderId="0" xfId="0" applyNumberFormat="1" applyFont="1" applyFill="1" applyBorder="1" applyAlignment="1"/>
    <xf numFmtId="0" fontId="0" fillId="0" borderId="0" xfId="0" applyFill="1" applyBorder="1"/>
    <xf numFmtId="0" fontId="0" fillId="0" borderId="25" xfId="0" applyNumberFormat="1" applyFont="1" applyFill="1" applyBorder="1" applyAlignment="1">
      <alignment horizontal="right"/>
    </xf>
    <xf numFmtId="0" fontId="0" fillId="0" borderId="28" xfId="0" applyNumberFormat="1" applyFont="1" applyFill="1" applyBorder="1" applyAlignment="1">
      <alignment horizontal="right"/>
    </xf>
    <xf numFmtId="0" fontId="0" fillId="0" borderId="28" xfId="0" applyNumberFormat="1" applyFont="1" applyFill="1" applyBorder="1" applyAlignment="1">
      <alignment vertical="center"/>
    </xf>
    <xf numFmtId="0" fontId="0" fillId="0" borderId="39" xfId="0" applyNumberFormat="1" applyFill="1" applyBorder="1" applyAlignment="1">
      <alignment horizontal="center" vertical="center" wrapText="1"/>
    </xf>
    <xf numFmtId="0" fontId="0" fillId="0" borderId="13" xfId="0" applyNumberFormat="1" applyFill="1" applyBorder="1" applyAlignment="1">
      <alignment horizontal="center" vertical="center" wrapText="1"/>
    </xf>
    <xf numFmtId="0" fontId="0" fillId="0" borderId="15" xfId="0" applyNumberFormat="1" applyFill="1" applyBorder="1" applyAlignment="1">
      <alignment horizontal="center" vertical="center" wrapText="1"/>
    </xf>
    <xf numFmtId="0" fontId="0" fillId="0" borderId="28" xfId="0" applyNumberFormat="1" applyFill="1" applyBorder="1" applyAlignment="1">
      <alignment vertical="center"/>
    </xf>
    <xf numFmtId="0" fontId="0" fillId="0" borderId="29" xfId="0" applyNumberFormat="1" applyFill="1" applyBorder="1" applyAlignment="1">
      <alignment vertical="center"/>
    </xf>
    <xf numFmtId="0" fontId="0" fillId="0" borderId="42" xfId="0" applyNumberFormat="1" applyFont="1" applyFill="1" applyBorder="1" applyAlignment="1">
      <alignment horizontal="center" vertical="center"/>
    </xf>
    <xf numFmtId="0" fontId="0" fillId="0" borderId="35" xfId="0" applyNumberFormat="1" applyFont="1" applyFill="1" applyBorder="1" applyAlignment="1">
      <alignment horizontal="center" vertical="center"/>
    </xf>
    <xf numFmtId="0" fontId="0" fillId="0" borderId="13" xfId="0" applyNumberFormat="1" applyFill="1" applyBorder="1" applyAlignment="1">
      <alignment horizontal="center" vertical="center"/>
    </xf>
    <xf numFmtId="0" fontId="0" fillId="0" borderId="13" xfId="0" applyNumberFormat="1" applyFont="1" applyFill="1" applyBorder="1" applyAlignment="1">
      <alignment horizontal="center" vertical="center"/>
    </xf>
    <xf numFmtId="0" fontId="0" fillId="0" borderId="15" xfId="0" applyNumberFormat="1" applyFont="1" applyFill="1" applyBorder="1" applyAlignment="1">
      <alignment horizontal="center" vertical="center"/>
    </xf>
    <xf numFmtId="0" fontId="0" fillId="0" borderId="0" xfId="0" applyFont="1" applyAlignment="1">
      <alignment horizontal="right" vertical="center"/>
    </xf>
    <xf numFmtId="0" fontId="0" fillId="0" borderId="0" xfId="0" applyFont="1" applyFill="1" applyAlignment="1">
      <alignment horizontal="right" vertical="center"/>
    </xf>
    <xf numFmtId="0" fontId="27" fillId="5" borderId="22" xfId="0" applyNumberFormat="1" applyFont="1" applyFill="1" applyBorder="1" applyAlignment="1">
      <alignment horizontal="right" vertical="center" wrapText="1"/>
    </xf>
    <xf numFmtId="0" fontId="27" fillId="0" borderId="0" xfId="0" applyNumberFormat="1" applyFont="1" applyFill="1" applyBorder="1" applyAlignment="1">
      <alignment horizontal="left" vertical="center" wrapText="1"/>
    </xf>
    <xf numFmtId="0" fontId="27" fillId="0" borderId="0" xfId="0" applyNumberFormat="1" applyFont="1" applyFill="1" applyBorder="1" applyAlignment="1">
      <alignment horizontal="center" vertical="center" wrapText="1"/>
    </xf>
    <xf numFmtId="3" fontId="0" fillId="0" borderId="22" xfId="0" applyNumberFormat="1" applyFill="1" applyBorder="1" applyAlignment="1">
      <alignment vertical="center" wrapText="1"/>
    </xf>
    <xf numFmtId="3" fontId="0" fillId="0" borderId="21" xfId="0" quotePrefix="1" applyNumberFormat="1" applyFill="1" applyBorder="1" applyAlignment="1">
      <alignment vertical="center" wrapText="1"/>
    </xf>
    <xf numFmtId="0" fontId="0" fillId="0" borderId="40" xfId="0" applyNumberFormat="1" applyFont="1" applyFill="1" applyBorder="1" applyAlignment="1">
      <alignment horizontal="center" vertical="center"/>
    </xf>
    <xf numFmtId="0" fontId="0" fillId="0" borderId="54" xfId="0" applyNumberFormat="1" applyFont="1" applyFill="1" applyBorder="1" applyAlignment="1">
      <alignment horizontal="center" vertical="center"/>
    </xf>
    <xf numFmtId="0" fontId="0" fillId="0" borderId="32" xfId="0" applyNumberFormat="1" applyFont="1" applyFill="1" applyBorder="1" applyAlignment="1">
      <alignment horizontal="center" vertical="center"/>
    </xf>
    <xf numFmtId="0" fontId="0" fillId="0" borderId="33" xfId="0" applyNumberFormat="1" applyFont="1" applyFill="1" applyBorder="1" applyAlignment="1">
      <alignment horizontal="center" vertical="center"/>
    </xf>
    <xf numFmtId="0" fontId="23" fillId="3" borderId="38" xfId="0" applyNumberFormat="1" applyFont="1" applyFill="1" applyBorder="1" applyAlignment="1"/>
    <xf numFmtId="0" fontId="27" fillId="5" borderId="46" xfId="0" applyNumberFormat="1" applyFont="1" applyFill="1" applyBorder="1" applyAlignment="1">
      <alignment horizontal="left" vertical="center" wrapText="1"/>
    </xf>
    <xf numFmtId="0" fontId="27" fillId="5" borderId="12" xfId="0" applyNumberFormat="1" applyFont="1" applyFill="1" applyBorder="1" applyAlignment="1">
      <alignment horizontal="left" vertical="center" wrapText="1"/>
    </xf>
    <xf numFmtId="0" fontId="27" fillId="0" borderId="12" xfId="0" applyNumberFormat="1" applyFont="1" applyFill="1" applyBorder="1" applyAlignment="1">
      <alignment horizontal="left" vertical="center" wrapText="1"/>
    </xf>
    <xf numFmtId="0" fontId="27" fillId="5" borderId="21" xfId="0" applyNumberFormat="1" applyFont="1" applyFill="1" applyBorder="1" applyAlignment="1">
      <alignment horizontal="right" vertical="center" wrapText="1"/>
    </xf>
    <xf numFmtId="0" fontId="0" fillId="0" borderId="24" xfId="0" applyNumberFormat="1" applyFont="1" applyFill="1" applyBorder="1" applyAlignment="1">
      <alignment horizontal="right"/>
    </xf>
    <xf numFmtId="0" fontId="0" fillId="0" borderId="27" xfId="0" applyNumberFormat="1" applyFont="1" applyFill="1" applyBorder="1" applyAlignment="1">
      <alignment horizontal="right"/>
    </xf>
    <xf numFmtId="0" fontId="0" fillId="5" borderId="39" xfId="0" applyNumberFormat="1" applyFont="1" applyFill="1" applyBorder="1" applyAlignment="1">
      <alignment horizontal="center" vertical="center" wrapText="1"/>
    </xf>
    <xf numFmtId="0" fontId="0" fillId="5" borderId="13" xfId="0" applyNumberFormat="1" applyFont="1" applyFill="1" applyBorder="1" applyAlignment="1">
      <alignment horizontal="center" vertical="center" wrapText="1"/>
    </xf>
    <xf numFmtId="0" fontId="27" fillId="0" borderId="12" xfId="0" applyNumberFormat="1" applyFont="1" applyFill="1" applyBorder="1" applyAlignment="1">
      <alignment horizontal="left" vertical="center"/>
    </xf>
    <xf numFmtId="0" fontId="27" fillId="0" borderId="58" xfId="0" applyNumberFormat="1" applyFont="1" applyFill="1" applyBorder="1" applyAlignment="1">
      <alignment vertical="center"/>
    </xf>
    <xf numFmtId="0" fontId="0" fillId="0" borderId="8" xfId="0" applyNumberFormat="1" applyFont="1" applyFill="1" applyBorder="1" applyAlignment="1">
      <alignment horizontal="center" vertical="center" wrapText="1"/>
    </xf>
    <xf numFmtId="0" fontId="27" fillId="0" borderId="13" xfId="0" applyNumberFormat="1" applyFont="1" applyFill="1" applyBorder="1" applyAlignment="1">
      <alignment horizontal="center" vertical="center" wrapText="1"/>
    </xf>
    <xf numFmtId="0" fontId="27" fillId="0" borderId="15" xfId="0" applyNumberFormat="1" applyFont="1" applyFill="1" applyBorder="1" applyAlignment="1">
      <alignment horizontal="center" vertical="center" wrapText="1"/>
    </xf>
    <xf numFmtId="2" fontId="0" fillId="0" borderId="9" xfId="0" applyNumberFormat="1" applyFont="1" applyFill="1" applyBorder="1" applyAlignment="1">
      <alignment horizontal="right" vertical="center" wrapText="1"/>
    </xf>
    <xf numFmtId="0" fontId="27" fillId="0" borderId="32" xfId="0" applyNumberFormat="1" applyFont="1" applyFill="1" applyBorder="1" applyAlignment="1">
      <alignment horizontal="right" vertical="center"/>
    </xf>
    <xf numFmtId="0" fontId="27" fillId="0" borderId="33" xfId="0" applyNumberFormat="1" applyFont="1" applyFill="1" applyBorder="1" applyAlignment="1">
      <alignment horizontal="right" vertical="center"/>
    </xf>
    <xf numFmtId="2" fontId="27" fillId="0" borderId="32" xfId="1" applyNumberFormat="1" applyFont="1" applyFill="1" applyBorder="1" applyAlignment="1">
      <alignment horizontal="right" vertical="center"/>
    </xf>
    <xf numFmtId="0" fontId="23" fillId="3" borderId="38" xfId="0" applyNumberFormat="1" applyFont="1" applyFill="1" applyBorder="1" applyAlignment="1">
      <alignment vertical="center"/>
    </xf>
    <xf numFmtId="0" fontId="0" fillId="0" borderId="24" xfId="0" applyNumberFormat="1" applyFill="1" applyBorder="1" applyAlignment="1">
      <alignment vertical="center"/>
    </xf>
    <xf numFmtId="0" fontId="0" fillId="0" borderId="27" xfId="0" applyNumberFormat="1" applyFill="1" applyBorder="1" applyAlignment="1">
      <alignment vertical="center"/>
    </xf>
    <xf numFmtId="0" fontId="0" fillId="0" borderId="0" xfId="0" applyBorder="1"/>
    <xf numFmtId="0" fontId="36" fillId="0" borderId="28" xfId="0" applyNumberFormat="1" applyFont="1" applyFill="1" applyBorder="1" applyAlignment="1">
      <alignment horizontal="right" vertical="center"/>
    </xf>
    <xf numFmtId="0" fontId="36" fillId="0" borderId="27" xfId="0" applyNumberFormat="1" applyFont="1" applyFill="1" applyBorder="1" applyAlignment="1">
      <alignment horizontal="right" vertical="center"/>
    </xf>
    <xf numFmtId="2" fontId="0" fillId="0" borderId="0" xfId="0" applyNumberFormat="1" applyFont="1" applyFill="1" applyBorder="1" applyAlignment="1">
      <alignment horizontal="right" vertical="center"/>
    </xf>
    <xf numFmtId="0" fontId="38" fillId="0" borderId="39" xfId="361" applyNumberFormat="1" applyFont="1" applyFill="1" applyBorder="1" applyAlignment="1">
      <alignment horizontal="right" vertical="center"/>
    </xf>
    <xf numFmtId="0" fontId="38" fillId="0" borderId="13" xfId="361" applyNumberFormat="1" applyFont="1" applyFill="1" applyBorder="1" applyAlignment="1">
      <alignment horizontal="right" vertical="center"/>
    </xf>
    <xf numFmtId="0" fontId="38" fillId="0" borderId="15" xfId="361" applyNumberFormat="1" applyFont="1" applyFill="1" applyBorder="1" applyAlignment="1">
      <alignment horizontal="right" vertical="center"/>
    </xf>
    <xf numFmtId="0" fontId="38" fillId="0" borderId="39" xfId="361" applyNumberFormat="1" applyFont="1" applyFill="1" applyBorder="1" applyAlignment="1">
      <alignment horizontal="center" vertical="center"/>
    </xf>
    <xf numFmtId="0" fontId="38" fillId="0" borderId="13" xfId="361" applyNumberFormat="1" applyFont="1" applyFill="1" applyBorder="1" applyAlignment="1">
      <alignment horizontal="center" vertical="center"/>
    </xf>
    <xf numFmtId="0" fontId="38" fillId="0" borderId="15" xfId="361" applyNumberFormat="1" applyFont="1" applyFill="1" applyBorder="1" applyAlignment="1">
      <alignment horizontal="center" vertical="center"/>
    </xf>
    <xf numFmtId="0" fontId="27" fillId="5" borderId="23" xfId="0" applyNumberFormat="1" applyFont="1" applyFill="1" applyBorder="1" applyAlignment="1">
      <alignment horizontal="right" vertical="center" wrapText="1"/>
    </xf>
    <xf numFmtId="0" fontId="0" fillId="0" borderId="26" xfId="0" applyNumberFormat="1" applyFont="1" applyFill="1" applyBorder="1" applyAlignment="1">
      <alignment horizontal="right"/>
    </xf>
    <xf numFmtId="0" fontId="0" fillId="0" borderId="29" xfId="0" applyNumberFormat="1" applyFont="1" applyFill="1" applyBorder="1" applyAlignment="1">
      <alignment horizontal="right"/>
    </xf>
    <xf numFmtId="0" fontId="38" fillId="5" borderId="39" xfId="361" applyNumberFormat="1" applyFont="1" applyFill="1" applyBorder="1" applyAlignment="1">
      <alignment horizontal="right" vertical="center" wrapText="1"/>
    </xf>
    <xf numFmtId="0" fontId="38" fillId="5" borderId="13" xfId="361" applyNumberFormat="1" applyFont="1" applyFill="1" applyBorder="1" applyAlignment="1">
      <alignment horizontal="right" vertical="center" wrapText="1"/>
    </xf>
    <xf numFmtId="0" fontId="38" fillId="0" borderId="13" xfId="361" applyNumberFormat="1" applyFont="1" applyFill="1" applyBorder="1" applyAlignment="1">
      <alignment horizontal="right"/>
    </xf>
    <xf numFmtId="0" fontId="38" fillId="0" borderId="15" xfId="361" applyNumberFormat="1" applyFont="1" applyFill="1" applyBorder="1" applyAlignment="1">
      <alignment horizontal="right"/>
    </xf>
    <xf numFmtId="0" fontId="38" fillId="0" borderId="39" xfId="361" applyNumberFormat="1" applyFont="1" applyFill="1" applyBorder="1" applyAlignment="1">
      <alignment horizontal="center" vertical="center" wrapText="1"/>
    </xf>
    <xf numFmtId="0" fontId="38" fillId="0" borderId="13" xfId="361" applyNumberFormat="1" applyFont="1" applyFill="1" applyBorder="1" applyAlignment="1">
      <alignment horizontal="center" vertical="center" wrapText="1"/>
    </xf>
    <xf numFmtId="0" fontId="38" fillId="0" borderId="15" xfId="361" applyNumberFormat="1" applyFont="1" applyFill="1" applyBorder="1" applyAlignment="1">
      <alignment horizontal="center" vertical="center" wrapText="1"/>
    </xf>
    <xf numFmtId="0" fontId="0" fillId="0" borderId="31" xfId="0" applyNumberFormat="1" applyFont="1" applyFill="1" applyBorder="1" applyAlignment="1">
      <alignment horizontal="right" vertical="center" wrapText="1"/>
    </xf>
    <xf numFmtId="0" fontId="27" fillId="0" borderId="26" xfId="0" applyNumberFormat="1" applyFont="1" applyFill="1" applyBorder="1" applyAlignment="1">
      <alignment horizontal="right" vertical="center"/>
    </xf>
    <xf numFmtId="0" fontId="27" fillId="0" borderId="29" xfId="0" applyNumberFormat="1" applyFont="1" applyFill="1" applyBorder="1" applyAlignment="1">
      <alignment horizontal="right" vertical="center"/>
    </xf>
    <xf numFmtId="2" fontId="27" fillId="0" borderId="39" xfId="1" applyNumberFormat="1" applyFont="1" applyFill="1" applyBorder="1" applyAlignment="1">
      <alignment horizontal="right" vertical="center"/>
    </xf>
    <xf numFmtId="0" fontId="27" fillId="0" borderId="13" xfId="0" applyNumberFormat="1" applyFont="1" applyFill="1" applyBorder="1" applyAlignment="1">
      <alignment horizontal="right" vertical="center"/>
    </xf>
    <xf numFmtId="2" fontId="27" fillId="0" borderId="13" xfId="6" applyNumberFormat="1" applyFont="1" applyFill="1" applyBorder="1" applyAlignment="1">
      <alignment horizontal="right" vertical="center"/>
    </xf>
    <xf numFmtId="0" fontId="27" fillId="0" borderId="15" xfId="0" applyNumberFormat="1" applyFont="1" applyFill="1" applyBorder="1" applyAlignment="1">
      <alignment horizontal="right" vertical="center"/>
    </xf>
    <xf numFmtId="0" fontId="23" fillId="3" borderId="18" xfId="0" applyNumberFormat="1" applyFont="1" applyFill="1" applyBorder="1" applyAlignment="1">
      <alignment horizontal="center" vertical="center" wrapText="1"/>
    </xf>
    <xf numFmtId="0" fontId="23" fillId="3" borderId="20" xfId="0" applyNumberFormat="1" applyFont="1" applyFill="1" applyBorder="1" applyAlignment="1">
      <alignment horizontal="center" vertical="center" wrapText="1"/>
    </xf>
    <xf numFmtId="0" fontId="23" fillId="3" borderId="17" xfId="0" applyNumberFormat="1" applyFont="1" applyFill="1" applyBorder="1" applyAlignment="1">
      <alignment horizontal="center" wrapText="1"/>
    </xf>
    <xf numFmtId="0" fontId="23" fillId="3" borderId="63" xfId="0" applyNumberFormat="1" applyFont="1" applyFill="1" applyBorder="1" applyAlignment="1">
      <alignment horizontal="center" vertical="center" wrapText="1"/>
    </xf>
    <xf numFmtId="0" fontId="35" fillId="0" borderId="46" xfId="0" applyNumberFormat="1" applyFont="1" applyFill="1" applyBorder="1" applyAlignment="1">
      <alignment vertical="center" wrapText="1"/>
    </xf>
    <xf numFmtId="0" fontId="35" fillId="0" borderId="12" xfId="0" applyNumberFormat="1" applyFont="1" applyFill="1" applyBorder="1" applyAlignment="1">
      <alignment vertical="center" wrapText="1"/>
    </xf>
    <xf numFmtId="0" fontId="36" fillId="0" borderId="39" xfId="0" applyNumberFormat="1" applyFont="1" applyFill="1" applyBorder="1" applyAlignment="1">
      <alignment horizontal="center" vertical="center" wrapText="1"/>
    </xf>
    <xf numFmtId="0" fontId="36" fillId="0" borderId="13" xfId="0" applyNumberFormat="1" applyFont="1" applyFill="1" applyBorder="1" applyAlignment="1">
      <alignment horizontal="center" vertical="center" wrapText="1"/>
    </xf>
    <xf numFmtId="0" fontId="36" fillId="0" borderId="15" xfId="0" applyNumberFormat="1" applyFont="1" applyFill="1" applyBorder="1" applyAlignment="1">
      <alignment horizontal="center" vertical="center" wrapText="1"/>
    </xf>
    <xf numFmtId="0" fontId="36" fillId="0" borderId="29" xfId="0" applyNumberFormat="1" applyFont="1" applyFill="1" applyBorder="1" applyAlignment="1">
      <alignment horizontal="right" vertical="center"/>
    </xf>
    <xf numFmtId="3" fontId="0" fillId="0" borderId="39" xfId="0" applyNumberFormat="1" applyFont="1" applyFill="1" applyBorder="1" applyAlignment="1">
      <alignment horizontal="right" vertical="center"/>
    </xf>
    <xf numFmtId="3" fontId="0" fillId="0" borderId="13" xfId="0" applyNumberFormat="1" applyFont="1" applyFill="1" applyBorder="1" applyAlignment="1">
      <alignment horizontal="right" vertical="center"/>
    </xf>
    <xf numFmtId="3" fontId="0" fillId="0" borderId="15" xfId="0" applyNumberFormat="1" applyFont="1" applyFill="1" applyBorder="1" applyAlignment="1">
      <alignment horizontal="right" vertical="center"/>
    </xf>
    <xf numFmtId="3" fontId="0" fillId="0" borderId="39" xfId="0" applyNumberFormat="1" applyFont="1" applyFill="1" applyBorder="1" applyAlignment="1">
      <alignment vertical="center"/>
    </xf>
    <xf numFmtId="3" fontId="0" fillId="0" borderId="15" xfId="0" applyNumberFormat="1" applyFont="1" applyFill="1" applyBorder="1" applyAlignment="1">
      <alignment vertical="center"/>
    </xf>
    <xf numFmtId="3" fontId="0" fillId="0" borderId="23" xfId="0" applyNumberFormat="1" applyFill="1" applyBorder="1" applyAlignment="1">
      <alignment vertical="center"/>
    </xf>
    <xf numFmtId="0" fontId="27" fillId="5" borderId="39" xfId="0" applyNumberFormat="1" applyFont="1" applyFill="1" applyBorder="1" applyAlignment="1">
      <alignment horizontal="right" vertical="center" wrapText="1"/>
    </xf>
    <xf numFmtId="0" fontId="27" fillId="5" borderId="13" xfId="0" applyNumberFormat="1" applyFont="1" applyFill="1" applyBorder="1" applyAlignment="1">
      <alignment horizontal="right" vertical="center" wrapText="1"/>
    </xf>
    <xf numFmtId="0" fontId="0" fillId="0" borderId="13" xfId="0" applyNumberFormat="1" applyFont="1" applyFill="1" applyBorder="1" applyAlignment="1">
      <alignment horizontal="right"/>
    </xf>
    <xf numFmtId="0" fontId="0" fillId="0" borderId="15" xfId="0" applyNumberFormat="1" applyFont="1" applyFill="1" applyBorder="1" applyAlignment="1">
      <alignment horizontal="right"/>
    </xf>
    <xf numFmtId="3" fontId="38" fillId="0" borderId="39" xfId="361" applyNumberFormat="1" applyFont="1" applyFill="1" applyBorder="1" applyAlignment="1">
      <alignment horizontal="right"/>
    </xf>
    <xf numFmtId="3" fontId="38" fillId="0" borderId="13" xfId="361" applyNumberFormat="1" applyFont="1" applyFill="1" applyBorder="1" applyAlignment="1">
      <alignment horizontal="right"/>
    </xf>
    <xf numFmtId="3" fontId="38" fillId="0" borderId="15" xfId="361" applyNumberFormat="1" applyFont="1" applyFill="1" applyBorder="1" applyAlignment="1">
      <alignment horizontal="right"/>
    </xf>
    <xf numFmtId="2" fontId="0" fillId="5" borderId="0" xfId="0" applyNumberFormat="1" applyFont="1" applyFill="1" applyBorder="1" applyAlignment="1"/>
    <xf numFmtId="2" fontId="0" fillId="0" borderId="0" xfId="0" applyNumberFormat="1" applyFont="1" applyFill="1" applyBorder="1" applyAlignment="1"/>
    <xf numFmtId="2" fontId="0" fillId="5" borderId="16" xfId="0" applyNumberFormat="1" applyFont="1" applyFill="1" applyBorder="1" applyAlignment="1"/>
    <xf numFmtId="0" fontId="38" fillId="0" borderId="62" xfId="361" applyNumberFormat="1" applyFont="1" applyFill="1" applyBorder="1" applyAlignment="1">
      <alignment horizontal="right"/>
    </xf>
    <xf numFmtId="0" fontId="38" fillId="0" borderId="14" xfId="361" applyNumberFormat="1" applyFont="1" applyFill="1" applyBorder="1" applyAlignment="1">
      <alignment horizontal="right"/>
    </xf>
    <xf numFmtId="0" fontId="38" fillId="0" borderId="61" xfId="361" applyNumberFormat="1" applyFont="1" applyFill="1" applyBorder="1" applyAlignment="1">
      <alignment horizontal="right"/>
    </xf>
    <xf numFmtId="0" fontId="27" fillId="0" borderId="13" xfId="0" applyNumberFormat="1" applyFont="1" applyFill="1" applyBorder="1" applyAlignment="1">
      <alignment vertical="center" wrapText="1"/>
    </xf>
    <xf numFmtId="0" fontId="27" fillId="0" borderId="39" xfId="0" applyNumberFormat="1" applyFont="1" applyFill="1" applyBorder="1" applyAlignment="1">
      <alignment vertical="center" wrapText="1"/>
    </xf>
    <xf numFmtId="9" fontId="0" fillId="0" borderId="0" xfId="6" applyFont="1" applyFill="1" applyBorder="1" applyAlignment="1"/>
    <xf numFmtId="0" fontId="27" fillId="0" borderId="0" xfId="0" applyNumberFormat="1" applyFont="1" applyFill="1" applyBorder="1" applyAlignment="1">
      <alignment horizontal="left" vertical="center"/>
    </xf>
    <xf numFmtId="0" fontId="27" fillId="0" borderId="32" xfId="0" applyNumberFormat="1" applyFont="1" applyFill="1" applyBorder="1" applyAlignment="1">
      <alignment horizontal="left" vertical="center" wrapText="1"/>
    </xf>
    <xf numFmtId="0" fontId="27" fillId="0" borderId="12" xfId="0" applyNumberFormat="1" applyFont="1" applyFill="1" applyBorder="1" applyAlignment="1">
      <alignment vertical="center"/>
    </xf>
    <xf numFmtId="0" fontId="27" fillId="0" borderId="46" xfId="0" applyNumberFormat="1" applyFont="1" applyFill="1" applyBorder="1" applyAlignment="1">
      <alignment vertical="center" wrapText="1"/>
    </xf>
    <xf numFmtId="0" fontId="27" fillId="0" borderId="12" xfId="0" applyNumberFormat="1" applyFont="1" applyFill="1" applyBorder="1" applyAlignment="1">
      <alignment vertical="center" wrapText="1"/>
    </xf>
    <xf numFmtId="0" fontId="27" fillId="0" borderId="58" xfId="0" applyNumberFormat="1" applyFont="1" applyFill="1" applyBorder="1" applyAlignment="1">
      <alignment horizontal="left" vertical="center"/>
    </xf>
    <xf numFmtId="0" fontId="27" fillId="0" borderId="58" xfId="0" applyNumberFormat="1" applyFont="1" applyFill="1" applyBorder="1" applyAlignment="1">
      <alignment horizontal="left" vertical="center" wrapText="1"/>
    </xf>
    <xf numFmtId="0" fontId="27" fillId="0" borderId="53" xfId="0" applyNumberFormat="1" applyFont="1" applyFill="1" applyBorder="1" applyAlignment="1">
      <alignment horizontal="center" vertical="center" wrapText="1"/>
    </xf>
    <xf numFmtId="0" fontId="27" fillId="0" borderId="45" xfId="0" applyNumberFormat="1" applyFont="1" applyFill="1" applyBorder="1" applyAlignment="1">
      <alignment horizontal="center" vertical="center" wrapText="1"/>
    </xf>
    <xf numFmtId="0" fontId="27" fillId="0" borderId="64" xfId="0" applyNumberFormat="1" applyFont="1" applyFill="1" applyBorder="1" applyAlignment="1">
      <alignment horizontal="center" vertical="center" wrapText="1"/>
    </xf>
    <xf numFmtId="0" fontId="35" fillId="0" borderId="58" xfId="0" applyNumberFormat="1" applyFont="1" applyFill="1" applyBorder="1" applyAlignment="1">
      <alignment vertical="center" wrapText="1"/>
    </xf>
    <xf numFmtId="2" fontId="27" fillId="0" borderId="0" xfId="0" applyNumberFormat="1" applyFont="1" applyFill="1" applyBorder="1" applyAlignment="1">
      <alignment horizontal="center" vertical="center"/>
    </xf>
    <xf numFmtId="10" fontId="29" fillId="0" borderId="0" xfId="6" applyNumberFormat="1" applyFont="1" applyFill="1" applyBorder="1" applyAlignment="1"/>
    <xf numFmtId="4" fontId="0" fillId="5" borderId="21" xfId="0" applyNumberFormat="1" applyFill="1" applyBorder="1" applyAlignment="1">
      <alignment vertical="center"/>
    </xf>
    <xf numFmtId="4" fontId="0" fillId="5" borderId="22" xfId="0" applyNumberFormat="1" applyFill="1" applyBorder="1" applyAlignment="1">
      <alignment vertical="center"/>
    </xf>
    <xf numFmtId="4" fontId="0" fillId="5" borderId="23" xfId="0" applyNumberFormat="1" applyFill="1" applyBorder="1" applyAlignment="1">
      <alignment vertical="center"/>
    </xf>
    <xf numFmtId="166" fontId="26" fillId="0" borderId="39" xfId="5" applyFont="1" applyFill="1" applyBorder="1" applyAlignment="1"/>
    <xf numFmtId="166" fontId="26" fillId="3" borderId="59" xfId="5" applyFont="1" applyFill="1" applyBorder="1" applyAlignment="1"/>
    <xf numFmtId="0" fontId="0" fillId="0" borderId="25" xfId="0" applyNumberFormat="1" applyFont="1" applyFill="1" applyBorder="1" applyAlignment="1">
      <alignment vertical="center"/>
    </xf>
    <xf numFmtId="3" fontId="0" fillId="0" borderId="25" xfId="0" applyNumberFormat="1" applyFont="1" applyFill="1" applyBorder="1" applyAlignment="1">
      <alignment vertical="center"/>
    </xf>
    <xf numFmtId="0" fontId="0" fillId="0" borderId="26" xfId="0" applyNumberFormat="1" applyFont="1" applyFill="1" applyBorder="1" applyAlignment="1">
      <alignment vertical="center"/>
    </xf>
    <xf numFmtId="3" fontId="0" fillId="0" borderId="24" xfId="0" applyNumberFormat="1" applyFont="1" applyFill="1" applyBorder="1" applyAlignment="1">
      <alignment vertical="center"/>
    </xf>
    <xf numFmtId="0" fontId="0" fillId="0" borderId="24" xfId="0" applyNumberFormat="1" applyFont="1" applyFill="1" applyBorder="1" applyAlignment="1">
      <alignment vertical="center"/>
    </xf>
    <xf numFmtId="3" fontId="0" fillId="0" borderId="26" xfId="0" applyNumberFormat="1" applyFont="1" applyFill="1" applyBorder="1" applyAlignment="1">
      <alignment vertical="center"/>
    </xf>
    <xf numFmtId="3" fontId="0" fillId="0" borderId="13" xfId="0" applyNumberFormat="1" applyFont="1" applyFill="1" applyBorder="1" applyAlignment="1">
      <alignment vertical="center"/>
    </xf>
    <xf numFmtId="166" fontId="0" fillId="0" borderId="22" xfId="5" applyFont="1" applyFill="1" applyBorder="1" applyAlignment="1"/>
    <xf numFmtId="166" fontId="0" fillId="0" borderId="23" xfId="5" applyFont="1" applyFill="1" applyBorder="1" applyAlignment="1"/>
    <xf numFmtId="166" fontId="0" fillId="0" borderId="25" xfId="5" applyFont="1" applyFill="1" applyBorder="1" applyAlignment="1"/>
    <xf numFmtId="166" fontId="0" fillId="0" borderId="26" xfId="5" applyFont="1" applyFill="1" applyBorder="1" applyAlignment="1"/>
    <xf numFmtId="166" fontId="0" fillId="0" borderId="21" xfId="5" applyFont="1" applyFill="1" applyBorder="1" applyAlignment="1"/>
    <xf numFmtId="166" fontId="0" fillId="0" borderId="24" xfId="5" applyFont="1" applyFill="1" applyBorder="1" applyAlignment="1"/>
    <xf numFmtId="0" fontId="36" fillId="0" borderId="25" xfId="0" applyNumberFormat="1" applyFont="1" applyFill="1" applyBorder="1" applyAlignment="1">
      <alignment horizontal="right" vertical="center"/>
    </xf>
    <xf numFmtId="0" fontId="36" fillId="0" borderId="22" xfId="0" applyNumberFormat="1" applyFont="1" applyFill="1" applyBorder="1" applyAlignment="1">
      <alignment horizontal="right" vertical="center"/>
    </xf>
    <xf numFmtId="0" fontId="36" fillId="0" borderId="21" xfId="0" applyNumberFormat="1" applyFont="1" applyFill="1" applyBorder="1" applyAlignment="1">
      <alignment horizontal="right" vertical="center"/>
    </xf>
    <xf numFmtId="0" fontId="36" fillId="0" borderId="24" xfId="0" applyNumberFormat="1" applyFont="1" applyFill="1" applyBorder="1" applyAlignment="1">
      <alignment horizontal="right" vertical="center"/>
    </xf>
    <xf numFmtId="0" fontId="36" fillId="0" borderId="23" xfId="0" applyNumberFormat="1" applyFont="1" applyFill="1" applyBorder="1" applyAlignment="1">
      <alignment horizontal="right" vertical="center"/>
    </xf>
    <xf numFmtId="0" fontId="36" fillId="0" borderId="26" xfId="0" applyNumberFormat="1" applyFont="1" applyFill="1" applyBorder="1" applyAlignment="1">
      <alignment horizontal="right" vertical="center"/>
    </xf>
    <xf numFmtId="0" fontId="27" fillId="5" borderId="21" xfId="5" applyNumberFormat="1" applyFont="1" applyFill="1" applyBorder="1" applyAlignment="1">
      <alignment vertical="center" wrapText="1"/>
    </xf>
    <xf numFmtId="166" fontId="0" fillId="5" borderId="40" xfId="5" applyFont="1" applyFill="1" applyBorder="1" applyAlignment="1"/>
    <xf numFmtId="166" fontId="0" fillId="5" borderId="22" xfId="5" applyFont="1" applyFill="1" applyBorder="1" applyAlignment="1"/>
    <xf numFmtId="166" fontId="0" fillId="5" borderId="23" xfId="5" applyFont="1" applyFill="1" applyBorder="1" applyAlignment="1"/>
    <xf numFmtId="166" fontId="0" fillId="5" borderId="32" xfId="5" applyFont="1" applyFill="1" applyBorder="1" applyAlignment="1"/>
    <xf numFmtId="166" fontId="0" fillId="5" borderId="25" xfId="5" applyFont="1" applyFill="1" applyBorder="1" applyAlignment="1"/>
    <xf numFmtId="166" fontId="0" fillId="5" borderId="26" xfId="5" applyFont="1" applyFill="1" applyBorder="1" applyAlignment="1"/>
    <xf numFmtId="166" fontId="0" fillId="18" borderId="0" xfId="0" applyNumberFormat="1" applyFont="1" applyFill="1" applyBorder="1" applyAlignment="1"/>
    <xf numFmtId="0" fontId="0" fillId="0" borderId="24" xfId="0" applyNumberFormat="1" applyFont="1" applyFill="1" applyBorder="1" applyAlignment="1">
      <alignment horizontal="right" vertical="center" wrapText="1"/>
    </xf>
    <xf numFmtId="0" fontId="0" fillId="0" borderId="25" xfId="0" applyNumberFormat="1" applyFont="1" applyFill="1" applyBorder="1" applyAlignment="1">
      <alignment horizontal="right" vertical="center" wrapText="1"/>
    </xf>
    <xf numFmtId="0" fontId="0" fillId="0" borderId="26" xfId="0" applyNumberFormat="1" applyFont="1" applyFill="1" applyBorder="1" applyAlignment="1">
      <alignment horizontal="right" vertical="center" wrapText="1"/>
    </xf>
    <xf numFmtId="0" fontId="0" fillId="0" borderId="25" xfId="0" applyBorder="1"/>
    <xf numFmtId="1" fontId="0" fillId="0" borderId="25" xfId="0" applyNumberFormat="1" applyBorder="1"/>
    <xf numFmtId="0" fontId="39" fillId="0" borderId="0" xfId="0" applyNumberFormat="1" applyFont="1" applyFill="1" applyBorder="1" applyAlignment="1"/>
    <xf numFmtId="166" fontId="0" fillId="5" borderId="21" xfId="5" applyFont="1" applyFill="1" applyBorder="1" applyAlignment="1"/>
    <xf numFmtId="0" fontId="79" fillId="0" borderId="0" xfId="0" applyNumberFormat="1" applyFont="1" applyFill="1" applyBorder="1" applyAlignment="1"/>
    <xf numFmtId="0" fontId="81" fillId="0" borderId="0" xfId="0" applyNumberFormat="1" applyFont="1" applyFill="1" applyBorder="1" applyAlignment="1"/>
    <xf numFmtId="0" fontId="27" fillId="5" borderId="40" xfId="0" applyNumberFormat="1" applyFont="1" applyFill="1" applyBorder="1" applyAlignment="1">
      <alignment horizontal="center" vertical="center"/>
    </xf>
    <xf numFmtId="0" fontId="26" fillId="0" borderId="17"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Fill="1" applyBorder="1" applyAlignment="1">
      <alignment horizontal="center" vertical="center" wrapText="1"/>
    </xf>
    <xf numFmtId="0" fontId="26" fillId="0" borderId="17" xfId="0" applyFont="1" applyFill="1" applyBorder="1" applyAlignment="1">
      <alignment horizontal="center" vertical="center" wrapText="1"/>
    </xf>
    <xf numFmtId="0" fontId="0" fillId="0" borderId="41" xfId="0" applyBorder="1"/>
    <xf numFmtId="3" fontId="0" fillId="0" borderId="30" xfId="0" applyNumberFormat="1" applyFont="1" applyBorder="1"/>
    <xf numFmtId="4" fontId="0" fillId="0" borderId="30" xfId="0" applyNumberFormat="1" applyFont="1" applyBorder="1"/>
    <xf numFmtId="0" fontId="0" fillId="0" borderId="30" xfId="0" applyFont="1" applyBorder="1"/>
    <xf numFmtId="0" fontId="0" fillId="0" borderId="31" xfId="0" applyFont="1" applyBorder="1"/>
    <xf numFmtId="166" fontId="0" fillId="0" borderId="22" xfId="5" applyFont="1" applyBorder="1"/>
    <xf numFmtId="0" fontId="0" fillId="0" borderId="24" xfId="0" applyBorder="1"/>
    <xf numFmtId="3" fontId="99" fillId="0" borderId="25" xfId="0" applyNumberFormat="1" applyFont="1" applyBorder="1" applyAlignment="1">
      <alignment horizontal="right" vertical="center"/>
    </xf>
    <xf numFmtId="4" fontId="99" fillId="0" borderId="25" xfId="0" applyNumberFormat="1" applyFont="1" applyBorder="1" applyAlignment="1">
      <alignment horizontal="right" vertical="center"/>
    </xf>
    <xf numFmtId="4" fontId="0" fillId="0" borderId="25" xfId="0" applyNumberFormat="1" applyFont="1" applyBorder="1"/>
    <xf numFmtId="0" fontId="0" fillId="0" borderId="25" xfId="0" applyFont="1" applyBorder="1"/>
    <xf numFmtId="0" fontId="99" fillId="0" borderId="25" xfId="0" applyFont="1" applyBorder="1" applyAlignment="1">
      <alignment horizontal="right" vertical="center"/>
    </xf>
    <xf numFmtId="0" fontId="99" fillId="0" borderId="26" xfId="0" applyFont="1" applyBorder="1" applyAlignment="1">
      <alignment horizontal="right" vertical="center"/>
    </xf>
    <xf numFmtId="166" fontId="0" fillId="0" borderId="25" xfId="5" applyFont="1" applyBorder="1"/>
    <xf numFmtId="0" fontId="0" fillId="0" borderId="27" xfId="0" applyBorder="1"/>
    <xf numFmtId="3" fontId="99" fillId="0" borderId="28" xfId="0" applyNumberFormat="1" applyFont="1" applyBorder="1" applyAlignment="1">
      <alignment horizontal="right" vertical="center"/>
    </xf>
    <xf numFmtId="4" fontId="99" fillId="0" borderId="28" xfId="0" applyNumberFormat="1" applyFont="1" applyBorder="1" applyAlignment="1">
      <alignment horizontal="right" vertical="center"/>
    </xf>
    <xf numFmtId="4" fontId="0" fillId="0" borderId="28" xfId="0" applyNumberFormat="1" applyFont="1" applyBorder="1"/>
    <xf numFmtId="0" fontId="0" fillId="0" borderId="28" xfId="0" applyFont="1" applyBorder="1"/>
    <xf numFmtId="0" fontId="99" fillId="0" borderId="28" xfId="0" applyFont="1" applyBorder="1" applyAlignment="1">
      <alignment horizontal="right" vertical="center"/>
    </xf>
    <xf numFmtId="0" fontId="99" fillId="0" borderId="29" xfId="0" applyFont="1" applyBorder="1" applyAlignment="1">
      <alignment horizontal="right" vertical="center"/>
    </xf>
    <xf numFmtId="0" fontId="0" fillId="6" borderId="30" xfId="0" applyFont="1" applyFill="1" applyBorder="1"/>
    <xf numFmtId="3" fontId="0" fillId="0" borderId="25" xfId="0" applyNumberFormat="1" applyFont="1" applyBorder="1"/>
    <xf numFmtId="0" fontId="0" fillId="0" borderId="25" xfId="0" applyFont="1" applyFill="1" applyBorder="1"/>
    <xf numFmtId="0" fontId="0" fillId="0" borderId="26" xfId="0" applyFont="1" applyBorder="1"/>
    <xf numFmtId="3" fontId="0" fillId="0" borderId="25" xfId="0" applyNumberFormat="1" applyFont="1" applyFill="1" applyBorder="1"/>
    <xf numFmtId="0" fontId="0" fillId="0" borderId="0" xfId="0" applyFont="1" applyAlignment="1">
      <alignment horizontal="right"/>
    </xf>
    <xf numFmtId="3" fontId="0" fillId="0" borderId="28" xfId="0" applyNumberFormat="1" applyFont="1" applyBorder="1"/>
    <xf numFmtId="0" fontId="0" fillId="0" borderId="29" xfId="0" applyFont="1" applyBorder="1"/>
    <xf numFmtId="0" fontId="0" fillId="0" borderId="30" xfId="0" applyFont="1" applyBorder="1" applyAlignment="1">
      <alignment horizontal="right"/>
    </xf>
    <xf numFmtId="0" fontId="0" fillId="0" borderId="25" xfId="0" applyFont="1" applyBorder="1" applyAlignment="1">
      <alignment horizontal="right"/>
    </xf>
    <xf numFmtId="0" fontId="0" fillId="0" borderId="28" xfId="0" applyFont="1" applyBorder="1" applyAlignment="1">
      <alignment horizontal="right"/>
    </xf>
    <xf numFmtId="3" fontId="0" fillId="0" borderId="49" xfId="0" applyNumberFormat="1" applyFont="1" applyBorder="1"/>
    <xf numFmtId="4" fontId="0" fillId="0" borderId="49" xfId="0" applyNumberFormat="1" applyFont="1" applyBorder="1"/>
    <xf numFmtId="0" fontId="0" fillId="6" borderId="25" xfId="0" applyFont="1" applyFill="1" applyBorder="1"/>
    <xf numFmtId="3" fontId="0" fillId="0" borderId="22" xfId="0" applyNumberFormat="1" applyFont="1" applyBorder="1"/>
    <xf numFmtId="4" fontId="0" fillId="0" borderId="22" xfId="0" applyNumberFormat="1" applyFont="1" applyBorder="1"/>
    <xf numFmtId="0" fontId="0" fillId="6" borderId="28" xfId="0" applyFont="1" applyFill="1" applyBorder="1"/>
    <xf numFmtId="0" fontId="0" fillId="0" borderId="24" xfId="0" applyFill="1" applyBorder="1"/>
    <xf numFmtId="0" fontId="0" fillId="0" borderId="22" xfId="0" applyBorder="1"/>
    <xf numFmtId="0" fontId="0" fillId="0" borderId="85" xfId="0" applyFill="1" applyBorder="1"/>
    <xf numFmtId="0" fontId="0" fillId="4" borderId="41" xfId="0" applyFill="1" applyBorder="1"/>
    <xf numFmtId="3" fontId="0" fillId="4" borderId="25" xfId="0" applyNumberFormat="1" applyFont="1" applyFill="1" applyBorder="1"/>
    <xf numFmtId="4" fontId="0" fillId="4" borderId="30" xfId="0" applyNumberFormat="1" applyFont="1" applyFill="1" applyBorder="1"/>
    <xf numFmtId="0" fontId="0" fillId="4" borderId="30" xfId="0" applyFont="1" applyFill="1" applyBorder="1" applyAlignment="1">
      <alignment horizontal="center"/>
    </xf>
    <xf numFmtId="0" fontId="0" fillId="4" borderId="30" xfId="0" applyFont="1" applyFill="1" applyBorder="1"/>
    <xf numFmtId="0" fontId="0" fillId="4" borderId="31" xfId="0" applyFont="1" applyFill="1" applyBorder="1"/>
    <xf numFmtId="166" fontId="0" fillId="4" borderId="25" xfId="5" applyFont="1" applyFill="1" applyBorder="1"/>
    <xf numFmtId="0" fontId="0" fillId="4" borderId="0" xfId="0" applyFill="1"/>
    <xf numFmtId="0" fontId="0" fillId="4" borderId="24" xfId="0" applyFill="1" applyBorder="1"/>
    <xf numFmtId="4" fontId="0" fillId="4" borderId="25" xfId="0" applyNumberFormat="1" applyFont="1" applyFill="1" applyBorder="1"/>
    <xf numFmtId="0" fontId="0" fillId="4" borderId="25" xfId="0" applyFont="1" applyFill="1" applyBorder="1"/>
    <xf numFmtId="0" fontId="0" fillId="4" borderId="26" xfId="0" applyFont="1" applyFill="1" applyBorder="1"/>
    <xf numFmtId="0" fontId="0" fillId="4" borderId="27" xfId="0" applyFill="1" applyBorder="1"/>
    <xf numFmtId="3" fontId="0" fillId="4" borderId="28" xfId="0" applyNumberFormat="1" applyFont="1" applyFill="1" applyBorder="1"/>
    <xf numFmtId="4" fontId="0" fillId="4" borderId="45" xfId="0" applyNumberFormat="1" applyFont="1" applyFill="1" applyBorder="1"/>
    <xf numFmtId="4" fontId="0" fillId="4" borderId="28" xfId="0" applyNumberFormat="1" applyFont="1" applyFill="1" applyBorder="1"/>
    <xf numFmtId="0" fontId="0" fillId="4" borderId="28" xfId="0" applyFont="1" applyFill="1" applyBorder="1"/>
    <xf numFmtId="0" fontId="0" fillId="4" borderId="29" xfId="0" applyFont="1" applyFill="1" applyBorder="1"/>
    <xf numFmtId="0" fontId="98" fillId="4" borderId="17" xfId="0" applyFont="1" applyFill="1" applyBorder="1" applyAlignment="1">
      <alignment horizontal="center" vertical="center"/>
    </xf>
    <xf numFmtId="0" fontId="0" fillId="4" borderId="18" xfId="0" applyFill="1" applyBorder="1"/>
    <xf numFmtId="3" fontId="0" fillId="4" borderId="19" xfId="0" applyNumberFormat="1" applyFont="1" applyFill="1" applyBorder="1"/>
    <xf numFmtId="4" fontId="0" fillId="4" borderId="19" xfId="0" applyNumberFormat="1" applyFont="1" applyFill="1" applyBorder="1"/>
    <xf numFmtId="0" fontId="0" fillId="4" borderId="19" xfId="0" applyFont="1" applyFill="1" applyBorder="1" applyAlignment="1">
      <alignment horizontal="center"/>
    </xf>
    <xf numFmtId="0" fontId="0" fillId="4" borderId="19" xfId="0" applyFont="1" applyFill="1" applyBorder="1"/>
    <xf numFmtId="0" fontId="0" fillId="4" borderId="20" xfId="0" applyFont="1" applyFill="1" applyBorder="1"/>
    <xf numFmtId="0" fontId="98" fillId="4" borderId="17" xfId="0" applyFont="1" applyFill="1" applyBorder="1" applyAlignment="1">
      <alignment vertical="center"/>
    </xf>
    <xf numFmtId="0" fontId="0" fillId="4" borderId="48" xfId="0" applyFill="1" applyBorder="1"/>
    <xf numFmtId="1" fontId="0" fillId="4" borderId="49" xfId="0" applyNumberFormat="1" applyFont="1" applyFill="1" applyBorder="1"/>
    <xf numFmtId="4" fontId="0" fillId="4" borderId="84" xfId="0" applyNumberFormat="1" applyFont="1" applyFill="1" applyBorder="1"/>
    <xf numFmtId="4" fontId="0" fillId="4" borderId="49" xfId="0" applyNumberFormat="1" applyFont="1" applyFill="1" applyBorder="1"/>
    <xf numFmtId="0" fontId="0" fillId="4" borderId="49" xfId="0" applyFont="1" applyFill="1" applyBorder="1"/>
    <xf numFmtId="0" fontId="0" fillId="4" borderId="50" xfId="0" applyFont="1" applyFill="1" applyBorder="1"/>
    <xf numFmtId="166" fontId="0" fillId="4" borderId="45" xfId="5" applyFont="1" applyFill="1" applyBorder="1"/>
    <xf numFmtId="0" fontId="0" fillId="0" borderId="0" xfId="0" applyAlignment="1">
      <alignment wrapText="1"/>
    </xf>
    <xf numFmtId="3" fontId="0" fillId="0" borderId="0" xfId="0" applyNumberFormat="1"/>
    <xf numFmtId="0" fontId="0" fillId="0" borderId="84" xfId="0" applyFill="1" applyBorder="1"/>
    <xf numFmtId="0" fontId="22" fillId="0" borderId="0" xfId="1557"/>
    <xf numFmtId="0" fontId="26" fillId="0" borderId="17" xfId="1557" applyFont="1" applyBorder="1" applyAlignment="1">
      <alignment horizontal="center" vertical="center" wrapText="1"/>
    </xf>
    <xf numFmtId="0" fontId="26" fillId="0" borderId="18" xfId="1557" applyFont="1" applyBorder="1" applyAlignment="1">
      <alignment horizontal="center" vertical="center" wrapText="1"/>
    </xf>
    <xf numFmtId="0" fontId="26" fillId="0" borderId="19" xfId="1557" applyFont="1" applyBorder="1" applyAlignment="1">
      <alignment horizontal="center" vertical="center" wrapText="1"/>
    </xf>
    <xf numFmtId="0" fontId="26" fillId="0" borderId="20" xfId="1557" applyFont="1" applyFill="1" applyBorder="1" applyAlignment="1">
      <alignment horizontal="center" vertical="center" wrapText="1"/>
    </xf>
    <xf numFmtId="0" fontId="26" fillId="0" borderId="17" xfId="1557" applyFont="1" applyFill="1" applyBorder="1" applyAlignment="1">
      <alignment horizontal="center" vertical="center" wrapText="1"/>
    </xf>
    <xf numFmtId="0" fontId="22" fillId="0" borderId="9" xfId="1557" applyBorder="1"/>
    <xf numFmtId="3" fontId="22" fillId="0" borderId="30" xfId="1557" applyNumberFormat="1" applyFont="1" applyBorder="1"/>
    <xf numFmtId="4" fontId="22" fillId="0" borderId="30" xfId="1557" applyNumberFormat="1" applyFont="1" applyBorder="1"/>
    <xf numFmtId="0" fontId="22" fillId="0" borderId="30" xfId="1557" applyFont="1" applyBorder="1"/>
    <xf numFmtId="0" fontId="22" fillId="0" borderId="31" xfId="1557" applyFont="1" applyBorder="1"/>
    <xf numFmtId="166" fontId="0" fillId="0" borderId="34" xfId="441" applyFont="1" applyBorder="1"/>
    <xf numFmtId="0" fontId="22" fillId="0" borderId="40" xfId="1557" applyBorder="1"/>
    <xf numFmtId="3" fontId="22" fillId="0" borderId="22" xfId="1557" applyNumberFormat="1" applyFont="1" applyBorder="1"/>
    <xf numFmtId="4" fontId="22" fillId="0" borderId="22" xfId="1557" applyNumberFormat="1" applyFont="1" applyBorder="1"/>
    <xf numFmtId="0" fontId="22" fillId="0" borderId="22" xfId="1557" applyFont="1" applyBorder="1"/>
    <xf numFmtId="0" fontId="22" fillId="0" borderId="23" xfId="1557" applyFont="1" applyBorder="1"/>
    <xf numFmtId="166" fontId="0" fillId="0" borderId="42" xfId="441" applyFont="1" applyBorder="1"/>
    <xf numFmtId="0" fontId="22" fillId="0" borderId="55" xfId="1557" applyBorder="1"/>
    <xf numFmtId="3" fontId="22" fillId="0" borderId="87" xfId="1557" applyNumberFormat="1" applyFont="1" applyBorder="1"/>
    <xf numFmtId="4" fontId="22" fillId="0" borderId="87" xfId="1557" applyNumberFormat="1" applyFont="1" applyBorder="1"/>
    <xf numFmtId="0" fontId="22" fillId="0" borderId="87" xfId="1557" applyFont="1" applyBorder="1"/>
    <xf numFmtId="0" fontId="22" fillId="0" borderId="88" xfId="1557" applyFont="1" applyBorder="1"/>
    <xf numFmtId="166" fontId="0" fillId="0" borderId="86" xfId="441" applyFont="1" applyBorder="1"/>
    <xf numFmtId="3" fontId="99" fillId="0" borderId="30" xfId="1557" applyNumberFormat="1" applyFont="1" applyBorder="1" applyAlignment="1">
      <alignment horizontal="right" vertical="center"/>
    </xf>
    <xf numFmtId="4" fontId="99" fillId="0" borderId="30" xfId="1557" applyNumberFormat="1" applyFont="1" applyBorder="1" applyAlignment="1">
      <alignment horizontal="right" vertical="center"/>
    </xf>
    <xf numFmtId="0" fontId="99" fillId="0" borderId="30" xfId="1557" applyFont="1" applyBorder="1" applyAlignment="1">
      <alignment horizontal="right" vertical="center"/>
    </xf>
    <xf numFmtId="0" fontId="99" fillId="0" borderId="31" xfId="1557" applyFont="1" applyBorder="1" applyAlignment="1">
      <alignment horizontal="right" vertical="center"/>
    </xf>
    <xf numFmtId="3" fontId="99" fillId="0" borderId="25" xfId="1557" applyNumberFormat="1" applyFont="1" applyBorder="1" applyAlignment="1">
      <alignment horizontal="right" vertical="center"/>
    </xf>
    <xf numFmtId="4" fontId="99" fillId="0" borderId="25" xfId="1557" applyNumberFormat="1" applyFont="1" applyBorder="1" applyAlignment="1">
      <alignment horizontal="right" vertical="center"/>
    </xf>
    <xf numFmtId="4" fontId="22" fillId="0" borderId="25" xfId="1557" applyNumberFormat="1" applyFont="1" applyBorder="1"/>
    <xf numFmtId="0" fontId="99" fillId="0" borderId="25" xfId="1557" applyFont="1" applyBorder="1" applyAlignment="1">
      <alignment horizontal="right" vertical="center"/>
    </xf>
    <xf numFmtId="0" fontId="22" fillId="0" borderId="0" xfId="1557" applyBorder="1"/>
    <xf numFmtId="0" fontId="99" fillId="0" borderId="23" xfId="1557" applyFont="1" applyBorder="1" applyAlignment="1">
      <alignment horizontal="right" vertical="center"/>
    </xf>
    <xf numFmtId="0" fontId="22" fillId="0" borderId="33" xfId="1557" applyBorder="1"/>
    <xf numFmtId="0" fontId="22" fillId="0" borderId="28" xfId="1557" applyBorder="1"/>
    <xf numFmtId="0" fontId="22" fillId="0" borderId="28" xfId="1557" applyFont="1" applyBorder="1"/>
    <xf numFmtId="0" fontId="22" fillId="0" borderId="5" xfId="1557" applyBorder="1"/>
    <xf numFmtId="0" fontId="99" fillId="0" borderId="28" xfId="1557" applyFont="1" applyBorder="1" applyAlignment="1">
      <alignment horizontal="right" vertical="center"/>
    </xf>
    <xf numFmtId="0" fontId="99" fillId="0" borderId="29" xfId="1557" applyFont="1" applyBorder="1" applyAlignment="1">
      <alignment horizontal="right" vertical="center"/>
    </xf>
    <xf numFmtId="166" fontId="0" fillId="0" borderId="35" xfId="441" applyFont="1" applyBorder="1"/>
    <xf numFmtId="0" fontId="98" fillId="0" borderId="17" xfId="1557" applyFont="1" applyBorder="1" applyAlignment="1">
      <alignment horizontal="center" vertical="center"/>
    </xf>
    <xf numFmtId="0" fontId="22" fillId="0" borderId="60" xfId="1557" applyBorder="1"/>
    <xf numFmtId="3" fontId="22" fillId="0" borderId="49" xfId="1557" applyNumberFormat="1" applyFont="1" applyBorder="1"/>
    <xf numFmtId="4" fontId="22" fillId="0" borderId="49" xfId="1557" applyNumberFormat="1" applyFont="1" applyBorder="1"/>
    <xf numFmtId="0" fontId="22" fillId="0" borderId="49" xfId="1557" applyFont="1" applyBorder="1" applyAlignment="1">
      <alignment horizontal="center"/>
    </xf>
    <xf numFmtId="0" fontId="22" fillId="0" borderId="49" xfId="1557" applyFont="1" applyBorder="1"/>
    <xf numFmtId="0" fontId="22" fillId="0" borderId="50" xfId="1557" applyFont="1" applyBorder="1"/>
    <xf numFmtId="166" fontId="0" fillId="0" borderId="10" xfId="441" applyFont="1" applyBorder="1"/>
    <xf numFmtId="0" fontId="22" fillId="0" borderId="0" xfId="1557" applyFill="1" applyBorder="1"/>
    <xf numFmtId="0" fontId="22" fillId="0" borderId="30" xfId="1557" applyFont="1" applyFill="1" applyBorder="1"/>
    <xf numFmtId="166" fontId="0" fillId="0" borderId="34" xfId="441" applyFont="1" applyFill="1" applyBorder="1"/>
    <xf numFmtId="166" fontId="0" fillId="0" borderId="0" xfId="441" applyFont="1" applyFill="1" applyBorder="1"/>
    <xf numFmtId="0" fontId="22" fillId="0" borderId="22" xfId="1557" applyFont="1" applyFill="1" applyBorder="1"/>
    <xf numFmtId="0" fontId="22" fillId="0" borderId="87" xfId="1557" applyFont="1" applyFill="1" applyBorder="1"/>
    <xf numFmtId="0" fontId="22" fillId="6" borderId="22" xfId="1557" applyFont="1" applyFill="1" applyBorder="1"/>
    <xf numFmtId="166" fontId="22" fillId="0" borderId="54" xfId="441" applyFont="1" applyBorder="1"/>
    <xf numFmtId="0" fontId="22" fillId="0" borderId="32" xfId="1557" applyBorder="1"/>
    <xf numFmtId="3" fontId="22" fillId="0" borderId="25" xfId="1557" applyNumberFormat="1" applyFont="1" applyFill="1" applyBorder="1"/>
    <xf numFmtId="0" fontId="22" fillId="0" borderId="25" xfId="1557" applyFont="1" applyFill="1" applyBorder="1"/>
    <xf numFmtId="0" fontId="22" fillId="0" borderId="25" xfId="1557" applyFont="1" applyBorder="1"/>
    <xf numFmtId="0" fontId="22" fillId="6" borderId="25" xfId="1557" applyFont="1" applyFill="1" applyBorder="1"/>
    <xf numFmtId="0" fontId="22" fillId="0" borderId="26" xfId="1557" applyFont="1" applyBorder="1"/>
    <xf numFmtId="0" fontId="29" fillId="0" borderId="32" xfId="1557" applyFont="1" applyBorder="1"/>
    <xf numFmtId="3" fontId="29" fillId="0" borderId="25" xfId="1557" applyNumberFormat="1" applyFont="1" applyFill="1" applyBorder="1"/>
    <xf numFmtId="0" fontId="29" fillId="0" borderId="0" xfId="1557" applyFont="1" applyBorder="1" applyAlignment="1">
      <alignment horizontal="right"/>
    </xf>
    <xf numFmtId="0" fontId="29" fillId="0" borderId="25" xfId="1557" applyFont="1" applyFill="1" applyBorder="1"/>
    <xf numFmtId="0" fontId="29" fillId="0" borderId="25" xfId="1557" applyFont="1" applyBorder="1"/>
    <xf numFmtId="0" fontId="29" fillId="0" borderId="26" xfId="1557" applyFont="1" applyBorder="1"/>
    <xf numFmtId="166" fontId="29" fillId="0" borderId="42" xfId="441" applyFont="1" applyBorder="1"/>
    <xf numFmtId="3" fontId="22" fillId="0" borderId="28" xfId="1557" applyNumberFormat="1" applyFont="1" applyBorder="1"/>
    <xf numFmtId="4" fontId="22" fillId="0" borderId="28" xfId="1557" applyNumberFormat="1" applyFont="1" applyBorder="1"/>
    <xf numFmtId="0" fontId="22" fillId="0" borderId="29" xfId="1557" applyFont="1" applyBorder="1"/>
    <xf numFmtId="166" fontId="0" fillId="0" borderId="54" xfId="441" applyFont="1" applyBorder="1"/>
    <xf numFmtId="166" fontId="0" fillId="0" borderId="0" xfId="441" applyFont="1" applyBorder="1"/>
    <xf numFmtId="3" fontId="22" fillId="0" borderId="25" xfId="1557" applyNumberFormat="1" applyFont="1" applyBorder="1"/>
    <xf numFmtId="0" fontId="22" fillId="0" borderId="30" xfId="1557" applyFont="1" applyBorder="1" applyAlignment="1">
      <alignment horizontal="right"/>
    </xf>
    <xf numFmtId="0" fontId="22" fillId="0" borderId="25" xfId="1557" applyFont="1" applyBorder="1" applyAlignment="1">
      <alignment horizontal="right"/>
    </xf>
    <xf numFmtId="0" fontId="22" fillId="0" borderId="28" xfId="1557" applyFont="1" applyBorder="1" applyAlignment="1">
      <alignment horizontal="right"/>
    </xf>
    <xf numFmtId="0" fontId="22" fillId="6" borderId="30" xfId="1557" applyFont="1" applyFill="1" applyBorder="1"/>
    <xf numFmtId="0" fontId="22" fillId="0" borderId="28" xfId="1557" applyFont="1" applyFill="1" applyBorder="1"/>
    <xf numFmtId="0" fontId="22" fillId="0" borderId="30" xfId="1557" applyFont="1" applyBorder="1" applyAlignment="1">
      <alignment horizontal="center"/>
    </xf>
    <xf numFmtId="0" fontId="98" fillId="0" borderId="17" xfId="1557" applyFont="1" applyBorder="1" applyAlignment="1">
      <alignment vertical="center"/>
    </xf>
    <xf numFmtId="0" fontId="22" fillId="0" borderId="36" xfId="1557" applyBorder="1"/>
    <xf numFmtId="3" fontId="22" fillId="0" borderId="19" xfId="1557" applyNumberFormat="1" applyFont="1" applyBorder="1"/>
    <xf numFmtId="4" fontId="22" fillId="0" borderId="19" xfId="1557" applyNumberFormat="1" applyFont="1" applyBorder="1"/>
    <xf numFmtId="0" fontId="22" fillId="0" borderId="19" xfId="1557" applyFont="1" applyBorder="1"/>
    <xf numFmtId="0" fontId="22" fillId="0" borderId="20" xfId="1557" applyFont="1" applyBorder="1"/>
    <xf numFmtId="166" fontId="0" fillId="0" borderId="37" xfId="441" applyFont="1" applyBorder="1"/>
    <xf numFmtId="1" fontId="22" fillId="0" borderId="49" xfId="1557" applyNumberFormat="1" applyFont="1" applyBorder="1"/>
    <xf numFmtId="0" fontId="22" fillId="0" borderId="9" xfId="1557" applyFill="1" applyBorder="1"/>
    <xf numFmtId="1" fontId="22" fillId="0" borderId="49" xfId="1557" applyNumberFormat="1" applyBorder="1"/>
    <xf numFmtId="0" fontId="22" fillId="0" borderId="30" xfId="1557" applyBorder="1"/>
    <xf numFmtId="0" fontId="22" fillId="0" borderId="49" xfId="1557" applyBorder="1"/>
    <xf numFmtId="0" fontId="22" fillId="0" borderId="55" xfId="1557" applyFill="1" applyBorder="1"/>
    <xf numFmtId="1" fontId="22" fillId="0" borderId="28" xfId="1557" applyNumberFormat="1" applyBorder="1"/>
    <xf numFmtId="0" fontId="22" fillId="0" borderId="87" xfId="1557" applyBorder="1"/>
    <xf numFmtId="0" fontId="22" fillId="0" borderId="44" xfId="1557" applyFill="1" applyBorder="1"/>
    <xf numFmtId="1" fontId="22" fillId="0" borderId="84" xfId="1557" applyNumberFormat="1" applyBorder="1"/>
    <xf numFmtId="0" fontId="22" fillId="0" borderId="22" xfId="1557" applyBorder="1"/>
    <xf numFmtId="0" fontId="22" fillId="0" borderId="84" xfId="1557" applyBorder="1"/>
    <xf numFmtId="166" fontId="0" fillId="0" borderId="89" xfId="441" applyFont="1" applyBorder="1"/>
    <xf numFmtId="0" fontId="98" fillId="0" borderId="38" xfId="1557" applyFont="1" applyBorder="1" applyAlignment="1">
      <alignment horizontal="center" vertical="center"/>
    </xf>
    <xf numFmtId="0" fontId="22" fillId="0" borderId="19" xfId="1557" applyBorder="1"/>
    <xf numFmtId="0" fontId="22" fillId="72" borderId="0" xfId="1557" applyFill="1"/>
    <xf numFmtId="3" fontId="22" fillId="0" borderId="8" xfId="1557" applyNumberFormat="1" applyFont="1" applyBorder="1"/>
    <xf numFmtId="176" fontId="0" fillId="0" borderId="11" xfId="441" applyNumberFormat="1" applyFont="1" applyBorder="1"/>
    <xf numFmtId="3" fontId="22" fillId="0" borderId="39" xfId="1557" applyNumberFormat="1" applyFont="1" applyBorder="1"/>
    <xf numFmtId="176" fontId="0" fillId="0" borderId="14" xfId="441" applyNumberFormat="1" applyFont="1" applyBorder="1"/>
    <xf numFmtId="176" fontId="0" fillId="0" borderId="62" xfId="441" applyNumberFormat="1" applyFont="1" applyBorder="1"/>
    <xf numFmtId="0" fontId="98" fillId="77" borderId="17" xfId="1557" applyFont="1" applyFill="1" applyBorder="1" applyAlignment="1">
      <alignment horizontal="center" vertical="center"/>
    </xf>
    <xf numFmtId="3" fontId="22" fillId="77" borderId="49" xfId="1557" applyNumberFormat="1" applyFont="1" applyFill="1" applyBorder="1"/>
    <xf numFmtId="4" fontId="22" fillId="77" borderId="49" xfId="1557" applyNumberFormat="1" applyFont="1" applyFill="1" applyBorder="1"/>
    <xf numFmtId="0" fontId="22" fillId="77" borderId="49" xfId="1557" applyFont="1" applyFill="1" applyBorder="1"/>
    <xf numFmtId="0" fontId="22" fillId="77" borderId="50" xfId="1557" applyFont="1" applyFill="1" applyBorder="1"/>
    <xf numFmtId="0" fontId="22" fillId="77" borderId="0" xfId="1557" applyFill="1"/>
    <xf numFmtId="0" fontId="22" fillId="77" borderId="0" xfId="1557" applyFill="1" applyBorder="1"/>
    <xf numFmtId="0" fontId="22" fillId="0" borderId="44" xfId="1557" applyBorder="1"/>
    <xf numFmtId="0" fontId="26" fillId="0" borderId="9" xfId="1557" applyFont="1" applyBorder="1"/>
    <xf numFmtId="0" fontId="29" fillId="0" borderId="0" xfId="1557" applyFont="1"/>
    <xf numFmtId="0" fontId="22" fillId="0" borderId="22" xfId="1557" applyFont="1" applyBorder="1" applyAlignment="1">
      <alignment horizontal="right"/>
    </xf>
    <xf numFmtId="3" fontId="22" fillId="0" borderId="45" xfId="1557" applyNumberFormat="1" applyFont="1" applyBorder="1"/>
    <xf numFmtId="4" fontId="22" fillId="0" borderId="45" xfId="1557" applyNumberFormat="1" applyFont="1" applyBorder="1"/>
    <xf numFmtId="0" fontId="22" fillId="0" borderId="45" xfId="1557" applyFont="1" applyBorder="1"/>
    <xf numFmtId="0" fontId="22" fillId="0" borderId="52" xfId="1557" applyFont="1" applyBorder="1"/>
    <xf numFmtId="0" fontId="22" fillId="0" borderId="53" xfId="1557" applyBorder="1"/>
    <xf numFmtId="0" fontId="22" fillId="0" borderId="45" xfId="1557" applyFont="1" applyFill="1" applyBorder="1"/>
    <xf numFmtId="0" fontId="22" fillId="5" borderId="22" xfId="1557" applyFont="1" applyFill="1" applyBorder="1"/>
    <xf numFmtId="3" fontId="22" fillId="5" borderId="84" xfId="1557" applyNumberFormat="1" applyFont="1" applyFill="1" applyBorder="1"/>
    <xf numFmtId="0" fontId="22" fillId="5" borderId="84" xfId="1557" applyFont="1" applyFill="1" applyBorder="1"/>
    <xf numFmtId="0" fontId="22" fillId="5" borderId="91" xfId="1557" applyFont="1" applyFill="1" applyBorder="1"/>
    <xf numFmtId="0" fontId="0" fillId="5" borderId="44" xfId="1557" applyFont="1" applyFill="1" applyBorder="1"/>
    <xf numFmtId="0" fontId="0" fillId="5" borderId="40" xfId="1557" applyFont="1" applyFill="1" applyBorder="1"/>
    <xf numFmtId="3" fontId="22" fillId="5" borderId="22" xfId="1557" applyNumberFormat="1" applyFont="1" applyFill="1" applyBorder="1"/>
    <xf numFmtId="0" fontId="22" fillId="5" borderId="23" xfId="1557" applyFont="1" applyFill="1" applyBorder="1"/>
    <xf numFmtId="0" fontId="22" fillId="5" borderId="0" xfId="1557" applyFill="1"/>
    <xf numFmtId="0" fontId="0" fillId="5" borderId="0" xfId="1557" applyFont="1" applyFill="1"/>
    <xf numFmtId="3" fontId="22" fillId="72" borderId="0" xfId="1557" applyNumberFormat="1" applyFill="1"/>
    <xf numFmtId="3" fontId="22" fillId="77" borderId="25" xfId="1557" applyNumberFormat="1" applyFont="1" applyFill="1" applyBorder="1"/>
    <xf numFmtId="4" fontId="22" fillId="77" borderId="25" xfId="1557" applyNumberFormat="1" applyFont="1" applyFill="1" applyBorder="1"/>
    <xf numFmtId="0" fontId="22" fillId="77" borderId="25" xfId="1557" applyFont="1" applyFill="1" applyBorder="1"/>
    <xf numFmtId="0" fontId="22" fillId="77" borderId="26" xfId="1557" applyFont="1" applyFill="1" applyBorder="1"/>
    <xf numFmtId="0" fontId="29" fillId="77" borderId="0" xfId="1557" applyFont="1" applyFill="1"/>
    <xf numFmtId="0" fontId="22" fillId="77" borderId="40" xfId="1557" applyFill="1" applyBorder="1"/>
    <xf numFmtId="3" fontId="22" fillId="77" borderId="45" xfId="1557" applyNumberFormat="1" applyFont="1" applyFill="1" applyBorder="1"/>
    <xf numFmtId="4" fontId="22" fillId="77" borderId="45" xfId="1557" applyNumberFormat="1" applyFont="1" applyFill="1" applyBorder="1"/>
    <xf numFmtId="0" fontId="22" fillId="77" borderId="45" xfId="1557" applyFont="1" applyFill="1" applyBorder="1"/>
    <xf numFmtId="0" fontId="22" fillId="77" borderId="45" xfId="1557" applyFont="1" applyFill="1" applyBorder="1" applyAlignment="1">
      <alignment horizontal="right"/>
    </xf>
    <xf numFmtId="0" fontId="22" fillId="77" borderId="52" xfId="1557" applyFont="1" applyFill="1" applyBorder="1"/>
    <xf numFmtId="0" fontId="22" fillId="77" borderId="32" xfId="1557" applyFill="1" applyBorder="1"/>
    <xf numFmtId="0" fontId="22" fillId="77" borderId="9" xfId="1557" applyFill="1" applyBorder="1"/>
    <xf numFmtId="3" fontId="22" fillId="77" borderId="30" xfId="1557" applyNumberFormat="1" applyFont="1" applyFill="1" applyBorder="1"/>
    <xf numFmtId="4" fontId="22" fillId="77" borderId="30" xfId="1557" applyNumberFormat="1" applyFont="1" applyFill="1" applyBorder="1"/>
    <xf numFmtId="0" fontId="22" fillId="77" borderId="30" xfId="1557" applyFont="1" applyFill="1" applyBorder="1"/>
    <xf numFmtId="0" fontId="22" fillId="77" borderId="33" xfId="1557" applyFill="1" applyBorder="1"/>
    <xf numFmtId="0" fontId="22" fillId="77" borderId="28" xfId="1557" applyFill="1" applyBorder="1"/>
    <xf numFmtId="0" fontId="22" fillId="77" borderId="31" xfId="1557" applyFont="1" applyFill="1" applyBorder="1"/>
    <xf numFmtId="3" fontId="22" fillId="77" borderId="28" xfId="1557" applyNumberFormat="1" applyFont="1" applyFill="1" applyBorder="1"/>
    <xf numFmtId="4" fontId="22" fillId="77" borderId="28" xfId="1557" applyNumberFormat="1" applyFont="1" applyFill="1" applyBorder="1"/>
    <xf numFmtId="0" fontId="22" fillId="77" borderId="28" xfId="1557" applyFont="1" applyFill="1" applyBorder="1"/>
    <xf numFmtId="0" fontId="22" fillId="77" borderId="29" xfId="1557" applyFont="1" applyFill="1" applyBorder="1"/>
    <xf numFmtId="0" fontId="22" fillId="77" borderId="55" xfId="1557" applyFill="1" applyBorder="1"/>
    <xf numFmtId="3" fontId="22" fillId="72" borderId="17" xfId="1557" applyNumberFormat="1" applyFill="1" applyBorder="1"/>
    <xf numFmtId="0" fontId="22" fillId="5" borderId="55" xfId="1557" applyFill="1" applyBorder="1"/>
    <xf numFmtId="3" fontId="22" fillId="5" borderId="87" xfId="1557" applyNumberFormat="1" applyFont="1" applyFill="1" applyBorder="1"/>
    <xf numFmtId="4" fontId="22" fillId="5" borderId="87" xfId="1557" applyNumberFormat="1" applyFont="1" applyFill="1" applyBorder="1"/>
    <xf numFmtId="0" fontId="22" fillId="5" borderId="87" xfId="1557" applyFont="1" applyFill="1" applyBorder="1"/>
    <xf numFmtId="0" fontId="22" fillId="5" borderId="88" xfId="1557" applyFont="1" applyFill="1" applyBorder="1"/>
    <xf numFmtId="166" fontId="29" fillId="77" borderId="0" xfId="441" applyFont="1" applyFill="1"/>
    <xf numFmtId="166" fontId="0" fillId="5" borderId="0" xfId="441" applyFont="1" applyFill="1" applyBorder="1"/>
    <xf numFmtId="0" fontId="22" fillId="0" borderId="91" xfId="1557" applyFont="1" applyBorder="1"/>
    <xf numFmtId="0" fontId="22" fillId="77" borderId="29" xfId="1557" applyFill="1" applyBorder="1"/>
    <xf numFmtId="0" fontId="22" fillId="0" borderId="50" xfId="1557" applyBorder="1"/>
    <xf numFmtId="0" fontId="22" fillId="0" borderId="29" xfId="1557" applyBorder="1"/>
    <xf numFmtId="0" fontId="22" fillId="0" borderId="20" xfId="1557" applyBorder="1"/>
    <xf numFmtId="176" fontId="0" fillId="0" borderId="6" xfId="441" applyNumberFormat="1" applyFont="1" applyBorder="1"/>
    <xf numFmtId="176" fontId="0" fillId="0" borderId="11" xfId="441" applyNumberFormat="1" applyFont="1" applyFill="1" applyBorder="1"/>
    <xf numFmtId="176" fontId="0" fillId="5" borderId="62" xfId="441" applyNumberFormat="1" applyFont="1" applyFill="1" applyBorder="1"/>
    <xf numFmtId="176" fontId="22" fillId="5" borderId="61" xfId="441" applyNumberFormat="1" applyFont="1" applyFill="1" applyBorder="1"/>
    <xf numFmtId="176" fontId="0" fillId="77" borderId="14" xfId="441" applyNumberFormat="1" applyFont="1" applyFill="1" applyBorder="1"/>
    <xf numFmtId="176" fontId="0" fillId="0" borderId="61" xfId="441" applyNumberFormat="1" applyFont="1" applyBorder="1"/>
    <xf numFmtId="176" fontId="0" fillId="77" borderId="11" xfId="441" applyNumberFormat="1" applyFont="1" applyFill="1" applyBorder="1"/>
    <xf numFmtId="176" fontId="0" fillId="77" borderId="62" xfId="441" applyNumberFormat="1" applyFont="1" applyFill="1" applyBorder="1"/>
    <xf numFmtId="176" fontId="29" fillId="0" borderId="11" xfId="441" applyNumberFormat="1" applyFont="1" applyBorder="1"/>
    <xf numFmtId="176" fontId="29" fillId="77" borderId="14" xfId="441" applyNumberFormat="1" applyFont="1" applyFill="1" applyBorder="1"/>
    <xf numFmtId="176" fontId="0" fillId="77" borderId="93" xfId="441" applyNumberFormat="1" applyFont="1" applyFill="1" applyBorder="1"/>
    <xf numFmtId="176" fontId="22" fillId="77" borderId="93" xfId="441" applyNumberFormat="1" applyFont="1" applyFill="1" applyBorder="1"/>
    <xf numFmtId="176" fontId="29" fillId="0" borderId="14" xfId="441" applyNumberFormat="1" applyFont="1" applyBorder="1"/>
    <xf numFmtId="176" fontId="29" fillId="77" borderId="11" xfId="1557" applyNumberFormat="1" applyFont="1" applyFill="1" applyBorder="1"/>
    <xf numFmtId="176" fontId="29" fillId="77" borderId="14" xfId="1557" applyNumberFormat="1" applyFont="1" applyFill="1" applyBorder="1"/>
    <xf numFmtId="176" fontId="29" fillId="77" borderId="62" xfId="1557" applyNumberFormat="1" applyFont="1" applyFill="1" applyBorder="1"/>
    <xf numFmtId="176" fontId="0" fillId="0" borderId="16" xfId="441" applyNumberFormat="1" applyFont="1" applyBorder="1"/>
    <xf numFmtId="176" fontId="0" fillId="0" borderId="3" xfId="441" applyNumberFormat="1" applyFont="1" applyBorder="1"/>
    <xf numFmtId="176" fontId="0" fillId="0" borderId="63" xfId="441" applyNumberFormat="1" applyFont="1" applyBorder="1"/>
    <xf numFmtId="176" fontId="22" fillId="72" borderId="56" xfId="1557" applyNumberFormat="1" applyFill="1" applyBorder="1"/>
    <xf numFmtId="0" fontId="26" fillId="72" borderId="3" xfId="1557" applyFont="1" applyFill="1" applyBorder="1" applyAlignment="1">
      <alignment horizontal="center" vertical="center" wrapText="1"/>
    </xf>
    <xf numFmtId="3" fontId="22" fillId="72" borderId="14" xfId="1557" applyNumberFormat="1" applyFont="1" applyFill="1" applyBorder="1"/>
    <xf numFmtId="176" fontId="22" fillId="72" borderId="62" xfId="1557" applyNumberFormat="1" applyFill="1" applyBorder="1"/>
    <xf numFmtId="0" fontId="26" fillId="0" borderId="47" xfId="1557" applyFont="1" applyBorder="1" applyAlignment="1">
      <alignment horizontal="center" vertical="center" wrapText="1"/>
    </xf>
    <xf numFmtId="0" fontId="26" fillId="0" borderId="2" xfId="1557" applyFont="1" applyBorder="1" applyAlignment="1">
      <alignment horizontal="center" vertical="center" wrapText="1"/>
    </xf>
    <xf numFmtId="0" fontId="26" fillId="0" borderId="1" xfId="1557" applyFont="1" applyFill="1" applyBorder="1" applyAlignment="1">
      <alignment horizontal="center" vertical="center" wrapText="1"/>
    </xf>
    <xf numFmtId="0" fontId="26" fillId="0" borderId="3" xfId="1557" applyFont="1" applyFill="1" applyBorder="1" applyAlignment="1">
      <alignment horizontal="center" vertical="center" wrapText="1"/>
    </xf>
    <xf numFmtId="3" fontId="22" fillId="72" borderId="61" xfId="1557" applyNumberFormat="1" applyFont="1" applyFill="1" applyBorder="1"/>
    <xf numFmtId="3" fontId="22" fillId="72" borderId="11" xfId="1557" applyNumberFormat="1" applyFont="1" applyFill="1" applyBorder="1"/>
    <xf numFmtId="3" fontId="22" fillId="72" borderId="62" xfId="1557" applyNumberFormat="1" applyFont="1" applyFill="1" applyBorder="1"/>
    <xf numFmtId="0" fontId="22" fillId="77" borderId="36" xfId="1557" applyFill="1" applyBorder="1"/>
    <xf numFmtId="3" fontId="22" fillId="77" borderId="19" xfId="1557" applyNumberFormat="1" applyFont="1" applyFill="1" applyBorder="1"/>
    <xf numFmtId="4" fontId="22" fillId="77" borderId="19" xfId="1557" applyNumberFormat="1" applyFont="1" applyFill="1" applyBorder="1"/>
    <xf numFmtId="0" fontId="22" fillId="77" borderId="19" xfId="1557" applyFont="1" applyFill="1" applyBorder="1" applyAlignment="1">
      <alignment horizontal="center"/>
    </xf>
    <xf numFmtId="0" fontId="22" fillId="77" borderId="19" xfId="1557" applyFont="1" applyFill="1" applyBorder="1"/>
    <xf numFmtId="0" fontId="22" fillId="77" borderId="20" xfId="1557" applyFont="1" applyFill="1" applyBorder="1"/>
    <xf numFmtId="3" fontId="22" fillId="72" borderId="63" xfId="1557" applyNumberFormat="1" applyFont="1" applyFill="1" applyBorder="1"/>
    <xf numFmtId="176" fontId="0" fillId="77" borderId="63" xfId="441" applyNumberFormat="1" applyFont="1" applyFill="1" applyBorder="1"/>
    <xf numFmtId="176" fontId="22" fillId="5" borderId="16" xfId="441" applyNumberFormat="1" applyFont="1" applyFill="1" applyBorder="1"/>
    <xf numFmtId="0" fontId="0" fillId="77" borderId="36" xfId="1557" applyFont="1" applyFill="1" applyBorder="1"/>
    <xf numFmtId="3" fontId="22" fillId="0" borderId="84" xfId="1557" applyNumberFormat="1" applyFont="1" applyBorder="1"/>
    <xf numFmtId="4" fontId="22" fillId="0" borderId="84" xfId="1557" applyNumberFormat="1" applyFont="1" applyBorder="1"/>
    <xf numFmtId="0" fontId="22" fillId="0" borderId="84" xfId="1557" applyFont="1" applyBorder="1"/>
    <xf numFmtId="3" fontId="22" fillId="72" borderId="93" xfId="1557" applyNumberFormat="1" applyFont="1" applyFill="1" applyBorder="1"/>
    <xf numFmtId="0" fontId="0" fillId="5" borderId="36" xfId="1557" applyFont="1" applyFill="1" applyBorder="1"/>
    <xf numFmtId="3" fontId="22" fillId="5" borderId="19" xfId="1557" applyNumberFormat="1" applyFont="1" applyFill="1" applyBorder="1"/>
    <xf numFmtId="4" fontId="22" fillId="5" borderId="19" xfId="1557" applyNumberFormat="1" applyFont="1" applyFill="1" applyBorder="1"/>
    <xf numFmtId="0" fontId="22" fillId="5" borderId="19" xfId="1557" applyFont="1" applyFill="1" applyBorder="1"/>
    <xf numFmtId="0" fontId="22" fillId="5" borderId="20" xfId="1557" applyFont="1" applyFill="1" applyBorder="1"/>
    <xf numFmtId="176" fontId="0" fillId="5" borderId="63" xfId="441" applyNumberFormat="1" applyFont="1" applyFill="1" applyBorder="1"/>
    <xf numFmtId="176" fontId="29" fillId="0" borderId="61" xfId="441" applyNumberFormat="1" applyFont="1" applyBorder="1"/>
    <xf numFmtId="0" fontId="22" fillId="5" borderId="87" xfId="1557" applyFont="1" applyFill="1" applyBorder="1" applyAlignment="1">
      <alignment horizontal="right"/>
    </xf>
    <xf numFmtId="176" fontId="0" fillId="5" borderId="6" xfId="441" applyNumberFormat="1" applyFont="1" applyFill="1" applyBorder="1"/>
    <xf numFmtId="0" fontId="26" fillId="77" borderId="9" xfId="1557" applyFont="1" applyFill="1" applyBorder="1"/>
    <xf numFmtId="0" fontId="22" fillId="77" borderId="30" xfId="1557" applyFont="1" applyFill="1" applyBorder="1" applyAlignment="1">
      <alignment horizontal="right"/>
    </xf>
    <xf numFmtId="176" fontId="29" fillId="77" borderId="11" xfId="441" applyNumberFormat="1" applyFont="1" applyFill="1" applyBorder="1"/>
    <xf numFmtId="0" fontId="22" fillId="77" borderId="28" xfId="1557" applyFont="1" applyFill="1" applyBorder="1" applyAlignment="1">
      <alignment horizontal="right"/>
    </xf>
    <xf numFmtId="0" fontId="22" fillId="77" borderId="49" xfId="1557" applyFont="1" applyFill="1" applyBorder="1" applyAlignment="1">
      <alignment horizontal="right"/>
    </xf>
    <xf numFmtId="176" fontId="29" fillId="77" borderId="3" xfId="441" applyNumberFormat="1" applyFont="1" applyFill="1" applyBorder="1"/>
    <xf numFmtId="177" fontId="0" fillId="72" borderId="11" xfId="441" applyNumberFormat="1" applyFont="1" applyFill="1" applyBorder="1"/>
    <xf numFmtId="177" fontId="0" fillId="72" borderId="14" xfId="441" applyNumberFormat="1" applyFont="1" applyFill="1" applyBorder="1"/>
    <xf numFmtId="177" fontId="0" fillId="72" borderId="62" xfId="441" applyNumberFormat="1" applyFont="1" applyFill="1" applyBorder="1"/>
    <xf numFmtId="176" fontId="29" fillId="0" borderId="93" xfId="441" applyNumberFormat="1" applyFont="1" applyBorder="1"/>
    <xf numFmtId="176" fontId="29" fillId="77" borderId="62" xfId="441" applyNumberFormat="1" applyFont="1" applyFill="1" applyBorder="1"/>
    <xf numFmtId="176" fontId="22" fillId="72" borderId="11" xfId="1557" applyNumberFormat="1" applyFill="1" applyBorder="1"/>
    <xf numFmtId="0" fontId="22" fillId="0" borderId="60" xfId="1557" applyFill="1" applyBorder="1"/>
    <xf numFmtId="0" fontId="22" fillId="76" borderId="0" xfId="1557" applyFill="1"/>
    <xf numFmtId="0" fontId="26" fillId="76" borderId="47" xfId="1557" applyFont="1" applyFill="1" applyBorder="1" applyAlignment="1">
      <alignment horizontal="center" vertical="center" wrapText="1"/>
    </xf>
    <xf numFmtId="4" fontId="22" fillId="76" borderId="30" xfId="1557" applyNumberFormat="1" applyFont="1" applyFill="1" applyBorder="1"/>
    <xf numFmtId="4" fontId="22" fillId="76" borderId="25" xfId="1557" applyNumberFormat="1" applyFont="1" applyFill="1" applyBorder="1"/>
    <xf numFmtId="4" fontId="22" fillId="76" borderId="28" xfId="1557" applyNumberFormat="1" applyFont="1" applyFill="1" applyBorder="1"/>
    <xf numFmtId="4" fontId="22" fillId="76" borderId="19" xfId="1557" applyNumberFormat="1" applyFont="1" applyFill="1" applyBorder="1"/>
    <xf numFmtId="4" fontId="22" fillId="76" borderId="22" xfId="1557" applyNumberFormat="1" applyFont="1" applyFill="1" applyBorder="1"/>
    <xf numFmtId="4" fontId="22" fillId="76" borderId="45" xfId="1557" applyNumberFormat="1" applyFont="1" applyFill="1" applyBorder="1"/>
    <xf numFmtId="0" fontId="10" fillId="0" borderId="0" xfId="1564"/>
    <xf numFmtId="0" fontId="96" fillId="0" borderId="9" xfId="1564" applyFont="1" applyBorder="1"/>
    <xf numFmtId="0" fontId="96" fillId="0" borderId="0" xfId="1564" applyFont="1"/>
    <xf numFmtId="0" fontId="96" fillId="0" borderId="33" xfId="1564" applyFont="1" applyBorder="1"/>
    <xf numFmtId="0" fontId="96" fillId="0" borderId="0" xfId="1564" applyFont="1" applyBorder="1"/>
    <xf numFmtId="0" fontId="96" fillId="0" borderId="0" xfId="1564" applyFont="1" applyBorder="1" applyAlignment="1">
      <alignment horizontal="center"/>
    </xf>
    <xf numFmtId="0" fontId="10" fillId="78" borderId="33" xfId="1564" applyFill="1" applyBorder="1" applyAlignment="1">
      <alignment horizontal="center" vertical="center"/>
    </xf>
    <xf numFmtId="0" fontId="10" fillId="79" borderId="28" xfId="1564" applyFill="1" applyBorder="1" applyAlignment="1">
      <alignment horizontal="center" vertical="center"/>
    </xf>
    <xf numFmtId="0" fontId="10" fillId="78" borderId="28" xfId="1564" applyFill="1" applyBorder="1" applyAlignment="1">
      <alignment horizontal="center" vertical="center"/>
    </xf>
    <xf numFmtId="0" fontId="10" fillId="79" borderId="35" xfId="1564" applyFill="1" applyBorder="1" applyAlignment="1">
      <alignment horizontal="center" vertical="center"/>
    </xf>
    <xf numFmtId="0" fontId="10" fillId="0" borderId="9" xfId="1564" applyBorder="1"/>
    <xf numFmtId="166" fontId="10" fillId="0" borderId="31" xfId="1564" applyNumberFormat="1" applyBorder="1"/>
    <xf numFmtId="0" fontId="10" fillId="78" borderId="40" xfId="1564" applyFill="1" applyBorder="1"/>
    <xf numFmtId="0" fontId="10" fillId="79" borderId="22" xfId="1564" applyFill="1" applyBorder="1"/>
    <xf numFmtId="166" fontId="0" fillId="78" borderId="22" xfId="1565" applyFont="1" applyFill="1" applyBorder="1"/>
    <xf numFmtId="166" fontId="0" fillId="79" borderId="22" xfId="1565" applyFont="1" applyFill="1" applyBorder="1"/>
    <xf numFmtId="166" fontId="10" fillId="0" borderId="39" xfId="1564" applyNumberFormat="1" applyBorder="1"/>
    <xf numFmtId="10" fontId="0" fillId="0" borderId="39" xfId="1566" applyNumberFormat="1" applyFont="1" applyBorder="1"/>
    <xf numFmtId="0" fontId="10" fillId="0" borderId="32" xfId="1564" applyBorder="1"/>
    <xf numFmtId="166" fontId="10" fillId="0" borderId="26" xfId="1564" applyNumberFormat="1" applyBorder="1"/>
    <xf numFmtId="0" fontId="10" fillId="78" borderId="32" xfId="1564" applyFill="1" applyBorder="1"/>
    <xf numFmtId="0" fontId="10" fillId="79" borderId="25" xfId="1564" applyFill="1" applyBorder="1"/>
    <xf numFmtId="0" fontId="10" fillId="78" borderId="25" xfId="1564" applyFill="1" applyBorder="1"/>
    <xf numFmtId="166" fontId="0" fillId="78" borderId="25" xfId="1565" applyFont="1" applyFill="1" applyBorder="1"/>
    <xf numFmtId="166" fontId="0" fillId="79" borderId="25" xfId="1565" applyFont="1" applyFill="1" applyBorder="1"/>
    <xf numFmtId="166" fontId="10" fillId="0" borderId="13" xfId="1564" applyNumberFormat="1" applyBorder="1"/>
    <xf numFmtId="10" fontId="0" fillId="0" borderId="13" xfId="1566" applyNumberFormat="1" applyFont="1" applyBorder="1"/>
    <xf numFmtId="166" fontId="0" fillId="79" borderId="42" xfId="1565" applyFont="1" applyFill="1" applyBorder="1"/>
    <xf numFmtId="0" fontId="10" fillId="0" borderId="33" xfId="1564" applyBorder="1"/>
    <xf numFmtId="166" fontId="10" fillId="0" borderId="29" xfId="1564" applyNumberFormat="1" applyBorder="1"/>
    <xf numFmtId="0" fontId="10" fillId="78" borderId="33" xfId="1564" applyFill="1" applyBorder="1"/>
    <xf numFmtId="0" fontId="10" fillId="79" borderId="28" xfId="1564" applyFill="1" applyBorder="1"/>
    <xf numFmtId="0" fontId="10" fillId="78" borderId="28" xfId="1564" applyFill="1" applyBorder="1"/>
    <xf numFmtId="166" fontId="0" fillId="78" borderId="28" xfId="1565" applyFont="1" applyFill="1" applyBorder="1"/>
    <xf numFmtId="166" fontId="0" fillId="79" borderId="35" xfId="1565" applyFont="1" applyFill="1" applyBorder="1"/>
    <xf numFmtId="166" fontId="10" fillId="0" borderId="15" xfId="1564" applyNumberFormat="1" applyBorder="1"/>
    <xf numFmtId="10" fontId="0" fillId="0" borderId="15" xfId="1566" applyNumberFormat="1" applyFont="1" applyBorder="1"/>
    <xf numFmtId="10" fontId="0" fillId="0" borderId="0" xfId="1566" applyNumberFormat="1" applyFont="1"/>
    <xf numFmtId="178" fontId="10" fillId="0" borderId="39" xfId="1564" applyNumberFormat="1" applyBorder="1"/>
    <xf numFmtId="178" fontId="10" fillId="0" borderId="56" xfId="1564" applyNumberFormat="1" applyBorder="1"/>
    <xf numFmtId="166" fontId="10" fillId="18" borderId="26" xfId="1564" applyNumberFormat="1" applyFill="1" applyBorder="1"/>
    <xf numFmtId="0" fontId="10" fillId="18" borderId="32" xfId="1564" applyFill="1" applyBorder="1"/>
    <xf numFmtId="0" fontId="10" fillId="18" borderId="25" xfId="1564" applyFill="1" applyBorder="1"/>
    <xf numFmtId="166" fontId="0" fillId="18" borderId="25" xfId="1565" applyFont="1" applyFill="1" applyBorder="1"/>
    <xf numFmtId="166" fontId="10" fillId="18" borderId="13" xfId="1564" applyNumberFormat="1" applyFill="1" applyBorder="1"/>
    <xf numFmtId="178" fontId="10" fillId="18" borderId="39" xfId="1564" applyNumberFormat="1" applyFill="1" applyBorder="1"/>
    <xf numFmtId="10" fontId="0" fillId="18" borderId="13" xfId="1566" applyNumberFormat="1" applyFont="1" applyFill="1" applyBorder="1"/>
    <xf numFmtId="0" fontId="10" fillId="18" borderId="0" xfId="1564" applyFill="1"/>
    <xf numFmtId="0" fontId="10" fillId="5" borderId="0" xfId="1564" applyFill="1"/>
    <xf numFmtId="0" fontId="96" fillId="5" borderId="0" xfId="1564" applyFont="1" applyFill="1"/>
    <xf numFmtId="178" fontId="10" fillId="0" borderId="0" xfId="1564" applyNumberFormat="1"/>
    <xf numFmtId="166" fontId="10" fillId="0" borderId="0" xfId="1564" applyNumberFormat="1"/>
    <xf numFmtId="0" fontId="9" fillId="0" borderId="0" xfId="1567"/>
    <xf numFmtId="0" fontId="9" fillId="5" borderId="0" xfId="1567" applyFill="1"/>
    <xf numFmtId="0" fontId="9" fillId="0" borderId="0" xfId="1567" applyBorder="1"/>
    <xf numFmtId="166" fontId="9" fillId="0" borderId="0" xfId="1567" applyNumberFormat="1" applyBorder="1"/>
    <xf numFmtId="0" fontId="97" fillId="0" borderId="0" xfId="1567" applyFont="1"/>
    <xf numFmtId="0" fontId="101" fillId="0" borderId="0" xfId="1567" applyFont="1" applyAlignment="1" applyProtection="1"/>
    <xf numFmtId="166" fontId="9" fillId="0" borderId="0" xfId="1567" applyNumberFormat="1"/>
    <xf numFmtId="0" fontId="102" fillId="0" borderId="0" xfId="1567" applyFont="1" applyAlignment="1" applyProtection="1"/>
    <xf numFmtId="175" fontId="9" fillId="0" borderId="0" xfId="1567" applyNumberFormat="1"/>
    <xf numFmtId="0" fontId="94" fillId="0" borderId="0" xfId="1567" applyFont="1"/>
    <xf numFmtId="0" fontId="103" fillId="0" borderId="0" xfId="1567" applyFont="1" applyFill="1"/>
    <xf numFmtId="175" fontId="104" fillId="5" borderId="0" xfId="1567" applyNumberFormat="1" applyFont="1" applyFill="1"/>
    <xf numFmtId="166" fontId="96" fillId="73" borderId="25" xfId="1567" applyNumberFormat="1" applyFont="1" applyFill="1" applyBorder="1" applyAlignment="1">
      <alignment vertical="center"/>
    </xf>
    <xf numFmtId="0" fontId="96" fillId="73" borderId="25" xfId="1567" applyFont="1" applyFill="1" applyBorder="1" applyAlignment="1">
      <alignment vertical="center"/>
    </xf>
    <xf numFmtId="175" fontId="96" fillId="73" borderId="25" xfId="1567" applyNumberFormat="1" applyFont="1" applyFill="1" applyBorder="1" applyAlignment="1">
      <alignment vertical="center"/>
    </xf>
    <xf numFmtId="0" fontId="105" fillId="0" borderId="0" xfId="1567" applyFont="1" applyAlignment="1" applyProtection="1"/>
    <xf numFmtId="0" fontId="9" fillId="0" borderId="0" xfId="1567" applyAlignment="1">
      <alignment wrapText="1"/>
    </xf>
    <xf numFmtId="14" fontId="9" fillId="0" borderId="0" xfId="1567" applyNumberFormat="1"/>
    <xf numFmtId="0" fontId="97" fillId="0" borderId="0" xfId="1567" applyFont="1" applyFill="1" applyBorder="1"/>
    <xf numFmtId="0" fontId="106" fillId="74" borderId="25" xfId="1567" applyFont="1" applyFill="1" applyBorder="1" applyAlignment="1">
      <alignment horizontal="center" vertical="center"/>
    </xf>
    <xf numFmtId="0" fontId="9" fillId="0" borderId="0" xfId="1567" applyAlignment="1">
      <alignment horizontal="center" vertical="center" wrapText="1"/>
    </xf>
    <xf numFmtId="0" fontId="108" fillId="75" borderId="25" xfId="1567" applyFont="1" applyFill="1" applyBorder="1" applyAlignment="1">
      <alignment wrapText="1"/>
    </xf>
    <xf numFmtId="0" fontId="108" fillId="75" borderId="25" xfId="1567" applyFont="1" applyFill="1" applyBorder="1" applyAlignment="1">
      <alignment horizontal="center" wrapText="1"/>
    </xf>
    <xf numFmtId="166" fontId="108" fillId="75" borderId="25" xfId="1567" applyNumberFormat="1" applyFont="1" applyFill="1" applyBorder="1" applyAlignment="1">
      <alignment wrapText="1"/>
    </xf>
    <xf numFmtId="0" fontId="9" fillId="5" borderId="25" xfId="1567" applyFill="1" applyBorder="1"/>
    <xf numFmtId="0" fontId="9" fillId="5" borderId="25" xfId="1567" applyFill="1" applyBorder="1" applyAlignment="1">
      <alignment horizontal="center"/>
    </xf>
    <xf numFmtId="9" fontId="0" fillId="5" borderId="25" xfId="1569" applyFont="1" applyFill="1" applyBorder="1" applyAlignment="1">
      <alignment horizontal="center"/>
    </xf>
    <xf numFmtId="0" fontId="108" fillId="73" borderId="25" xfId="1567" applyFont="1" applyFill="1" applyBorder="1" applyAlignment="1">
      <alignment wrapText="1"/>
    </xf>
    <xf numFmtId="0" fontId="9" fillId="73" borderId="25" xfId="1567" applyFill="1" applyBorder="1" applyAlignment="1">
      <alignment horizontal="center"/>
    </xf>
    <xf numFmtId="166" fontId="108" fillId="73" borderId="25" xfId="1567" applyNumberFormat="1" applyFont="1" applyFill="1" applyBorder="1" applyAlignment="1">
      <alignment wrapText="1"/>
    </xf>
    <xf numFmtId="0" fontId="9" fillId="72" borderId="25" xfId="1567" applyFill="1" applyBorder="1"/>
    <xf numFmtId="0" fontId="9" fillId="72" borderId="25" xfId="1567" applyFill="1" applyBorder="1" applyAlignment="1">
      <alignment horizontal="center"/>
    </xf>
    <xf numFmtId="0" fontId="9" fillId="73" borderId="25" xfId="1567" applyFill="1" applyBorder="1"/>
    <xf numFmtId="9" fontId="0" fillId="5" borderId="24" xfId="1569" applyFont="1" applyFill="1" applyBorder="1" applyAlignment="1">
      <alignment horizontal="center"/>
    </xf>
    <xf numFmtId="0" fontId="108" fillId="73" borderId="22" xfId="1567" applyFont="1" applyFill="1" applyBorder="1" applyAlignment="1">
      <alignment wrapText="1"/>
    </xf>
    <xf numFmtId="0" fontId="9" fillId="73" borderId="22" xfId="1567" applyFill="1" applyBorder="1" applyAlignment="1">
      <alignment horizontal="center"/>
    </xf>
    <xf numFmtId="0" fontId="9" fillId="73" borderId="22" xfId="1567" applyFill="1" applyBorder="1"/>
    <xf numFmtId="0" fontId="108" fillId="76" borderId="25" xfId="1567" applyFont="1" applyFill="1" applyBorder="1" applyAlignment="1">
      <alignment wrapText="1"/>
    </xf>
    <xf numFmtId="0" fontId="9" fillId="76" borderId="25" xfId="1567" applyFill="1" applyBorder="1" applyAlignment="1">
      <alignment horizontal="center"/>
    </xf>
    <xf numFmtId="0" fontId="9" fillId="76" borderId="25" xfId="1567" applyFill="1" applyBorder="1"/>
    <xf numFmtId="0" fontId="108" fillId="72" borderId="25" xfId="1567" applyFont="1" applyFill="1" applyBorder="1" applyAlignment="1">
      <alignment wrapText="1"/>
    </xf>
    <xf numFmtId="0" fontId="106" fillId="74" borderId="25" xfId="1567" applyFont="1" applyFill="1" applyBorder="1" applyAlignment="1">
      <alignment horizontal="center" vertical="center" wrapText="1"/>
    </xf>
    <xf numFmtId="0" fontId="106" fillId="0" borderId="22" xfId="1567" applyFont="1" applyBorder="1" applyAlignment="1">
      <alignment horizontal="center" vertical="center" wrapText="1"/>
    </xf>
    <xf numFmtId="0" fontId="106" fillId="0" borderId="25" xfId="1567" applyFont="1" applyBorder="1" applyAlignment="1">
      <alignment horizontal="center" vertical="center" wrapText="1"/>
    </xf>
    <xf numFmtId="0" fontId="108" fillId="75" borderId="25" xfId="1567" applyFont="1" applyFill="1" applyBorder="1" applyAlignment="1">
      <alignment horizontal="left" vertical="center" wrapText="1"/>
    </xf>
    <xf numFmtId="0" fontId="109" fillId="0" borderId="99" xfId="1574" applyFont="1" applyBorder="1" applyAlignment="1">
      <alignment vertical="top" wrapText="1"/>
    </xf>
    <xf numFmtId="0" fontId="110" fillId="81" borderId="99" xfId="1574" applyFont="1" applyFill="1" applyBorder="1" applyAlignment="1">
      <alignment vertical="top" wrapText="1"/>
    </xf>
    <xf numFmtId="0" fontId="110" fillId="5" borderId="99" xfId="1574" applyFont="1" applyFill="1" applyBorder="1" applyAlignment="1">
      <alignment vertical="top" wrapText="1"/>
    </xf>
    <xf numFmtId="0" fontId="109" fillId="5" borderId="99" xfId="1574" applyFont="1" applyFill="1" applyBorder="1" applyAlignment="1">
      <alignment vertical="top" wrapText="1"/>
    </xf>
    <xf numFmtId="0" fontId="110" fillId="0" borderId="99" xfId="1574" applyFont="1" applyBorder="1" applyAlignment="1">
      <alignment horizontal="right" vertical="top"/>
    </xf>
    <xf numFmtId="3" fontId="109" fillId="0" borderId="99" xfId="2" applyNumberFormat="1" applyFont="1" applyFill="1" applyBorder="1" applyAlignment="1">
      <alignment vertical="top" wrapText="1"/>
    </xf>
    <xf numFmtId="0" fontId="109" fillId="0" borderId="99" xfId="1574" applyFont="1" applyBorder="1"/>
    <xf numFmtId="0" fontId="109" fillId="0" borderId="99" xfId="1574" applyFont="1" applyBorder="1" applyAlignment="1">
      <alignment horizontal="left" vertical="top" wrapText="1"/>
    </xf>
    <xf numFmtId="0" fontId="109" fillId="0" borderId="99" xfId="1574" applyFont="1" applyFill="1" applyBorder="1" applyAlignment="1">
      <alignment horizontal="left" vertical="top" wrapText="1"/>
    </xf>
    <xf numFmtId="0" fontId="113" fillId="0" borderId="99" xfId="1574" applyFont="1" applyFill="1" applyBorder="1" applyAlignment="1">
      <alignment horizontal="left" vertical="top" wrapText="1"/>
    </xf>
    <xf numFmtId="0" fontId="113" fillId="0" borderId="99" xfId="1574" applyFont="1" applyBorder="1" applyAlignment="1">
      <alignment horizontal="left" vertical="top" wrapText="1"/>
    </xf>
    <xf numFmtId="0" fontId="110" fillId="0" borderId="99" xfId="1574" applyFont="1" applyBorder="1" applyAlignment="1">
      <alignment horizontal="left" vertical="top"/>
    </xf>
    <xf numFmtId="176" fontId="26" fillId="0" borderId="39" xfId="5" applyNumberFormat="1" applyFont="1" applyFill="1" applyBorder="1" applyAlignment="1"/>
    <xf numFmtId="0" fontId="5" fillId="5" borderId="25" xfId="1567" applyFont="1" applyFill="1" applyBorder="1" applyAlignment="1">
      <alignment wrapText="1"/>
    </xf>
    <xf numFmtId="0" fontId="5" fillId="5" borderId="25" xfId="1567" applyFont="1" applyFill="1" applyBorder="1"/>
    <xf numFmtId="176" fontId="108" fillId="75" borderId="25" xfId="1567" applyNumberFormat="1" applyFont="1" applyFill="1" applyBorder="1" applyAlignment="1">
      <alignment wrapText="1"/>
    </xf>
    <xf numFmtId="0" fontId="5" fillId="5" borderId="99" xfId="1567" applyFont="1" applyFill="1" applyBorder="1"/>
    <xf numFmtId="0" fontId="9" fillId="5" borderId="99" xfId="1567" applyFill="1" applyBorder="1" applyAlignment="1">
      <alignment horizontal="center"/>
    </xf>
    <xf numFmtId="0" fontId="9" fillId="5" borderId="99" xfId="1567" applyFill="1" applyBorder="1"/>
    <xf numFmtId="9" fontId="9" fillId="5" borderId="25" xfId="6" applyFont="1" applyFill="1" applyBorder="1"/>
    <xf numFmtId="0" fontId="109" fillId="0" borderId="99" xfId="1570" applyFont="1" applyBorder="1" applyAlignment="1">
      <alignment horizontal="left" vertical="top" wrapText="1"/>
    </xf>
    <xf numFmtId="179" fontId="109" fillId="0" borderId="99" xfId="2" applyNumberFormat="1" applyFont="1" applyFill="1" applyBorder="1" applyAlignment="1">
      <alignment vertical="top" wrapText="1"/>
    </xf>
    <xf numFmtId="179" fontId="109" fillId="6" borderId="99" xfId="2" applyNumberFormat="1" applyFont="1" applyFill="1" applyBorder="1" applyAlignment="1">
      <alignment vertical="top" wrapText="1"/>
    </xf>
    <xf numFmtId="1" fontId="0" fillId="5" borderId="0" xfId="0" applyNumberFormat="1" applyFont="1" applyFill="1" applyBorder="1" applyAlignment="1"/>
    <xf numFmtId="176" fontId="0" fillId="0" borderId="0" xfId="0" applyNumberFormat="1" applyFont="1" applyFill="1" applyBorder="1" applyAlignment="1"/>
    <xf numFmtId="166" fontId="0" fillId="0" borderId="0" xfId="5" applyFont="1" applyFill="1" applyBorder="1" applyAlignment="1"/>
    <xf numFmtId="1" fontId="0" fillId="0" borderId="0" xfId="6" applyNumberFormat="1" applyFont="1" applyFill="1" applyBorder="1" applyAlignment="1"/>
    <xf numFmtId="164" fontId="0" fillId="0" borderId="0" xfId="0" applyNumberFormat="1" applyFont="1" applyFill="1" applyBorder="1" applyAlignment="1"/>
    <xf numFmtId="164" fontId="9" fillId="5" borderId="0" xfId="1567" applyNumberFormat="1" applyFill="1"/>
    <xf numFmtId="0" fontId="106" fillId="0" borderId="24" xfId="1567" applyFont="1" applyBorder="1" applyAlignment="1">
      <alignment vertical="center" wrapText="1"/>
    </xf>
    <xf numFmtId="0" fontId="106" fillId="0" borderId="99" xfId="1567" applyFont="1" applyBorder="1" applyAlignment="1">
      <alignment horizontal="center" vertical="center" wrapText="1"/>
    </xf>
    <xf numFmtId="0" fontId="9" fillId="0" borderId="99" xfId="1567" applyBorder="1" applyAlignment="1">
      <alignment horizontal="center" vertical="center" wrapText="1"/>
    </xf>
    <xf numFmtId="3" fontId="109" fillId="0" borderId="0" xfId="1577" applyNumberFormat="1" applyFont="1" applyBorder="1" applyAlignment="1">
      <alignment wrapText="1"/>
    </xf>
    <xf numFmtId="0" fontId="109" fillId="0" borderId="0" xfId="1577" applyFont="1"/>
    <xf numFmtId="3" fontId="109" fillId="0" borderId="99" xfId="1577" applyNumberFormat="1" applyFont="1" applyBorder="1" applyAlignment="1">
      <alignment vertical="top"/>
    </xf>
    <xf numFmtId="3" fontId="109" fillId="5" borderId="99" xfId="1577" applyNumberFormat="1" applyFont="1" applyFill="1" applyBorder="1" applyAlignment="1">
      <alignment vertical="top"/>
    </xf>
    <xf numFmtId="3" fontId="110" fillId="80" borderId="99" xfId="1577" applyNumberFormat="1" applyFont="1" applyFill="1" applyBorder="1" applyAlignment="1">
      <alignment horizontal="left" vertical="top" wrapText="1"/>
    </xf>
    <xf numFmtId="0" fontId="110" fillId="81" borderId="99" xfId="1577" applyFont="1" applyFill="1" applyBorder="1" applyAlignment="1">
      <alignment vertical="top" wrapText="1"/>
    </xf>
    <xf numFmtId="0" fontId="110" fillId="0" borderId="99" xfId="1577" applyFont="1" applyBorder="1" applyAlignment="1">
      <alignment horizontal="right" vertical="top"/>
    </xf>
    <xf numFmtId="0" fontId="110" fillId="81" borderId="99" xfId="1577" applyFont="1" applyFill="1" applyBorder="1" applyAlignment="1">
      <alignment horizontal="right" vertical="top" wrapText="1"/>
    </xf>
    <xf numFmtId="0" fontId="109" fillId="0" borderId="99" xfId="1577" applyFont="1" applyBorder="1" applyAlignment="1">
      <alignment horizontal="left" vertical="top" wrapText="1"/>
    </xf>
    <xf numFmtId="0" fontId="109" fillId="0" borderId="0" xfId="1577" applyFont="1" applyAlignment="1">
      <alignment wrapText="1"/>
    </xf>
    <xf numFmtId="0" fontId="109" fillId="0" borderId="0" xfId="1577" applyFont="1" applyAlignment="1">
      <alignment horizontal="right" vertical="top"/>
    </xf>
    <xf numFmtId="0" fontId="109" fillId="0" borderId="0" xfId="1577" applyFont="1" applyAlignment="1">
      <alignment vertical="top"/>
    </xf>
    <xf numFmtId="3" fontId="110" fillId="80" borderId="99" xfId="1577" applyNumberFormat="1" applyFont="1" applyFill="1" applyBorder="1" applyAlignment="1">
      <alignment vertical="top"/>
    </xf>
    <xf numFmtId="0" fontId="110" fillId="0" borderId="99" xfId="1577" applyFont="1" applyBorder="1" applyAlignment="1">
      <alignment vertical="top"/>
    </xf>
    <xf numFmtId="0" fontId="109" fillId="0" borderId="99" xfId="1577" applyFont="1" applyBorder="1" applyAlignment="1">
      <alignment vertical="top"/>
    </xf>
    <xf numFmtId="0" fontId="109" fillId="0" borderId="0" xfId="1577" applyFont="1" applyBorder="1" applyAlignment="1">
      <alignment vertical="top"/>
    </xf>
    <xf numFmtId="0" fontId="109" fillId="0" borderId="0" xfId="1577" applyFont="1" applyAlignment="1">
      <alignment horizontal="right"/>
    </xf>
    <xf numFmtId="0" fontId="118" fillId="4" borderId="0" xfId="1577" applyFont="1" applyFill="1" applyAlignment="1">
      <alignment horizontal="center" vertical="top" wrapText="1"/>
    </xf>
    <xf numFmtId="0" fontId="120" fillId="5" borderId="99" xfId="1570" applyFont="1" applyFill="1" applyBorder="1" applyAlignment="1">
      <alignment vertical="top" wrapText="1"/>
    </xf>
    <xf numFmtId="0" fontId="120" fillId="5" borderId="99" xfId="1574" applyFont="1" applyFill="1" applyBorder="1" applyAlignment="1">
      <alignment vertical="top" wrapText="1"/>
    </xf>
    <xf numFmtId="0" fontId="120" fillId="0" borderId="99" xfId="1574" applyFont="1" applyBorder="1" applyAlignment="1">
      <alignment vertical="top" wrapText="1"/>
    </xf>
    <xf numFmtId="0" fontId="121" fillId="0" borderId="99" xfId="1574" applyFont="1" applyFill="1" applyBorder="1" applyAlignment="1">
      <alignment vertical="top" wrapText="1"/>
    </xf>
    <xf numFmtId="3" fontId="109" fillId="5" borderId="99" xfId="1577" applyNumberFormat="1" applyFont="1" applyFill="1" applyBorder="1" applyAlignment="1">
      <alignment horizontal="right" vertical="top" wrapText="1"/>
    </xf>
    <xf numFmtId="0" fontId="109" fillId="5" borderId="0" xfId="1577" applyFont="1" applyFill="1"/>
    <xf numFmtId="3" fontId="109" fillId="5" borderId="0" xfId="1577" applyNumberFormat="1" applyFont="1" applyFill="1" applyBorder="1" applyAlignment="1">
      <alignment wrapText="1"/>
    </xf>
    <xf numFmtId="3" fontId="109" fillId="5" borderId="99" xfId="1577" applyNumberFormat="1" applyFont="1" applyFill="1" applyBorder="1" applyAlignment="1">
      <alignment wrapText="1"/>
    </xf>
    <xf numFmtId="3" fontId="109" fillId="81" borderId="99" xfId="1577" applyNumberFormat="1" applyFont="1" applyFill="1" applyBorder="1" applyAlignment="1">
      <alignment vertical="top"/>
    </xf>
    <xf numFmtId="3" fontId="109" fillId="81" borderId="99" xfId="1577" applyNumberFormat="1" applyFont="1" applyFill="1" applyBorder="1" applyAlignment="1">
      <alignment horizontal="right" vertical="top" wrapText="1"/>
    </xf>
    <xf numFmtId="0" fontId="109" fillId="5" borderId="0" xfId="1577" applyFont="1" applyFill="1" applyAlignment="1">
      <alignment wrapText="1"/>
    </xf>
    <xf numFmtId="0" fontId="121" fillId="0" borderId="99" xfId="1574" applyFont="1" applyBorder="1" applyAlignment="1">
      <alignment vertical="top" wrapText="1"/>
    </xf>
    <xf numFmtId="0" fontId="117" fillId="0" borderId="99" xfId="1574" applyFont="1" applyBorder="1" applyAlignment="1">
      <alignment horizontal="right" vertical="top"/>
    </xf>
    <xf numFmtId="0" fontId="113" fillId="0" borderId="99" xfId="1570" applyFont="1" applyBorder="1" applyAlignment="1">
      <alignment horizontal="left" vertical="top" wrapText="1"/>
    </xf>
    <xf numFmtId="0" fontId="113" fillId="0" borderId="99" xfId="1570" applyFont="1" applyBorder="1" applyAlignment="1">
      <alignment wrapText="1"/>
    </xf>
    <xf numFmtId="0" fontId="113" fillId="0" borderId="99" xfId="1570" applyFont="1" applyBorder="1" applyAlignment="1">
      <alignment vertical="top" wrapText="1"/>
    </xf>
    <xf numFmtId="3" fontId="109" fillId="5" borderId="95" xfId="1577" applyNumberFormat="1" applyFont="1" applyFill="1" applyBorder="1" applyAlignment="1">
      <alignment vertical="top"/>
    </xf>
    <xf numFmtId="0" fontId="110" fillId="0" borderId="95" xfId="1574" applyFont="1" applyBorder="1" applyAlignment="1">
      <alignment horizontal="left" vertical="top"/>
    </xf>
    <xf numFmtId="0" fontId="113" fillId="0" borderId="95" xfId="1570" applyFont="1" applyBorder="1" applyAlignment="1">
      <alignment wrapText="1"/>
    </xf>
    <xf numFmtId="3" fontId="109" fillId="5" borderId="98" xfId="1577" applyNumberFormat="1" applyFont="1" applyFill="1" applyBorder="1" applyAlignment="1">
      <alignment vertical="top"/>
    </xf>
    <xf numFmtId="3" fontId="109" fillId="5" borderId="96" xfId="1577" applyNumberFormat="1" applyFont="1" applyFill="1" applyBorder="1" applyAlignment="1">
      <alignment vertical="top"/>
    </xf>
    <xf numFmtId="3" fontId="109" fillId="0" borderId="99" xfId="1577" applyNumberFormat="1" applyFont="1" applyBorder="1" applyAlignment="1">
      <alignment wrapText="1"/>
    </xf>
    <xf numFmtId="179" fontId="109" fillId="5" borderId="99" xfId="1578" applyNumberFormat="1" applyFont="1" applyFill="1" applyBorder="1" applyAlignment="1">
      <alignment vertical="top" wrapText="1"/>
    </xf>
    <xf numFmtId="179" fontId="109" fillId="0" borderId="99" xfId="1578" applyNumberFormat="1" applyFont="1" applyFill="1" applyBorder="1" applyAlignment="1">
      <alignment vertical="top" wrapText="1"/>
    </xf>
    <xf numFmtId="179" fontId="109" fillId="5" borderId="99" xfId="1578" applyNumberFormat="1" applyFont="1" applyFill="1" applyBorder="1" applyAlignment="1">
      <alignment horizontal="right" vertical="top" wrapText="1"/>
    </xf>
    <xf numFmtId="9" fontId="9" fillId="0" borderId="0" xfId="6" applyFont="1"/>
    <xf numFmtId="0" fontId="110" fillId="0" borderId="95" xfId="1577" applyFont="1" applyBorder="1" applyAlignment="1">
      <alignment horizontal="right" vertical="top"/>
    </xf>
    <xf numFmtId="0" fontId="109" fillId="5" borderId="95" xfId="1577" applyFont="1" applyFill="1" applyBorder="1" applyAlignment="1">
      <alignment horizontal="left" vertical="top" wrapText="1"/>
    </xf>
    <xf numFmtId="179" fontId="109" fillId="5" borderId="99" xfId="1577" applyNumberFormat="1" applyFont="1" applyFill="1" applyBorder="1" applyAlignment="1">
      <alignment vertical="top"/>
    </xf>
    <xf numFmtId="179" fontId="109" fillId="5" borderId="26" xfId="1577" applyNumberFormat="1" applyFont="1" applyFill="1" applyBorder="1" applyAlignment="1">
      <alignment vertical="top"/>
    </xf>
    <xf numFmtId="179" fontId="109" fillId="5" borderId="99" xfId="1577" applyNumberFormat="1" applyFont="1" applyFill="1" applyBorder="1"/>
    <xf numFmtId="179" fontId="109" fillId="5" borderId="24" xfId="1577" applyNumberFormat="1" applyFont="1" applyFill="1" applyBorder="1" applyAlignment="1">
      <alignment vertical="top"/>
    </xf>
    <xf numFmtId="179" fontId="109" fillId="0" borderId="0" xfId="1577" applyNumberFormat="1" applyFont="1"/>
    <xf numFmtId="179" fontId="109" fillId="5" borderId="98" xfId="1577" applyNumberFormat="1" applyFont="1" applyFill="1" applyBorder="1" applyAlignment="1">
      <alignment vertical="top"/>
    </xf>
    <xf numFmtId="179" fontId="109" fillId="5" borderId="98" xfId="1577" applyNumberFormat="1" applyFont="1" applyFill="1" applyBorder="1"/>
    <xf numFmtId="179" fontId="109" fillId="5" borderId="96" xfId="1577" applyNumberFormat="1" applyFont="1" applyFill="1" applyBorder="1" applyAlignment="1">
      <alignment vertical="top"/>
    </xf>
    <xf numFmtId="179" fontId="109" fillId="5" borderId="99" xfId="1577" applyNumberFormat="1" applyFont="1" applyFill="1" applyBorder="1" applyAlignment="1">
      <alignment horizontal="right" vertical="top" wrapText="1"/>
    </xf>
    <xf numFmtId="179" fontId="109" fillId="5" borderId="26" xfId="1577" applyNumberFormat="1" applyFont="1" applyFill="1" applyBorder="1" applyAlignment="1">
      <alignment horizontal="right" vertical="top" wrapText="1"/>
    </xf>
    <xf numFmtId="179" fontId="109" fillId="5" borderId="24" xfId="1577" applyNumberFormat="1" applyFont="1" applyFill="1" applyBorder="1" applyAlignment="1">
      <alignment horizontal="right" vertical="top" wrapText="1"/>
    </xf>
    <xf numFmtId="179" fontId="109" fillId="5" borderId="99" xfId="1577" applyNumberFormat="1" applyFont="1" applyFill="1" applyBorder="1" applyAlignment="1">
      <alignment wrapText="1"/>
    </xf>
    <xf numFmtId="179" fontId="109" fillId="5" borderId="95" xfId="1577" applyNumberFormat="1" applyFont="1" applyFill="1" applyBorder="1" applyAlignment="1">
      <alignment vertical="top"/>
    </xf>
    <xf numFmtId="179" fontId="110" fillId="80" borderId="99" xfId="1577" applyNumberFormat="1" applyFont="1" applyFill="1" applyBorder="1" applyAlignment="1">
      <alignment vertical="top"/>
    </xf>
    <xf numFmtId="176" fontId="108" fillId="75" borderId="99" xfId="1567" applyNumberFormat="1" applyFont="1" applyFill="1" applyBorder="1" applyAlignment="1">
      <alignment wrapText="1"/>
    </xf>
    <xf numFmtId="176" fontId="9" fillId="5" borderId="25" xfId="1567" applyNumberFormat="1" applyFill="1" applyBorder="1"/>
    <xf numFmtId="10" fontId="122" fillId="0" borderId="0" xfId="6" applyNumberFormat="1" applyFont="1" applyFill="1" applyBorder="1" applyAlignment="1"/>
    <xf numFmtId="176" fontId="122" fillId="0" borderId="0" xfId="0" applyNumberFormat="1" applyFont="1" applyFill="1" applyBorder="1" applyAlignment="1"/>
    <xf numFmtId="166" fontId="122" fillId="0" borderId="0" xfId="0" applyNumberFormat="1" applyFont="1" applyFill="1" applyBorder="1" applyAlignment="1"/>
    <xf numFmtId="0" fontId="122" fillId="0" borderId="0" xfId="0" applyNumberFormat="1" applyFont="1" applyFill="1" applyBorder="1" applyAlignment="1"/>
    <xf numFmtId="1" fontId="122" fillId="0" borderId="0" xfId="0" applyNumberFormat="1" applyFont="1" applyFill="1" applyBorder="1" applyAlignment="1"/>
    <xf numFmtId="3" fontId="109" fillId="5" borderId="0" xfId="1577" applyNumberFormat="1" applyFont="1" applyFill="1" applyBorder="1" applyAlignment="1">
      <alignment vertical="top"/>
    </xf>
    <xf numFmtId="0" fontId="109" fillId="5" borderId="99" xfId="1577" applyFont="1" applyFill="1" applyBorder="1" applyAlignment="1">
      <alignment wrapText="1"/>
    </xf>
    <xf numFmtId="179" fontId="113" fillId="0" borderId="0" xfId="1577" applyNumberFormat="1" applyFont="1" applyAlignment="1">
      <alignment wrapText="1"/>
    </xf>
    <xf numFmtId="3" fontId="110" fillId="11" borderId="99" xfId="1577" applyNumberFormat="1" applyFont="1" applyFill="1" applyBorder="1" applyAlignment="1">
      <alignment vertical="top"/>
    </xf>
    <xf numFmtId="179" fontId="110" fillId="11" borderId="99" xfId="1577" applyNumberFormat="1" applyFont="1" applyFill="1" applyBorder="1" applyAlignment="1">
      <alignment vertical="top"/>
    </xf>
    <xf numFmtId="0" fontId="109" fillId="5" borderId="0" xfId="1577" applyFont="1" applyFill="1" applyAlignment="1">
      <alignment horizontal="right" vertical="top"/>
    </xf>
    <xf numFmtId="0" fontId="109" fillId="5" borderId="0" xfId="1577" applyFont="1" applyFill="1" applyBorder="1" applyAlignment="1">
      <alignment vertical="top"/>
    </xf>
    <xf numFmtId="179" fontId="109" fillId="5" borderId="0" xfId="1577" applyNumberFormat="1" applyFont="1" applyFill="1" applyAlignment="1">
      <alignment wrapText="1"/>
    </xf>
    <xf numFmtId="3" fontId="109" fillId="5" borderId="22" xfId="1577" applyNumberFormat="1" applyFont="1" applyFill="1" applyBorder="1" applyAlignment="1">
      <alignment vertical="top"/>
    </xf>
    <xf numFmtId="0" fontId="109" fillId="0" borderId="99" xfId="1577" applyFont="1" applyBorder="1" applyAlignment="1">
      <alignment wrapText="1"/>
    </xf>
    <xf numFmtId="0" fontId="23" fillId="9" borderId="12" xfId="3" applyNumberFormat="1" applyFont="1" applyFill="1" applyBorder="1" applyAlignment="1">
      <alignment horizontal="center" vertical="center" wrapText="1"/>
    </xf>
    <xf numFmtId="0" fontId="23" fillId="9" borderId="99" xfId="3" applyNumberFormat="1" applyFont="1" applyFill="1" applyBorder="1" applyAlignment="1">
      <alignment horizontal="center" vertical="center" wrapText="1"/>
    </xf>
    <xf numFmtId="0" fontId="123" fillId="0" borderId="102" xfId="3" applyFont="1" applyBorder="1" applyAlignment="1">
      <alignment horizontal="left" vertical="top" wrapText="1"/>
    </xf>
    <xf numFmtId="0" fontId="123" fillId="86" borderId="102" xfId="3" applyFont="1" applyFill="1" applyBorder="1" applyAlignment="1">
      <alignment horizontal="left" vertical="top" wrapText="1"/>
    </xf>
    <xf numFmtId="179" fontId="109" fillId="11" borderId="30" xfId="441" applyNumberFormat="1" applyFont="1" applyFill="1" applyBorder="1"/>
    <xf numFmtId="0" fontId="124" fillId="0" borderId="102" xfId="3" applyFont="1" applyBorder="1" applyAlignment="1">
      <alignment horizontal="left" vertical="top" wrapText="1"/>
    </xf>
    <xf numFmtId="0" fontId="27" fillId="84" borderId="99" xfId="3" applyNumberFormat="1" applyFont="1" applyFill="1" applyBorder="1" applyAlignment="1">
      <alignment horizontal="left" vertical="center" wrapText="1"/>
    </xf>
    <xf numFmtId="0" fontId="123" fillId="0" borderId="102" xfId="3" applyFont="1" applyBorder="1"/>
    <xf numFmtId="4" fontId="123" fillId="0" borderId="102" xfId="3" applyNumberFormat="1" applyFont="1" applyBorder="1"/>
    <xf numFmtId="0" fontId="27" fillId="0" borderId="12" xfId="3" applyNumberFormat="1" applyFont="1" applyFill="1" applyBorder="1" applyAlignment="1">
      <alignment horizontal="left" vertical="center" wrapText="1"/>
    </xf>
    <xf numFmtId="0" fontId="114" fillId="0" borderId="90" xfId="3" applyNumberFormat="1" applyFont="1" applyFill="1" applyBorder="1" applyAlignment="1">
      <alignment horizontal="left" vertical="center" wrapText="1"/>
    </xf>
    <xf numFmtId="0" fontId="27" fillId="5" borderId="12" xfId="3" applyNumberFormat="1" applyFont="1" applyFill="1" applyBorder="1" applyAlignment="1">
      <alignment horizontal="left" vertical="center" wrapText="1"/>
    </xf>
    <xf numFmtId="0" fontId="27" fillId="0" borderId="90" xfId="3" applyNumberFormat="1" applyFont="1" applyFill="1" applyBorder="1" applyAlignment="1">
      <alignment horizontal="left" vertical="center" wrapText="1"/>
    </xf>
    <xf numFmtId="0" fontId="109" fillId="0" borderId="0" xfId="1581" applyFont="1" applyAlignment="1">
      <alignment horizontal="right"/>
    </xf>
    <xf numFmtId="0" fontId="109" fillId="0" borderId="0" xfId="1581" applyFont="1"/>
    <xf numFmtId="0" fontId="125" fillId="0" borderId="0" xfId="1581" applyFont="1" applyAlignment="1">
      <alignment horizontal="center" vertical="center"/>
    </xf>
    <xf numFmtId="0" fontId="112" fillId="77" borderId="101" xfId="1581" applyFont="1" applyFill="1" applyBorder="1" applyAlignment="1">
      <alignment horizontal="center" vertical="top" wrapText="1"/>
    </xf>
    <xf numFmtId="0" fontId="109" fillId="0" borderId="99" xfId="1581" applyFont="1" applyBorder="1" applyAlignment="1">
      <alignment vertical="top" wrapText="1"/>
    </xf>
    <xf numFmtId="0" fontId="110" fillId="0" borderId="99" xfId="1581" applyFont="1" applyBorder="1" applyAlignment="1">
      <alignment horizontal="center" vertical="center" wrapText="1"/>
    </xf>
    <xf numFmtId="0" fontId="125" fillId="0" borderId="99" xfId="1581" applyFont="1" applyBorder="1" applyAlignment="1">
      <alignment horizontal="center" vertical="center" wrapText="1"/>
    </xf>
    <xf numFmtId="0" fontId="110" fillId="80" borderId="99" xfId="1581" applyFont="1" applyFill="1" applyBorder="1" applyAlignment="1">
      <alignment horizontal="left" vertical="top" wrapText="1"/>
    </xf>
    <xf numFmtId="0" fontId="110" fillId="82" borderId="99" xfId="1581" applyFont="1" applyFill="1" applyBorder="1" applyAlignment="1">
      <alignment horizontal="left" vertical="top" wrapText="1"/>
    </xf>
    <xf numFmtId="175" fontId="110" fillId="80" borderId="99" xfId="1581" applyNumberFormat="1" applyFont="1" applyFill="1" applyBorder="1" applyAlignment="1">
      <alignment horizontal="center" vertical="center" wrapText="1"/>
    </xf>
    <xf numFmtId="175" fontId="110" fillId="77" borderId="99" xfId="1581" applyNumberFormat="1" applyFont="1" applyFill="1" applyBorder="1" applyAlignment="1">
      <alignment horizontal="center" vertical="center" wrapText="1"/>
    </xf>
    <xf numFmtId="0" fontId="110" fillId="77" borderId="99" xfId="1581" applyFont="1" applyFill="1" applyBorder="1" applyAlignment="1">
      <alignment horizontal="left" vertical="top" wrapText="1"/>
    </xf>
    <xf numFmtId="0" fontId="125" fillId="77" borderId="99" xfId="1581" applyFont="1" applyFill="1" applyBorder="1" applyAlignment="1">
      <alignment horizontal="center" vertical="center" wrapText="1"/>
    </xf>
    <xf numFmtId="0" fontId="109" fillId="82" borderId="99" xfId="1581" applyFont="1" applyFill="1" applyBorder="1" applyAlignment="1">
      <alignment vertical="top"/>
    </xf>
    <xf numFmtId="0" fontId="96" fillId="81" borderId="26" xfId="1581" applyFont="1" applyFill="1" applyBorder="1" applyAlignment="1">
      <alignment horizontal="center" vertical="center" wrapText="1"/>
    </xf>
    <xf numFmtId="179" fontId="110" fillId="82" borderId="99" xfId="1581" applyNumberFormat="1" applyFont="1" applyFill="1" applyBorder="1" applyAlignment="1">
      <alignment vertical="top" wrapText="1"/>
    </xf>
    <xf numFmtId="179" fontId="110" fillId="81" borderId="99" xfId="1581" applyNumberFormat="1" applyFont="1" applyFill="1" applyBorder="1" applyAlignment="1">
      <alignment vertical="top" wrapText="1"/>
    </xf>
    <xf numFmtId="179" fontId="110" fillId="77" borderId="99" xfId="1581" applyNumberFormat="1" applyFont="1" applyFill="1" applyBorder="1" applyAlignment="1">
      <alignment vertical="top" wrapText="1"/>
    </xf>
    <xf numFmtId="179" fontId="110" fillId="9" borderId="99" xfId="1581" applyNumberFormat="1" applyFont="1" applyFill="1" applyBorder="1" applyAlignment="1">
      <alignment horizontal="center" vertical="center" wrapText="1"/>
    </xf>
    <xf numFmtId="179" fontId="110" fillId="77" borderId="99" xfId="1581" applyNumberFormat="1" applyFont="1" applyFill="1" applyBorder="1" applyAlignment="1">
      <alignment horizontal="center" vertical="center" wrapText="1"/>
    </xf>
    <xf numFmtId="179" fontId="110" fillId="77" borderId="26" xfId="1581" applyNumberFormat="1" applyFont="1" applyFill="1" applyBorder="1" applyAlignment="1">
      <alignment horizontal="center" vertical="center" wrapText="1"/>
    </xf>
    <xf numFmtId="0" fontId="110" fillId="0" borderId="99" xfId="1581" applyFont="1" applyBorder="1" applyAlignment="1">
      <alignment horizontal="right" vertical="top"/>
    </xf>
    <xf numFmtId="0" fontId="127" fillId="87" borderId="102" xfId="1582" applyFont="1" applyFill="1" applyBorder="1" applyAlignment="1">
      <alignment vertical="top" wrapText="1"/>
    </xf>
    <xf numFmtId="179" fontId="109" fillId="9" borderId="99" xfId="1581" applyNumberFormat="1" applyFont="1" applyFill="1" applyBorder="1" applyAlignment="1">
      <alignment vertical="top" wrapText="1"/>
    </xf>
    <xf numFmtId="179" fontId="110" fillId="77" borderId="26" xfId="1581" applyNumberFormat="1" applyFont="1" applyFill="1" applyBorder="1" applyAlignment="1">
      <alignment vertical="top" wrapText="1"/>
    </xf>
    <xf numFmtId="179" fontId="125" fillId="77" borderId="99" xfId="1581" applyNumberFormat="1" applyFont="1" applyFill="1" applyBorder="1" applyAlignment="1">
      <alignment horizontal="center" vertical="center"/>
    </xf>
    <xf numFmtId="179" fontId="109" fillId="82" borderId="99" xfId="1581" applyNumberFormat="1" applyFont="1" applyFill="1" applyBorder="1" applyAlignment="1">
      <alignment vertical="top" wrapText="1"/>
    </xf>
    <xf numFmtId="179" fontId="113" fillId="9" borderId="99" xfId="1581" applyNumberFormat="1" applyFont="1" applyFill="1" applyBorder="1" applyAlignment="1">
      <alignment vertical="top" wrapText="1"/>
    </xf>
    <xf numFmtId="0" fontId="109" fillId="0" borderId="99" xfId="1581" applyFont="1" applyFill="1" applyBorder="1" applyAlignment="1">
      <alignment vertical="top" wrapText="1"/>
    </xf>
    <xf numFmtId="0" fontId="109" fillId="0" borderId="99" xfId="1581" applyFont="1" applyBorder="1"/>
    <xf numFmtId="0" fontId="109" fillId="0" borderId="99" xfId="1581" applyFont="1" applyFill="1" applyBorder="1"/>
    <xf numFmtId="179" fontId="109" fillId="82" borderId="99" xfId="1581" applyNumberFormat="1" applyFont="1" applyFill="1" applyBorder="1"/>
    <xf numFmtId="179" fontId="109" fillId="9" borderId="99" xfId="1581" applyNumberFormat="1" applyFont="1" applyFill="1" applyBorder="1"/>
    <xf numFmtId="179" fontId="109" fillId="82" borderId="99" xfId="1581" applyNumberFormat="1" applyFont="1" applyFill="1" applyBorder="1" applyAlignment="1">
      <alignment vertical="top"/>
    </xf>
    <xf numFmtId="179" fontId="109" fillId="9" borderId="99" xfId="1581" applyNumberFormat="1" applyFont="1" applyFill="1" applyBorder="1" applyAlignment="1">
      <alignment vertical="center"/>
    </xf>
    <xf numFmtId="179" fontId="109" fillId="9" borderId="99" xfId="1581" applyNumberFormat="1" applyFont="1" applyFill="1" applyBorder="1" applyAlignment="1">
      <alignment vertical="top"/>
    </xf>
    <xf numFmtId="0" fontId="109" fillId="0" borderId="99" xfId="1581" applyFont="1" applyBorder="1" applyAlignment="1">
      <alignment horizontal="left" vertical="top" wrapText="1"/>
    </xf>
    <xf numFmtId="0" fontId="127" fillId="0" borderId="102" xfId="1582" applyFont="1" applyBorder="1" applyAlignment="1">
      <alignment horizontal="left" vertical="top" wrapText="1"/>
    </xf>
    <xf numFmtId="179" fontId="113" fillId="82" borderId="99" xfId="1581" applyNumberFormat="1" applyFont="1" applyFill="1" applyBorder="1" applyAlignment="1">
      <alignment vertical="top" wrapText="1"/>
    </xf>
    <xf numFmtId="0" fontId="109" fillId="0" borderId="99" xfId="1581" applyFont="1" applyBorder="1" applyAlignment="1">
      <alignment vertical="top"/>
    </xf>
    <xf numFmtId="0" fontId="109" fillId="0" borderId="99" xfId="1581" applyFont="1" applyFill="1" applyBorder="1" applyAlignment="1">
      <alignment wrapText="1"/>
    </xf>
    <xf numFmtId="179" fontId="115" fillId="9" borderId="99" xfId="1581" applyNumberFormat="1" applyFont="1" applyFill="1" applyBorder="1" applyAlignment="1">
      <alignment vertical="top" wrapText="1"/>
    </xf>
    <xf numFmtId="179" fontId="113" fillId="9" borderId="99" xfId="1581" applyNumberFormat="1" applyFont="1" applyFill="1" applyBorder="1" applyAlignment="1">
      <alignment horizontal="center" vertical="center" wrapText="1"/>
    </xf>
    <xf numFmtId="0" fontId="110" fillId="81" borderId="99" xfId="1581" applyFont="1" applyFill="1" applyBorder="1" applyAlignment="1">
      <alignment vertical="top" wrapText="1"/>
    </xf>
    <xf numFmtId="0" fontId="96" fillId="81" borderId="99" xfId="1581" applyFont="1" applyFill="1" applyBorder="1" applyAlignment="1">
      <alignment vertical="top" wrapText="1"/>
    </xf>
    <xf numFmtId="179" fontId="110" fillId="81" borderId="100" xfId="1581" applyNumberFormat="1" applyFont="1" applyFill="1" applyBorder="1" applyAlignment="1">
      <alignment vertical="top" wrapText="1"/>
    </xf>
    <xf numFmtId="179" fontId="110" fillId="81" borderId="52" xfId="1581" applyNumberFormat="1" applyFont="1" applyFill="1" applyBorder="1" applyAlignment="1">
      <alignment vertical="top" wrapText="1"/>
    </xf>
    <xf numFmtId="179" fontId="109" fillId="83" borderId="99" xfId="1581" applyNumberFormat="1" applyFont="1" applyFill="1" applyBorder="1" applyAlignment="1">
      <alignment horizontal="left" vertical="top" wrapText="1"/>
    </xf>
    <xf numFmtId="179" fontId="110" fillId="83" borderId="99" xfId="1581" applyNumberFormat="1" applyFont="1" applyFill="1" applyBorder="1" applyAlignment="1">
      <alignment horizontal="center" vertical="center" wrapText="1"/>
    </xf>
    <xf numFmtId="179" fontId="125" fillId="77" borderId="36" xfId="1581" applyNumberFormat="1" applyFont="1" applyFill="1" applyBorder="1" applyAlignment="1">
      <alignment horizontal="center" vertical="center" wrapText="1"/>
    </xf>
    <xf numFmtId="179" fontId="125" fillId="77" borderId="19" xfId="1581" applyNumberFormat="1" applyFont="1" applyFill="1" applyBorder="1" applyAlignment="1">
      <alignment horizontal="center" vertical="center" wrapText="1"/>
    </xf>
    <xf numFmtId="179" fontId="125" fillId="77" borderId="37" xfId="1581" applyNumberFormat="1" applyFont="1" applyFill="1" applyBorder="1" applyAlignment="1">
      <alignment horizontal="center" vertical="center"/>
    </xf>
    <xf numFmtId="179" fontId="109" fillId="83" borderId="99" xfId="1581" applyNumberFormat="1" applyFont="1" applyFill="1" applyBorder="1" applyAlignment="1">
      <alignment horizontal="right" vertical="top" wrapText="1"/>
    </xf>
    <xf numFmtId="179" fontId="125" fillId="77" borderId="22" xfId="1581" applyNumberFormat="1" applyFont="1" applyFill="1" applyBorder="1" applyAlignment="1">
      <alignment horizontal="center" vertical="center" wrapText="1"/>
    </xf>
    <xf numFmtId="179" fontId="125" fillId="77" borderId="23" xfId="1581" applyNumberFormat="1" applyFont="1" applyFill="1" applyBorder="1" applyAlignment="1">
      <alignment horizontal="center" vertical="center" wrapText="1"/>
    </xf>
    <xf numFmtId="179" fontId="125" fillId="77" borderId="22" xfId="1581" applyNumberFormat="1" applyFont="1" applyFill="1" applyBorder="1" applyAlignment="1">
      <alignment horizontal="center" vertical="center"/>
    </xf>
    <xf numFmtId="0" fontId="109" fillId="0" borderId="99" xfId="1581" applyFont="1" applyFill="1" applyBorder="1" applyAlignment="1">
      <alignment horizontal="left" vertical="top" wrapText="1"/>
    </xf>
    <xf numFmtId="0" fontId="109" fillId="5" borderId="99" xfId="1581" applyFont="1" applyFill="1" applyBorder="1" applyAlignment="1">
      <alignment horizontal="left" vertical="top" wrapText="1"/>
    </xf>
    <xf numFmtId="0" fontId="109" fillId="82" borderId="99" xfId="1581" applyFont="1" applyFill="1" applyBorder="1" applyAlignment="1">
      <alignment horizontal="left" vertical="top" wrapText="1"/>
    </xf>
    <xf numFmtId="0" fontId="110" fillId="81" borderId="99" xfId="1581" applyFont="1" applyFill="1" applyBorder="1" applyAlignment="1">
      <alignment horizontal="right" vertical="top" wrapText="1"/>
    </xf>
    <xf numFmtId="179" fontId="109" fillId="13" borderId="99" xfId="1581" applyNumberFormat="1" applyFont="1" applyFill="1" applyBorder="1" applyAlignment="1">
      <alignment horizontal="center" vertical="top" wrapText="1"/>
    </xf>
    <xf numFmtId="179" fontId="110" fillId="13" borderId="99" xfId="1581" applyNumberFormat="1" applyFont="1" applyFill="1" applyBorder="1" applyAlignment="1">
      <alignment horizontal="center" vertical="center" wrapText="1"/>
    </xf>
    <xf numFmtId="179" fontId="125" fillId="77" borderId="20" xfId="1581" applyNumberFormat="1" applyFont="1" applyFill="1" applyBorder="1" applyAlignment="1">
      <alignment horizontal="center" vertical="center" wrapText="1"/>
    </xf>
    <xf numFmtId="179" fontId="109" fillId="13" borderId="99" xfId="1581" applyNumberFormat="1" applyFont="1" applyFill="1" applyBorder="1" applyAlignment="1">
      <alignment vertical="center" wrapText="1"/>
    </xf>
    <xf numFmtId="0" fontId="109" fillId="5" borderId="99" xfId="1581" applyFont="1" applyFill="1" applyBorder="1" applyAlignment="1">
      <alignment vertical="top" wrapText="1"/>
    </xf>
    <xf numFmtId="179" fontId="109" fillId="13" borderId="99" xfId="1581" applyNumberFormat="1" applyFont="1" applyFill="1" applyBorder="1" applyAlignment="1">
      <alignment horizontal="left" vertical="top" wrapText="1"/>
    </xf>
    <xf numFmtId="0" fontId="113" fillId="0" borderId="99" xfId="1581" applyFont="1" applyFill="1" applyBorder="1" applyAlignment="1">
      <alignment horizontal="left" vertical="top" wrapText="1"/>
    </xf>
    <xf numFmtId="179" fontId="109" fillId="82" borderId="99" xfId="1581" applyNumberFormat="1" applyFont="1" applyFill="1" applyBorder="1" applyAlignment="1">
      <alignment horizontal="left" vertical="top" wrapText="1"/>
    </xf>
    <xf numFmtId="0" fontId="110" fillId="81" borderId="26" xfId="1581" applyFont="1" applyFill="1" applyBorder="1" applyAlignment="1">
      <alignment horizontal="center" vertical="center" wrapText="1"/>
    </xf>
    <xf numFmtId="0" fontId="110" fillId="81" borderId="99" xfId="1581" applyFont="1" applyFill="1" applyBorder="1" applyAlignment="1">
      <alignment horizontal="left" vertical="top" wrapText="1"/>
    </xf>
    <xf numFmtId="179" fontId="110" fillId="81" borderId="99" xfId="1581" applyNumberFormat="1" applyFont="1" applyFill="1" applyBorder="1" applyAlignment="1">
      <alignment horizontal="left" vertical="top" wrapText="1"/>
    </xf>
    <xf numFmtId="0" fontId="110" fillId="81" borderId="26" xfId="1581" applyFont="1" applyFill="1" applyBorder="1" applyAlignment="1">
      <alignment horizontal="left" vertical="top" wrapText="1"/>
    </xf>
    <xf numFmtId="179" fontId="125" fillId="81" borderId="38" xfId="1581" applyNumberFormat="1" applyFont="1" applyFill="1" applyBorder="1" applyAlignment="1">
      <alignment horizontal="center" vertical="center" wrapText="1"/>
    </xf>
    <xf numFmtId="179" fontId="125" fillId="81" borderId="20" xfId="1581" applyNumberFormat="1" applyFont="1" applyFill="1" applyBorder="1" applyAlignment="1">
      <alignment horizontal="center" vertical="center" wrapText="1"/>
    </xf>
    <xf numFmtId="179" fontId="125" fillId="81" borderId="37" xfId="1581" applyNumberFormat="1" applyFont="1" applyFill="1" applyBorder="1" applyAlignment="1">
      <alignment horizontal="center" vertical="center" wrapText="1"/>
    </xf>
    <xf numFmtId="0" fontId="110" fillId="5" borderId="99" xfId="1581" applyFont="1" applyFill="1" applyBorder="1" applyAlignment="1">
      <alignment vertical="top" wrapText="1"/>
    </xf>
    <xf numFmtId="179" fontId="110" fillId="6" borderId="99" xfId="1581" applyNumberFormat="1" applyFont="1" applyFill="1" applyBorder="1" applyAlignment="1">
      <alignment horizontal="center" vertical="center" wrapText="1"/>
    </xf>
    <xf numFmtId="179" fontId="110" fillId="6" borderId="26" xfId="1581" applyNumberFormat="1" applyFont="1" applyFill="1" applyBorder="1" applyAlignment="1">
      <alignment horizontal="center" vertical="center" wrapText="1"/>
    </xf>
    <xf numFmtId="179" fontId="109" fillId="6" borderId="99" xfId="1581" applyNumberFormat="1" applyFont="1" applyFill="1" applyBorder="1" applyAlignment="1">
      <alignment vertical="top" wrapText="1"/>
    </xf>
    <xf numFmtId="0" fontId="110" fillId="5" borderId="99" xfId="1581" applyFont="1" applyFill="1" applyBorder="1" applyAlignment="1">
      <alignment horizontal="right" vertical="top"/>
    </xf>
    <xf numFmtId="0" fontId="120" fillId="0" borderId="99" xfId="1581" applyFont="1" applyBorder="1" applyAlignment="1">
      <alignment vertical="top" wrapText="1"/>
    </xf>
    <xf numFmtId="0" fontId="113" fillId="0" borderId="99" xfId="1581" applyFont="1" applyFill="1" applyBorder="1" applyAlignment="1">
      <alignment vertical="top" wrapText="1"/>
    </xf>
    <xf numFmtId="0" fontId="113" fillId="0" borderId="28" xfId="1581" applyFont="1" applyFill="1" applyBorder="1" applyAlignment="1">
      <alignment vertical="top" wrapText="1"/>
    </xf>
    <xf numFmtId="0" fontId="109" fillId="0" borderId="28" xfId="1581" applyFont="1" applyFill="1" applyBorder="1" applyAlignment="1">
      <alignment vertical="top" wrapText="1"/>
    </xf>
    <xf numFmtId="179" fontId="109" fillId="82" borderId="28" xfId="1581" applyNumberFormat="1" applyFont="1" applyFill="1" applyBorder="1" applyAlignment="1">
      <alignment vertical="top" wrapText="1"/>
    </xf>
    <xf numFmtId="179" fontId="109" fillId="6" borderId="28" xfId="1581" applyNumberFormat="1" applyFont="1" applyFill="1" applyBorder="1" applyAlignment="1">
      <alignment vertical="top" wrapText="1"/>
    </xf>
    <xf numFmtId="179" fontId="109" fillId="0" borderId="0" xfId="1581" applyNumberFormat="1" applyFont="1"/>
    <xf numFmtId="179" fontId="110" fillId="75" borderId="99" xfId="1581" applyNumberFormat="1" applyFont="1" applyFill="1" applyBorder="1" applyAlignment="1">
      <alignment horizontal="center" vertical="center" wrapText="1"/>
    </xf>
    <xf numFmtId="179" fontId="110" fillId="75" borderId="26" xfId="1581" applyNumberFormat="1" applyFont="1" applyFill="1" applyBorder="1" applyAlignment="1">
      <alignment horizontal="center" vertical="center" wrapText="1"/>
    </xf>
    <xf numFmtId="0" fontId="113" fillId="5" borderId="99" xfId="1581" applyFont="1" applyFill="1" applyBorder="1" applyAlignment="1">
      <alignment vertical="top" wrapText="1"/>
    </xf>
    <xf numFmtId="179" fontId="109" fillId="75" borderId="99" xfId="1581" applyNumberFormat="1" applyFont="1" applyFill="1" applyBorder="1" applyAlignment="1">
      <alignment vertical="top" wrapText="1"/>
    </xf>
    <xf numFmtId="0" fontId="110" fillId="80" borderId="99" xfId="1581" applyFont="1" applyFill="1" applyBorder="1" applyAlignment="1">
      <alignment horizontal="left" vertical="top" wrapText="1"/>
    </xf>
    <xf numFmtId="179" fontId="110" fillId="82" borderId="99" xfId="1581" applyNumberFormat="1" applyFont="1" applyFill="1" applyBorder="1" applyAlignment="1">
      <alignment horizontal="left" vertical="top" wrapText="1"/>
    </xf>
    <xf numFmtId="179" fontId="110" fillId="80" borderId="99" xfId="1581" applyNumberFormat="1" applyFont="1" applyFill="1" applyBorder="1" applyAlignment="1">
      <alignment horizontal="left" vertical="top" wrapText="1"/>
    </xf>
    <xf numFmtId="179" fontId="110" fillId="80" borderId="26" xfId="1581" applyNumberFormat="1" applyFont="1" applyFill="1" applyBorder="1" applyAlignment="1">
      <alignment horizontal="left" vertical="top" wrapText="1"/>
    </xf>
    <xf numFmtId="0" fontId="110" fillId="81" borderId="28" xfId="1581" applyFont="1" applyFill="1" applyBorder="1" applyAlignment="1">
      <alignment vertical="top" wrapText="1"/>
    </xf>
    <xf numFmtId="179" fontId="110" fillId="11" borderId="36" xfId="441" applyNumberFormat="1" applyFont="1" applyFill="1" applyBorder="1" applyAlignment="1">
      <alignment horizontal="center" vertical="center"/>
    </xf>
    <xf numFmtId="179" fontId="110" fillId="11" borderId="19" xfId="441" applyNumberFormat="1" applyFont="1" applyFill="1" applyBorder="1" applyAlignment="1">
      <alignment horizontal="center" vertical="center"/>
    </xf>
    <xf numFmtId="179" fontId="110" fillId="11" borderId="37" xfId="441" applyNumberFormat="1" applyFont="1" applyFill="1" applyBorder="1" applyAlignment="1">
      <alignment horizontal="center" vertical="center"/>
    </xf>
    <xf numFmtId="166" fontId="115" fillId="11" borderId="22" xfId="441" applyFont="1" applyFill="1" applyBorder="1"/>
    <xf numFmtId="179" fontId="109" fillId="11" borderId="22" xfId="1581" applyNumberFormat="1" applyFont="1" applyFill="1" applyBorder="1" applyAlignment="1">
      <alignment vertical="top" wrapText="1"/>
    </xf>
    <xf numFmtId="179" fontId="109" fillId="82" borderId="22" xfId="1581" applyNumberFormat="1" applyFont="1" applyFill="1" applyBorder="1" applyAlignment="1">
      <alignment vertical="top" wrapText="1"/>
    </xf>
    <xf numFmtId="166" fontId="113" fillId="11" borderId="22" xfId="441" applyFont="1" applyFill="1" applyBorder="1" applyAlignment="1">
      <alignment vertical="top"/>
    </xf>
    <xf numFmtId="179" fontId="109" fillId="85" borderId="99" xfId="1581" applyNumberFormat="1" applyFont="1" applyFill="1" applyBorder="1" applyAlignment="1">
      <alignment horizontal="left" vertical="top" wrapText="1"/>
    </xf>
    <xf numFmtId="179" fontId="110" fillId="85" borderId="99" xfId="1581" applyNumberFormat="1" applyFont="1" applyFill="1" applyBorder="1" applyAlignment="1">
      <alignment horizontal="center" vertical="center" wrapText="1"/>
    </xf>
    <xf numFmtId="179" fontId="109" fillId="85" borderId="99" xfId="1581" applyNumberFormat="1" applyFont="1" applyFill="1" applyBorder="1" applyAlignment="1">
      <alignment horizontal="right" vertical="top" wrapText="1"/>
    </xf>
    <xf numFmtId="179" fontId="110" fillId="84" borderId="99" xfId="1581" applyNumberFormat="1" applyFont="1" applyFill="1" applyBorder="1" applyAlignment="1">
      <alignment horizontal="center" vertical="center" wrapText="1"/>
    </xf>
    <xf numFmtId="179" fontId="109" fillId="84" borderId="99" xfId="1581" applyNumberFormat="1" applyFont="1" applyFill="1" applyBorder="1" applyAlignment="1">
      <alignment horizontal="left" vertical="top" wrapText="1"/>
    </xf>
    <xf numFmtId="0" fontId="117" fillId="0" borderId="99" xfId="1581" applyFont="1" applyBorder="1" applyAlignment="1">
      <alignment horizontal="right" vertical="top"/>
    </xf>
    <xf numFmtId="0" fontId="113" fillId="0" borderId="99" xfId="1581" applyFont="1" applyBorder="1" applyAlignment="1">
      <alignment wrapText="1"/>
    </xf>
    <xf numFmtId="0" fontId="113" fillId="0" borderId="99" xfId="1581" applyFont="1" applyBorder="1" applyAlignment="1">
      <alignment horizontal="left" vertical="top" wrapText="1"/>
    </xf>
    <xf numFmtId="179" fontId="113" fillId="84" borderId="99" xfId="1581" applyNumberFormat="1" applyFont="1" applyFill="1" applyBorder="1" applyAlignment="1">
      <alignment horizontal="left" vertical="top" wrapText="1"/>
    </xf>
    <xf numFmtId="0" fontId="113" fillId="0" borderId="0" xfId="1581" applyFont="1" applyAlignment="1">
      <alignment wrapText="1"/>
    </xf>
    <xf numFmtId="0" fontId="110" fillId="5" borderId="99" xfId="1581" applyFont="1" applyFill="1" applyBorder="1" applyAlignment="1">
      <alignment horizontal="right" vertical="top" wrapText="1"/>
    </xf>
    <xf numFmtId="0" fontId="109" fillId="5" borderId="0" xfId="1581" applyFont="1" applyFill="1"/>
    <xf numFmtId="179" fontId="109" fillId="77" borderId="99" xfId="1581" applyNumberFormat="1" applyFont="1" applyFill="1" applyBorder="1" applyAlignment="1">
      <alignment horizontal="right" vertical="top" wrapText="1"/>
    </xf>
    <xf numFmtId="179" fontId="109" fillId="77" borderId="99" xfId="1581" applyNumberFormat="1" applyFont="1" applyFill="1" applyBorder="1" applyAlignment="1">
      <alignment horizontal="left" vertical="top" wrapText="1"/>
    </xf>
    <xf numFmtId="179" fontId="110" fillId="82" borderId="100" xfId="1581" applyNumberFormat="1" applyFont="1" applyFill="1" applyBorder="1" applyAlignment="1">
      <alignment vertical="top" wrapText="1"/>
    </xf>
    <xf numFmtId="179" fontId="110" fillId="76" borderId="36" xfId="1581" applyNumberFormat="1" applyFont="1" applyFill="1" applyBorder="1" applyAlignment="1">
      <alignment horizontal="right" vertical="top" wrapText="1"/>
    </xf>
    <xf numFmtId="179" fontId="110" fillId="76" borderId="19" xfId="1581" applyNumberFormat="1" applyFont="1" applyFill="1" applyBorder="1" applyAlignment="1">
      <alignment horizontal="right" vertical="top" wrapText="1"/>
    </xf>
    <xf numFmtId="179" fontId="110" fillId="76" borderId="37" xfId="1581" applyNumberFormat="1" applyFont="1" applyFill="1" applyBorder="1" applyAlignment="1">
      <alignment horizontal="right" vertical="top" wrapText="1"/>
    </xf>
    <xf numFmtId="0" fontId="110" fillId="0" borderId="99" xfId="1581" applyFont="1" applyBorder="1" applyAlignment="1">
      <alignment horizontal="left" vertical="top"/>
    </xf>
    <xf numFmtId="179" fontId="109" fillId="82" borderId="84" xfId="1581" applyNumberFormat="1" applyFont="1" applyFill="1" applyBorder="1" applyAlignment="1">
      <alignment horizontal="left" vertical="top" wrapText="1"/>
    </xf>
    <xf numFmtId="179" fontId="109" fillId="76" borderId="84" xfId="1581" applyNumberFormat="1" applyFont="1" applyFill="1" applyBorder="1" applyAlignment="1">
      <alignment horizontal="right" vertical="top" wrapText="1"/>
    </xf>
    <xf numFmtId="179" fontId="125" fillId="77" borderId="84" xfId="1581" applyNumberFormat="1" applyFont="1" applyFill="1" applyBorder="1" applyAlignment="1">
      <alignment horizontal="center" vertical="center" wrapText="1"/>
    </xf>
    <xf numFmtId="179" fontId="125" fillId="77" borderId="91" xfId="1581" applyNumberFormat="1" applyFont="1" applyFill="1" applyBorder="1" applyAlignment="1">
      <alignment horizontal="center" vertical="center" wrapText="1"/>
    </xf>
    <xf numFmtId="179" fontId="125" fillId="77" borderId="84" xfId="1581" applyNumberFormat="1" applyFont="1" applyFill="1" applyBorder="1" applyAlignment="1">
      <alignment horizontal="center" vertical="center"/>
    </xf>
    <xf numFmtId="179" fontId="110" fillId="9" borderId="36" xfId="1581" applyNumberFormat="1" applyFont="1" applyFill="1" applyBorder="1" applyAlignment="1">
      <alignment horizontal="center" vertical="center" wrapText="1"/>
    </xf>
    <xf numFmtId="179" fontId="110" fillId="9" borderId="19" xfId="1581" applyNumberFormat="1" applyFont="1" applyFill="1" applyBorder="1" applyAlignment="1">
      <alignment horizontal="center" vertical="center" wrapText="1"/>
    </xf>
    <xf numFmtId="179" fontId="110" fillId="9" borderId="37" xfId="1581" applyNumberFormat="1" applyFont="1" applyFill="1" applyBorder="1" applyAlignment="1">
      <alignment horizontal="center" vertical="center" wrapText="1"/>
    </xf>
    <xf numFmtId="179" fontId="111" fillId="9" borderId="22" xfId="1581" applyNumberFormat="1" applyFont="1" applyFill="1" applyBorder="1" applyAlignment="1">
      <alignment horizontal="left" vertical="top" wrapText="1"/>
    </xf>
    <xf numFmtId="0" fontId="113" fillId="0" borderId="99" xfId="1581" applyFont="1" applyBorder="1" applyAlignment="1">
      <alignment vertical="top" wrapText="1"/>
    </xf>
    <xf numFmtId="179" fontId="111" fillId="9" borderId="99" xfId="1581" applyNumberFormat="1" applyFont="1" applyFill="1" applyBorder="1" applyAlignment="1">
      <alignment horizontal="left" vertical="top" wrapText="1"/>
    </xf>
    <xf numFmtId="179" fontId="110" fillId="80" borderId="99" xfId="1581" applyNumberFormat="1" applyFont="1" applyFill="1" applyBorder="1" applyAlignment="1">
      <alignment horizontal="center" vertical="center" wrapText="1"/>
    </xf>
    <xf numFmtId="179" fontId="110" fillId="80" borderId="26" xfId="1581" applyNumberFormat="1" applyFont="1" applyFill="1" applyBorder="1" applyAlignment="1">
      <alignment horizontal="center" vertical="center" wrapText="1"/>
    </xf>
    <xf numFmtId="0" fontId="109" fillId="0" borderId="99" xfId="1581" applyFont="1" applyBorder="1" applyAlignment="1">
      <alignment horizontal="left"/>
    </xf>
    <xf numFmtId="179" fontId="109" fillId="5" borderId="99" xfId="1581" applyNumberFormat="1" applyFont="1" applyFill="1" applyBorder="1"/>
    <xf numFmtId="179" fontId="109" fillId="0" borderId="99" xfId="1581" applyNumberFormat="1" applyFont="1" applyBorder="1"/>
    <xf numFmtId="0" fontId="123" fillId="5" borderId="102" xfId="3" applyFont="1" applyFill="1" applyBorder="1"/>
    <xf numFmtId="4" fontId="123" fillId="0" borderId="0" xfId="3" applyNumberFormat="1" applyFont="1" applyBorder="1"/>
    <xf numFmtId="0" fontId="109" fillId="0" borderId="99" xfId="1581" applyFont="1" applyBorder="1" applyAlignment="1">
      <alignment wrapText="1"/>
    </xf>
    <xf numFmtId="0" fontId="109" fillId="5" borderId="99" xfId="1581" applyFont="1" applyFill="1" applyBorder="1"/>
    <xf numFmtId="0" fontId="109" fillId="0" borderId="26" xfId="1581" applyFont="1" applyBorder="1"/>
    <xf numFmtId="0" fontId="109" fillId="0" borderId="95" xfId="1581" applyFont="1" applyBorder="1"/>
    <xf numFmtId="179" fontId="109" fillId="0" borderId="95" xfId="1581" applyNumberFormat="1" applyFont="1" applyBorder="1"/>
    <xf numFmtId="0" fontId="125" fillId="0" borderId="24" xfId="1581" applyFont="1" applyBorder="1" applyAlignment="1">
      <alignment horizontal="center" vertical="center"/>
    </xf>
    <xf numFmtId="1" fontId="109" fillId="0" borderId="0" xfId="1581" applyNumberFormat="1" applyFont="1"/>
    <xf numFmtId="179" fontId="110" fillId="0" borderId="0" xfId="1581" applyNumberFormat="1" applyFont="1"/>
    <xf numFmtId="0" fontId="110" fillId="0" borderId="1" xfId="1581" applyFont="1" applyBorder="1" applyAlignment="1">
      <alignment horizontal="center" vertical="center"/>
    </xf>
    <xf numFmtId="0" fontId="110" fillId="0" borderId="3" xfId="1581" applyFont="1" applyBorder="1" applyAlignment="1">
      <alignment horizontal="center" vertical="center"/>
    </xf>
    <xf numFmtId="0" fontId="27" fillId="0" borderId="7" xfId="3" applyNumberFormat="1" applyFont="1" applyFill="1" applyBorder="1" applyAlignment="1">
      <alignment horizontal="left" vertical="center" wrapText="1"/>
    </xf>
    <xf numFmtId="0" fontId="109" fillId="0" borderId="2" xfId="1581" applyFont="1" applyBorder="1"/>
    <xf numFmtId="179" fontId="109" fillId="0" borderId="2" xfId="1581" applyNumberFormat="1" applyFont="1" applyBorder="1"/>
    <xf numFmtId="179" fontId="109" fillId="0" borderId="9" xfId="1581" applyNumberFormat="1" applyFont="1" applyBorder="1"/>
    <xf numFmtId="179" fontId="109" fillId="0" borderId="34" xfId="1581" applyNumberFormat="1" applyFont="1" applyBorder="1"/>
    <xf numFmtId="179" fontId="125" fillId="0" borderId="1" xfId="1581" applyNumberFormat="1" applyFont="1" applyBorder="1" applyAlignment="1">
      <alignment horizontal="center" vertical="center"/>
    </xf>
    <xf numFmtId="0" fontId="109" fillId="0" borderId="3" xfId="1581" applyFont="1" applyBorder="1"/>
    <xf numFmtId="0" fontId="109" fillId="0" borderId="0" xfId="1581" applyFont="1" applyBorder="1"/>
    <xf numFmtId="179" fontId="109" fillId="0" borderId="0" xfId="1581" applyNumberFormat="1" applyFont="1" applyBorder="1"/>
    <xf numFmtId="179" fontId="109" fillId="0" borderId="32" xfId="1581" applyNumberFormat="1" applyFont="1" applyBorder="1"/>
    <xf numFmtId="179" fontId="109" fillId="0" borderId="42" xfId="1581" applyNumberFormat="1" applyFont="1" applyBorder="1"/>
    <xf numFmtId="179" fontId="125" fillId="0" borderId="104" xfId="1581" applyNumberFormat="1" applyFont="1" applyBorder="1" applyAlignment="1">
      <alignment horizontal="center" vertical="center"/>
    </xf>
    <xf numFmtId="0" fontId="109" fillId="0" borderId="16" xfId="1581" applyFont="1" applyBorder="1"/>
    <xf numFmtId="179" fontId="110" fillId="0" borderId="16" xfId="1581" applyNumberFormat="1" applyFont="1" applyBorder="1"/>
    <xf numFmtId="0" fontId="27" fillId="5" borderId="4" xfId="3" applyNumberFormat="1" applyFont="1" applyFill="1" applyBorder="1" applyAlignment="1">
      <alignment horizontal="left" vertical="center" wrapText="1"/>
    </xf>
    <xf numFmtId="0" fontId="109" fillId="0" borderId="5" xfId="1581" applyFont="1" applyBorder="1"/>
    <xf numFmtId="179" fontId="109" fillId="0" borderId="5" xfId="1581" applyNumberFormat="1" applyFont="1" applyBorder="1"/>
    <xf numFmtId="179" fontId="109" fillId="0" borderId="33" xfId="1581" applyNumberFormat="1" applyFont="1" applyBorder="1"/>
    <xf numFmtId="179" fontId="109" fillId="0" borderId="35" xfId="1581" applyNumberFormat="1" applyFont="1" applyBorder="1"/>
    <xf numFmtId="179" fontId="125" fillId="0" borderId="4" xfId="1581" applyNumberFormat="1" applyFont="1" applyBorder="1" applyAlignment="1">
      <alignment horizontal="center" vertical="center"/>
    </xf>
    <xf numFmtId="0" fontId="109" fillId="0" borderId="6" xfId="1581" applyFont="1" applyBorder="1"/>
    <xf numFmtId="0" fontId="27" fillId="0" borderId="1" xfId="3" applyNumberFormat="1" applyFont="1" applyFill="1" applyBorder="1" applyAlignment="1">
      <alignment horizontal="left" vertical="center" wrapText="1"/>
    </xf>
    <xf numFmtId="179" fontId="110" fillId="0" borderId="3" xfId="1581" applyNumberFormat="1" applyFont="1" applyBorder="1"/>
    <xf numFmtId="0" fontId="27" fillId="0" borderId="58" xfId="3" applyNumberFormat="1" applyFont="1" applyFill="1" applyBorder="1" applyAlignment="1">
      <alignment horizontal="left" vertical="center" wrapText="1"/>
    </xf>
    <xf numFmtId="9" fontId="109" fillId="0" borderId="0" xfId="1583" applyFont="1"/>
    <xf numFmtId="0" fontId="114" fillId="0" borderId="1" xfId="3" applyNumberFormat="1" applyFont="1" applyFill="1" applyBorder="1" applyAlignment="1">
      <alignment horizontal="left" vertical="center" wrapText="1"/>
    </xf>
    <xf numFmtId="0" fontId="114" fillId="0" borderId="58" xfId="3" applyNumberFormat="1" applyFont="1" applyFill="1" applyBorder="1" applyAlignment="1">
      <alignment horizontal="left" vertical="center" wrapText="1"/>
    </xf>
    <xf numFmtId="179" fontId="125" fillId="0" borderId="0" xfId="1581" applyNumberFormat="1" applyFont="1" applyAlignment="1">
      <alignment horizontal="center" vertical="center"/>
    </xf>
    <xf numFmtId="0" fontId="110" fillId="0" borderId="0" xfId="1581" applyFont="1" applyAlignment="1">
      <alignment horizontal="right"/>
    </xf>
    <xf numFmtId="179" fontId="109" fillId="13" borderId="0" xfId="1581" applyNumberFormat="1" applyFont="1" applyFill="1"/>
    <xf numFmtId="179" fontId="109" fillId="75" borderId="0" xfId="1581" applyNumberFormat="1" applyFont="1" applyFill="1"/>
    <xf numFmtId="179" fontId="109" fillId="85" borderId="0" xfId="1581" applyNumberFormat="1" applyFont="1" applyFill="1"/>
    <xf numFmtId="179" fontId="109" fillId="88" borderId="0" xfId="1581" applyNumberFormat="1" applyFont="1" applyFill="1"/>
    <xf numFmtId="179" fontId="109" fillId="89" borderId="0" xfId="1581" applyNumberFormat="1" applyFont="1" applyFill="1"/>
    <xf numFmtId="179" fontId="109" fillId="77" borderId="0" xfId="1581" applyNumberFormat="1" applyFont="1" applyFill="1"/>
    <xf numFmtId="179" fontId="110" fillId="13" borderId="0" xfId="1581" applyNumberFormat="1" applyFont="1" applyFill="1"/>
    <xf numFmtId="179" fontId="110" fillId="85" borderId="0" xfId="1581" applyNumberFormat="1" applyFont="1" applyFill="1"/>
    <xf numFmtId="176" fontId="109" fillId="0" borderId="0" xfId="1581" applyNumberFormat="1" applyFont="1"/>
    <xf numFmtId="179" fontId="109" fillId="5" borderId="98" xfId="1577" applyNumberFormat="1" applyFont="1" applyFill="1" applyBorder="1" applyAlignment="1">
      <alignment horizontal="right" vertical="top" wrapText="1"/>
    </xf>
    <xf numFmtId="179" fontId="109" fillId="5" borderId="99" xfId="1581" applyNumberFormat="1" applyFont="1" applyFill="1" applyBorder="1" applyAlignment="1">
      <alignment vertical="top" wrapText="1"/>
    </xf>
    <xf numFmtId="176" fontId="26" fillId="3" borderId="17" xfId="5" applyNumberFormat="1" applyFont="1" applyFill="1" applyBorder="1" applyAlignment="1"/>
    <xf numFmtId="176" fontId="0" fillId="5" borderId="21" xfId="5" applyNumberFormat="1" applyFont="1" applyFill="1" applyBorder="1" applyAlignment="1"/>
    <xf numFmtId="176" fontId="0" fillId="0" borderId="0" xfId="6" applyNumberFormat="1" applyFont="1" applyFill="1" applyBorder="1" applyAlignment="1"/>
    <xf numFmtId="1" fontId="0" fillId="0" borderId="0" xfId="0" applyNumberFormat="1" applyFont="1" applyFill="1" applyBorder="1" applyAlignment="1"/>
    <xf numFmtId="0" fontId="109" fillId="0" borderId="95" xfId="1577" applyFont="1" applyBorder="1" applyAlignment="1">
      <alignment horizontal="left" vertical="top" wrapText="1"/>
    </xf>
    <xf numFmtId="0" fontId="113" fillId="0" borderId="0" xfId="1577" applyFont="1" applyAlignment="1">
      <alignment horizontal="right" vertical="top"/>
    </xf>
    <xf numFmtId="0" fontId="113" fillId="0" borderId="0" xfId="1577" applyFont="1" applyBorder="1" applyAlignment="1">
      <alignment vertical="top"/>
    </xf>
    <xf numFmtId="0" fontId="113" fillId="5" borderId="0" xfId="1577" applyFont="1" applyFill="1" applyAlignment="1">
      <alignment wrapText="1"/>
    </xf>
    <xf numFmtId="3" fontId="113" fillId="0" borderId="0" xfId="1577" applyNumberFormat="1" applyFont="1" applyBorder="1" applyAlignment="1">
      <alignment wrapText="1"/>
    </xf>
    <xf numFmtId="0" fontId="113" fillId="0" borderId="0" xfId="1577" applyFont="1" applyAlignment="1">
      <alignment wrapText="1"/>
    </xf>
    <xf numFmtId="0" fontId="113" fillId="0" borderId="0" xfId="1577" applyFont="1"/>
    <xf numFmtId="0" fontId="113" fillId="0" borderId="0" xfId="1577" applyFont="1" applyAlignment="1">
      <alignment horizontal="right"/>
    </xf>
    <xf numFmtId="179" fontId="113" fillId="0" borderId="0" xfId="1577" applyNumberFormat="1" applyFont="1"/>
    <xf numFmtId="3" fontId="113" fillId="0" borderId="0" xfId="1577" applyNumberFormat="1" applyFont="1"/>
    <xf numFmtId="164" fontId="113" fillId="0" borderId="0" xfId="1577" applyNumberFormat="1" applyFont="1"/>
    <xf numFmtId="9" fontId="0" fillId="5" borderId="99" xfId="1569" applyFont="1" applyFill="1" applyBorder="1" applyAlignment="1">
      <alignment horizontal="center"/>
    </xf>
    <xf numFmtId="9" fontId="109" fillId="0" borderId="0" xfId="6" applyFont="1"/>
    <xf numFmtId="9" fontId="9" fillId="5" borderId="99" xfId="6" applyFont="1" applyFill="1" applyBorder="1"/>
    <xf numFmtId="176" fontId="9" fillId="5" borderId="99" xfId="1567" applyNumberFormat="1" applyFill="1" applyBorder="1"/>
    <xf numFmtId="176" fontId="0" fillId="5" borderId="25" xfId="1568" applyNumberFormat="1" applyFont="1" applyFill="1" applyBorder="1"/>
    <xf numFmtId="176" fontId="0" fillId="5" borderId="99" xfId="1568" applyNumberFormat="1" applyFont="1" applyFill="1" applyBorder="1"/>
    <xf numFmtId="176" fontId="108" fillId="73" borderId="25" xfId="1567" applyNumberFormat="1" applyFont="1" applyFill="1" applyBorder="1" applyAlignment="1">
      <alignment wrapText="1"/>
    </xf>
    <xf numFmtId="176" fontId="0" fillId="5" borderId="24" xfId="1568" applyNumberFormat="1" applyFont="1" applyFill="1" applyBorder="1"/>
    <xf numFmtId="176" fontId="104" fillId="5" borderId="25" xfId="1568" applyNumberFormat="1" applyFont="1" applyFill="1" applyBorder="1"/>
    <xf numFmtId="176" fontId="9" fillId="76" borderId="25" xfId="1567" applyNumberFormat="1" applyFill="1" applyBorder="1"/>
    <xf numFmtId="176" fontId="9" fillId="72" borderId="25" xfId="1567" applyNumberFormat="1" applyFill="1" applyBorder="1"/>
    <xf numFmtId="176" fontId="108" fillId="73" borderId="45" xfId="1567" applyNumberFormat="1" applyFont="1" applyFill="1" applyBorder="1" applyAlignment="1">
      <alignment wrapText="1"/>
    </xf>
    <xf numFmtId="176" fontId="108" fillId="73" borderId="22" xfId="1567" applyNumberFormat="1" applyFont="1" applyFill="1" applyBorder="1" applyAlignment="1">
      <alignment wrapText="1"/>
    </xf>
    <xf numFmtId="176" fontId="108" fillId="73" borderId="99" xfId="1567" applyNumberFormat="1" applyFont="1" applyFill="1" applyBorder="1" applyAlignment="1">
      <alignment wrapText="1"/>
    </xf>
    <xf numFmtId="176" fontId="97" fillId="76" borderId="25" xfId="1567" applyNumberFormat="1" applyFont="1" applyFill="1" applyBorder="1"/>
    <xf numFmtId="176" fontId="108" fillId="72" borderId="25" xfId="1568" applyNumberFormat="1" applyFont="1" applyFill="1" applyBorder="1"/>
    <xf numFmtId="176" fontId="97" fillId="72" borderId="25" xfId="1567" applyNumberFormat="1" applyFont="1" applyFill="1" applyBorder="1"/>
    <xf numFmtId="176" fontId="0" fillId="72" borderId="25" xfId="1568" applyNumberFormat="1" applyFont="1" applyFill="1" applyBorder="1"/>
    <xf numFmtId="1" fontId="9" fillId="5" borderId="0" xfId="1567" applyNumberFormat="1" applyFill="1"/>
    <xf numFmtId="9" fontId="9" fillId="76" borderId="25" xfId="1567" applyNumberFormat="1" applyFill="1" applyBorder="1"/>
    <xf numFmtId="176" fontId="108" fillId="76" borderId="25" xfId="1567" applyNumberFormat="1" applyFont="1" applyFill="1" applyBorder="1"/>
    <xf numFmtId="164" fontId="104" fillId="0" borderId="0" xfId="1567" applyNumberFormat="1" applyFont="1"/>
    <xf numFmtId="164" fontId="9" fillId="0" borderId="0" xfId="1567" applyNumberFormat="1"/>
    <xf numFmtId="180" fontId="104" fillId="0" borderId="0" xfId="1567" applyNumberFormat="1" applyFont="1"/>
    <xf numFmtId="0" fontId="27" fillId="5" borderId="90" xfId="0" applyNumberFormat="1" applyFont="1" applyFill="1" applyBorder="1" applyAlignment="1">
      <alignment horizontal="left" vertical="center" wrapText="1"/>
    </xf>
    <xf numFmtId="0" fontId="27" fillId="5" borderId="39" xfId="0" applyNumberFormat="1" applyFont="1" applyFill="1" applyBorder="1" applyAlignment="1">
      <alignment vertical="center" wrapText="1"/>
    </xf>
    <xf numFmtId="176" fontId="109" fillId="0" borderId="0" xfId="5" applyNumberFormat="1" applyFont="1"/>
    <xf numFmtId="179" fontId="111" fillId="9" borderId="99" xfId="1581" applyNumberFormat="1" applyFont="1" applyFill="1" applyBorder="1" applyAlignment="1">
      <alignment vertical="top" wrapText="1"/>
    </xf>
    <xf numFmtId="179" fontId="111" fillId="83" borderId="99" xfId="1581" applyNumberFormat="1" applyFont="1" applyFill="1" applyBorder="1" applyAlignment="1">
      <alignment horizontal="right" vertical="top" wrapText="1"/>
    </xf>
    <xf numFmtId="0" fontId="111" fillId="0" borderId="99" xfId="1581" applyFont="1" applyFill="1" applyBorder="1" applyAlignment="1">
      <alignment vertical="top" wrapText="1"/>
    </xf>
    <xf numFmtId="0" fontId="111" fillId="0" borderId="28" xfId="1581" applyFont="1" applyFill="1" applyBorder="1" applyAlignment="1">
      <alignment vertical="top" wrapText="1"/>
    </xf>
    <xf numFmtId="0" fontId="111" fillId="0" borderId="99" xfId="1581" applyFont="1" applyBorder="1" applyAlignment="1">
      <alignment horizontal="left" vertical="top" wrapText="1"/>
    </xf>
    <xf numFmtId="0" fontId="111" fillId="0" borderId="99" xfId="1581" applyFont="1" applyFill="1" applyBorder="1" applyAlignment="1">
      <alignment horizontal="left" vertical="top" wrapText="1"/>
    </xf>
    <xf numFmtId="0" fontId="111" fillId="0" borderId="99" xfId="1581" applyFont="1" applyBorder="1" applyAlignment="1">
      <alignment vertical="top" wrapText="1"/>
    </xf>
    <xf numFmtId="179" fontId="109" fillId="11" borderId="22" xfId="1581" applyNumberFormat="1" applyFont="1" applyFill="1" applyBorder="1" applyAlignment="1">
      <alignment horizontal="right" vertical="center" wrapText="1"/>
    </xf>
    <xf numFmtId="0" fontId="109" fillId="0" borderId="105" xfId="1581" applyFont="1" applyBorder="1" applyAlignment="1">
      <alignment horizontal="left" vertical="top" wrapText="1"/>
    </xf>
    <xf numFmtId="0" fontId="109" fillId="5" borderId="107" xfId="1581" applyFont="1" applyFill="1" applyBorder="1" applyAlignment="1">
      <alignment horizontal="left" vertical="top" wrapText="1"/>
    </xf>
    <xf numFmtId="179" fontId="109" fillId="13" borderId="99" xfId="1581" applyNumberFormat="1" applyFont="1" applyFill="1" applyBorder="1" applyAlignment="1">
      <alignment horizontal="right" vertical="center" wrapText="1"/>
    </xf>
    <xf numFmtId="179" fontId="109" fillId="82" borderId="99" xfId="1581" applyNumberFormat="1" applyFont="1" applyFill="1" applyBorder="1" applyAlignment="1">
      <alignment horizontal="right" vertical="center" wrapText="1"/>
    </xf>
    <xf numFmtId="179" fontId="109" fillId="84" borderId="99" xfId="1581" applyNumberFormat="1" applyFont="1" applyFill="1" applyBorder="1" applyAlignment="1">
      <alignment horizontal="center" vertical="center" wrapText="1"/>
    </xf>
    <xf numFmtId="179" fontId="113" fillId="9" borderId="22" xfId="1581" applyNumberFormat="1" applyFont="1" applyFill="1" applyBorder="1" applyAlignment="1">
      <alignment horizontal="right" vertical="center" wrapText="1"/>
    </xf>
    <xf numFmtId="179" fontId="113" fillId="9" borderId="99" xfId="1581" applyNumberFormat="1" applyFont="1" applyFill="1" applyBorder="1" applyAlignment="1">
      <alignment horizontal="right" vertical="center" wrapText="1"/>
    </xf>
    <xf numFmtId="4" fontId="123" fillId="0" borderId="102" xfId="0" applyNumberFormat="1" applyFont="1" applyBorder="1"/>
    <xf numFmtId="4" fontId="123" fillId="82" borderId="102" xfId="0" applyNumberFormat="1" applyFont="1" applyFill="1" applyBorder="1" applyAlignment="1">
      <alignment horizontal="left" vertical="top" wrapText="1"/>
    </xf>
    <xf numFmtId="181" fontId="109" fillId="0" borderId="0" xfId="1581" applyNumberFormat="1" applyFont="1"/>
    <xf numFmtId="179" fontId="111" fillId="77" borderId="99" xfId="1581" applyNumberFormat="1" applyFont="1" applyFill="1" applyBorder="1" applyAlignment="1">
      <alignment horizontal="right" vertical="top" wrapText="1"/>
    </xf>
    <xf numFmtId="179" fontId="111" fillId="77" borderId="99" xfId="1581" applyNumberFormat="1" applyFont="1" applyFill="1" applyBorder="1" applyAlignment="1">
      <alignment horizontal="left" vertical="top" wrapText="1"/>
    </xf>
    <xf numFmtId="179" fontId="111" fillId="9" borderId="99" xfId="1581" applyNumberFormat="1" applyFont="1" applyFill="1" applyBorder="1" applyAlignment="1">
      <alignment horizontal="right" vertical="center" wrapText="1"/>
    </xf>
    <xf numFmtId="179" fontId="111" fillId="84" borderId="99" xfId="1581" applyNumberFormat="1" applyFont="1" applyFill="1" applyBorder="1" applyAlignment="1">
      <alignment horizontal="center" vertical="center" wrapText="1"/>
    </xf>
    <xf numFmtId="179" fontId="111" fillId="6" borderId="99" xfId="1581" applyNumberFormat="1" applyFont="1" applyFill="1" applyBorder="1" applyAlignment="1">
      <alignment vertical="top" wrapText="1"/>
    </xf>
    <xf numFmtId="179" fontId="111" fillId="9" borderId="99" xfId="1581" applyNumberFormat="1" applyFont="1" applyFill="1" applyBorder="1"/>
    <xf numFmtId="179" fontId="111" fillId="84" borderId="99" xfId="1581" applyNumberFormat="1" applyFont="1" applyFill="1" applyBorder="1" applyAlignment="1">
      <alignment horizontal="left" vertical="top" wrapText="1"/>
    </xf>
    <xf numFmtId="175" fontId="109" fillId="0" borderId="0" xfId="1581" applyNumberFormat="1" applyFont="1"/>
    <xf numFmtId="179" fontId="110" fillId="9" borderId="105" xfId="1581" applyNumberFormat="1" applyFont="1" applyFill="1" applyBorder="1" applyAlignment="1">
      <alignment horizontal="center" vertical="center" wrapText="1"/>
    </xf>
    <xf numFmtId="179" fontId="110" fillId="77" borderId="100" xfId="1581" applyNumberFormat="1" applyFont="1" applyFill="1" applyBorder="1" applyAlignment="1">
      <alignment vertical="top" wrapText="1"/>
    </xf>
    <xf numFmtId="0" fontId="125" fillId="77" borderId="100" xfId="1581" applyFont="1" applyFill="1" applyBorder="1" applyAlignment="1">
      <alignment horizontal="center" vertical="center" wrapText="1"/>
    </xf>
    <xf numFmtId="179" fontId="110" fillId="77" borderId="22" xfId="1581" applyNumberFormat="1" applyFont="1" applyFill="1" applyBorder="1" applyAlignment="1">
      <alignment vertical="top" wrapText="1"/>
    </xf>
    <xf numFmtId="179" fontId="110" fillId="77" borderId="23" xfId="1581" applyNumberFormat="1" applyFont="1" applyFill="1" applyBorder="1" applyAlignment="1">
      <alignment vertical="top" wrapText="1"/>
    </xf>
    <xf numFmtId="179" fontId="110" fillId="77" borderId="36" xfId="1581" applyNumberFormat="1" applyFont="1" applyFill="1" applyBorder="1" applyAlignment="1">
      <alignment horizontal="center" vertical="center" wrapText="1"/>
    </xf>
    <xf numFmtId="179" fontId="110" fillId="77" borderId="20" xfId="1581" applyNumberFormat="1" applyFont="1" applyFill="1" applyBorder="1" applyAlignment="1">
      <alignment horizontal="center" vertical="center" wrapText="1"/>
    </xf>
    <xf numFmtId="179" fontId="110" fillId="77" borderId="37" xfId="1581" applyNumberFormat="1" applyFont="1" applyFill="1" applyBorder="1" applyAlignment="1">
      <alignment horizontal="center" vertical="center" wrapText="1"/>
    </xf>
    <xf numFmtId="179" fontId="109" fillId="5" borderId="105" xfId="1577" applyNumberFormat="1" applyFont="1" applyFill="1" applyBorder="1" applyAlignment="1">
      <alignment vertical="top"/>
    </xf>
    <xf numFmtId="179" fontId="109" fillId="5" borderId="99" xfId="1577" applyNumberFormat="1" applyFont="1" applyFill="1" applyBorder="1" applyAlignment="1">
      <alignment horizontal="right" vertical="center"/>
    </xf>
    <xf numFmtId="179" fontId="109" fillId="0" borderId="106" xfId="1577" applyNumberFormat="1" applyFont="1" applyBorder="1" applyAlignment="1">
      <alignment horizontal="right" vertical="center"/>
    </xf>
    <xf numFmtId="179" fontId="109" fillId="0" borderId="0" xfId="1577" applyNumberFormat="1" applyFont="1" applyAlignment="1">
      <alignment horizontal="right" vertical="center"/>
    </xf>
    <xf numFmtId="176" fontId="113" fillId="5" borderId="99" xfId="5" applyNumberFormat="1" applyFont="1" applyFill="1" applyBorder="1"/>
    <xf numFmtId="3" fontId="128" fillId="5" borderId="95" xfId="1577" applyNumberFormat="1" applyFont="1" applyFill="1" applyBorder="1" applyAlignment="1">
      <alignment vertical="top"/>
    </xf>
    <xf numFmtId="179" fontId="128" fillId="5" borderId="95" xfId="1577" applyNumberFormat="1" applyFont="1" applyFill="1" applyBorder="1" applyAlignment="1">
      <alignment vertical="top"/>
    </xf>
    <xf numFmtId="0" fontId="110" fillId="0" borderId="0" xfId="1581" applyFont="1" applyAlignment="1">
      <alignment horizontal="center"/>
    </xf>
    <xf numFmtId="0" fontId="110" fillId="0" borderId="99" xfId="1581" applyFont="1" applyBorder="1" applyAlignment="1">
      <alignment horizontal="center" vertical="center"/>
    </xf>
    <xf numFmtId="179" fontId="110" fillId="0" borderId="0" xfId="1581" applyNumberFormat="1" applyFont="1" applyBorder="1" applyAlignment="1">
      <alignment horizontal="center"/>
    </xf>
    <xf numFmtId="0" fontId="109" fillId="13" borderId="96" xfId="1581" applyFont="1" applyFill="1" applyBorder="1"/>
    <xf numFmtId="0" fontId="109" fillId="75" borderId="96" xfId="1581" applyFont="1" applyFill="1" applyBorder="1"/>
    <xf numFmtId="0" fontId="109" fillId="85" borderId="96" xfId="1581" applyFont="1" applyFill="1" applyBorder="1"/>
    <xf numFmtId="0" fontId="109" fillId="88" borderId="96" xfId="1581" applyFont="1" applyFill="1" applyBorder="1"/>
    <xf numFmtId="0" fontId="109" fillId="89" borderId="96" xfId="1581" applyFont="1" applyFill="1" applyBorder="1"/>
    <xf numFmtId="179" fontId="109" fillId="77" borderId="96" xfId="1581" applyNumberFormat="1" applyFont="1" applyFill="1" applyBorder="1"/>
    <xf numFmtId="0" fontId="109" fillId="0" borderId="96" xfId="1581" applyFont="1" applyBorder="1"/>
    <xf numFmtId="179" fontId="109" fillId="0" borderId="96" xfId="1581" applyNumberFormat="1" applyFont="1" applyBorder="1"/>
    <xf numFmtId="0" fontId="1" fillId="5" borderId="25" xfId="1567" applyFont="1" applyFill="1" applyBorder="1" applyAlignment="1">
      <alignment wrapText="1"/>
    </xf>
    <xf numFmtId="0" fontId="1" fillId="5" borderId="99" xfId="1567" applyFont="1" applyFill="1" applyBorder="1"/>
    <xf numFmtId="9" fontId="109" fillId="5" borderId="99" xfId="6" applyFont="1" applyFill="1" applyBorder="1" applyAlignment="1">
      <alignment vertical="top"/>
    </xf>
    <xf numFmtId="9" fontId="109" fillId="0" borderId="99" xfId="6" applyFont="1" applyFill="1" applyBorder="1" applyAlignment="1">
      <alignment vertical="top" wrapText="1"/>
    </xf>
    <xf numFmtId="0" fontId="104" fillId="0" borderId="0" xfId="1567" applyFont="1"/>
    <xf numFmtId="0" fontId="104" fillId="5" borderId="0" xfId="1567" applyFont="1" applyFill="1"/>
    <xf numFmtId="176" fontId="104" fillId="0" borderId="0" xfId="1567" applyNumberFormat="1" applyFont="1"/>
    <xf numFmtId="0" fontId="104" fillId="0" borderId="0" xfId="1567" applyFont="1" applyAlignment="1">
      <alignment horizontal="right"/>
    </xf>
    <xf numFmtId="176" fontId="9" fillId="0" borderId="0" xfId="1567" applyNumberFormat="1"/>
    <xf numFmtId="2" fontId="9" fillId="0" borderId="0" xfId="1567" applyNumberFormat="1"/>
    <xf numFmtId="9" fontId="122" fillId="5" borderId="0" xfId="6" applyFont="1" applyFill="1" applyBorder="1" applyAlignment="1"/>
    <xf numFmtId="0" fontId="122" fillId="5" borderId="0" xfId="0" applyNumberFormat="1" applyFont="1" applyFill="1" applyBorder="1" applyAlignment="1"/>
    <xf numFmtId="166" fontId="122" fillId="5" borderId="0" xfId="0" applyNumberFormat="1" applyFont="1" applyFill="1" applyBorder="1" applyAlignment="1"/>
    <xf numFmtId="176" fontId="122" fillId="5" borderId="0" xfId="0" applyNumberFormat="1" applyFont="1" applyFill="1" applyBorder="1" applyAlignment="1"/>
    <xf numFmtId="164" fontId="122" fillId="5" borderId="0" xfId="0" applyNumberFormat="1" applyFont="1" applyFill="1" applyBorder="1" applyAlignment="1"/>
    <xf numFmtId="182" fontId="129" fillId="5" borderId="0" xfId="5" applyNumberFormat="1" applyFont="1" applyFill="1" applyBorder="1" applyAlignment="1"/>
    <xf numFmtId="176" fontId="26" fillId="3" borderId="18" xfId="5" applyNumberFormat="1" applyFont="1" applyFill="1" applyBorder="1" applyAlignment="1"/>
    <xf numFmtId="179" fontId="0" fillId="0" borderId="21" xfId="5" applyNumberFormat="1" applyFont="1" applyFill="1" applyBorder="1" applyAlignment="1"/>
    <xf numFmtId="0" fontId="23" fillId="4" borderId="1" xfId="0" applyNumberFormat="1" applyFont="1" applyFill="1" applyBorder="1" applyAlignment="1">
      <alignment horizontal="center" vertical="center"/>
    </xf>
    <xf numFmtId="0" fontId="23" fillId="4" borderId="2" xfId="0" applyNumberFormat="1" applyFont="1" applyFill="1" applyBorder="1" applyAlignment="1">
      <alignment horizontal="center" vertical="center"/>
    </xf>
    <xf numFmtId="0" fontId="23" fillId="4" borderId="3" xfId="0" applyNumberFormat="1" applyFont="1" applyFill="1" applyBorder="1" applyAlignment="1">
      <alignment horizontal="center" vertical="center"/>
    </xf>
    <xf numFmtId="0" fontId="23" fillId="4" borderId="4" xfId="0" applyNumberFormat="1" applyFont="1" applyFill="1" applyBorder="1" applyAlignment="1">
      <alignment horizontal="center" vertical="center"/>
    </xf>
    <xf numFmtId="0" fontId="23" fillId="4" borderId="5" xfId="0" applyNumberFormat="1" applyFont="1" applyFill="1" applyBorder="1" applyAlignment="1">
      <alignment horizontal="center" vertical="center"/>
    </xf>
    <xf numFmtId="0" fontId="23" fillId="4" borderId="6" xfId="0" applyNumberFormat="1" applyFont="1" applyFill="1" applyBorder="1" applyAlignment="1">
      <alignment horizontal="center" vertical="center"/>
    </xf>
    <xf numFmtId="0" fontId="23" fillId="4" borderId="16" xfId="0" applyNumberFormat="1" applyFont="1" applyFill="1" applyBorder="1" applyAlignment="1">
      <alignment horizontal="center" vertical="center"/>
    </xf>
    <xf numFmtId="0" fontId="23" fillId="0" borderId="1" xfId="0" applyNumberFormat="1" applyFont="1" applyFill="1" applyBorder="1" applyAlignment="1">
      <alignment horizontal="left" vertical="center"/>
    </xf>
    <xf numFmtId="0" fontId="23" fillId="0" borderId="2" xfId="0" applyNumberFormat="1" applyFont="1" applyFill="1" applyBorder="1" applyAlignment="1">
      <alignment horizontal="left" vertical="center"/>
    </xf>
    <xf numFmtId="0" fontId="23" fillId="0" borderId="3" xfId="0" applyNumberFormat="1" applyFont="1" applyFill="1" applyBorder="1" applyAlignment="1">
      <alignment horizontal="left" vertical="center"/>
    </xf>
    <xf numFmtId="0" fontId="25" fillId="0" borderId="38" xfId="0" applyNumberFormat="1" applyFont="1" applyFill="1" applyBorder="1" applyAlignment="1">
      <alignment horizontal="center" vertical="center" wrapText="1"/>
    </xf>
    <xf numFmtId="0" fontId="25" fillId="0" borderId="59" xfId="0" applyNumberFormat="1" applyFont="1" applyFill="1" applyBorder="1" applyAlignment="1">
      <alignment horizontal="center" vertical="center" wrapText="1"/>
    </xf>
    <xf numFmtId="0" fontId="25" fillId="0" borderId="63" xfId="0" applyNumberFormat="1" applyFont="1" applyFill="1" applyBorder="1" applyAlignment="1">
      <alignment horizontal="center" vertical="center" wrapText="1"/>
    </xf>
    <xf numFmtId="0" fontId="80" fillId="0" borderId="4" xfId="0" applyNumberFormat="1" applyFont="1" applyFill="1" applyBorder="1" applyAlignment="1">
      <alignment horizontal="left" vertical="center" wrapText="1"/>
    </xf>
    <xf numFmtId="0" fontId="80" fillId="0" borderId="5" xfId="0" applyNumberFormat="1" applyFont="1" applyFill="1" applyBorder="1" applyAlignment="1">
      <alignment horizontal="left" vertical="center" wrapText="1"/>
    </xf>
    <xf numFmtId="0" fontId="80" fillId="0" borderId="6" xfId="0" applyNumberFormat="1" applyFont="1" applyFill="1" applyBorder="1" applyAlignment="1">
      <alignment horizontal="left" vertical="center" wrapText="1"/>
    </xf>
    <xf numFmtId="0" fontId="23" fillId="4" borderId="9" xfId="0" applyNumberFormat="1" applyFont="1" applyFill="1" applyBorder="1" applyAlignment="1">
      <alignment horizontal="center" vertical="center"/>
    </xf>
    <xf numFmtId="0" fontId="23" fillId="4" borderId="30" xfId="0" applyNumberFormat="1" applyFont="1" applyFill="1" applyBorder="1" applyAlignment="1">
      <alignment horizontal="center" vertical="center"/>
    </xf>
    <xf numFmtId="0" fontId="23" fillId="4" borderId="34" xfId="0" applyNumberFormat="1" applyFont="1" applyFill="1" applyBorder="1" applyAlignment="1">
      <alignment horizontal="center" vertical="center"/>
    </xf>
    <xf numFmtId="0" fontId="23" fillId="4" borderId="53" xfId="0" applyNumberFormat="1" applyFont="1" applyFill="1" applyBorder="1" applyAlignment="1">
      <alignment horizontal="center" vertical="center"/>
    </xf>
    <xf numFmtId="0" fontId="23" fillId="4" borderId="45" xfId="0" applyNumberFormat="1" applyFont="1" applyFill="1" applyBorder="1" applyAlignment="1">
      <alignment horizontal="center" vertical="center"/>
    </xf>
    <xf numFmtId="0" fontId="23" fillId="4" borderId="64" xfId="0" applyNumberFormat="1" applyFont="1" applyFill="1" applyBorder="1" applyAlignment="1">
      <alignment horizontal="center" vertical="center"/>
    </xf>
    <xf numFmtId="0" fontId="0" fillId="0" borderId="47" xfId="0" applyBorder="1" applyAlignment="1">
      <alignment horizontal="center" vertical="center"/>
    </xf>
    <xf numFmtId="0" fontId="0" fillId="0" borderId="43" xfId="0" applyBorder="1" applyAlignment="1">
      <alignment horizontal="center" vertical="center"/>
    </xf>
    <xf numFmtId="0" fontId="0" fillId="0" borderId="56" xfId="0" applyBorder="1" applyAlignment="1">
      <alignment horizontal="center" vertical="center"/>
    </xf>
    <xf numFmtId="0" fontId="98" fillId="0" borderId="8" xfId="0" applyFont="1" applyBorder="1" applyAlignment="1">
      <alignment horizontal="center" vertical="center" wrapText="1"/>
    </xf>
    <xf numFmtId="0" fontId="98" fillId="0" borderId="13" xfId="0" applyFont="1" applyBorder="1" applyAlignment="1">
      <alignment horizontal="center" vertical="center" wrapText="1"/>
    </xf>
    <xf numFmtId="0" fontId="98" fillId="0" borderId="15" xfId="0" applyFont="1" applyBorder="1" applyAlignment="1">
      <alignment horizontal="center" vertical="center" wrapText="1"/>
    </xf>
    <xf numFmtId="0" fontId="98" fillId="0" borderId="8" xfId="0" applyFont="1" applyBorder="1" applyAlignment="1">
      <alignment horizontal="center" vertical="center"/>
    </xf>
    <xf numFmtId="0" fontId="98" fillId="0" borderId="13" xfId="0" applyFont="1" applyBorder="1" applyAlignment="1">
      <alignment horizontal="center" vertical="center"/>
    </xf>
    <xf numFmtId="0" fontId="98" fillId="0" borderId="15" xfId="0" applyFont="1" applyBorder="1" applyAlignment="1">
      <alignment horizontal="center" vertical="center"/>
    </xf>
    <xf numFmtId="0" fontId="98" fillId="4" borderId="8" xfId="0" applyFont="1" applyFill="1" applyBorder="1" applyAlignment="1">
      <alignment horizontal="center" vertical="center"/>
    </xf>
    <xf numFmtId="0" fontId="98" fillId="4" borderId="13" xfId="0" applyFont="1" applyFill="1" applyBorder="1" applyAlignment="1">
      <alignment horizontal="center" vertical="center"/>
    </xf>
    <xf numFmtId="0" fontId="98" fillId="4" borderId="15" xfId="0" applyFont="1" applyFill="1" applyBorder="1" applyAlignment="1">
      <alignment horizontal="center" vertical="center"/>
    </xf>
    <xf numFmtId="0" fontId="25" fillId="0" borderId="4" xfId="0" applyNumberFormat="1" applyFont="1" applyFill="1" applyBorder="1" applyAlignment="1">
      <alignment horizontal="left" vertical="center" wrapText="1"/>
    </xf>
    <xf numFmtId="0" fontId="25" fillId="0" borderId="5" xfId="0" applyNumberFormat="1" applyFont="1" applyFill="1" applyBorder="1" applyAlignment="1">
      <alignment horizontal="left" vertical="center" wrapText="1"/>
    </xf>
    <xf numFmtId="0" fontId="25" fillId="0" borderId="6" xfId="0" applyNumberFormat="1" applyFont="1" applyFill="1" applyBorder="1" applyAlignment="1">
      <alignment horizontal="left" vertical="center" wrapText="1"/>
    </xf>
    <xf numFmtId="0" fontId="23" fillId="4" borderId="33" xfId="0" applyNumberFormat="1" applyFont="1" applyFill="1" applyBorder="1" applyAlignment="1">
      <alignment horizontal="center" vertical="center"/>
    </xf>
    <xf numFmtId="0" fontId="23" fillId="4" borderId="28" xfId="0" applyNumberFormat="1" applyFont="1" applyFill="1" applyBorder="1" applyAlignment="1">
      <alignment horizontal="center" vertical="center"/>
    </xf>
    <xf numFmtId="0" fontId="23" fillId="4" borderId="35" xfId="0" applyNumberFormat="1" applyFont="1" applyFill="1" applyBorder="1" applyAlignment="1">
      <alignment horizontal="center" vertical="center"/>
    </xf>
    <xf numFmtId="0" fontId="98" fillId="0" borderId="8" xfId="1557" applyFont="1" applyBorder="1" applyAlignment="1">
      <alignment horizontal="center" vertical="center"/>
    </xf>
    <xf numFmtId="0" fontId="98" fillId="0" borderId="13" xfId="1557" applyFont="1" applyBorder="1" applyAlignment="1">
      <alignment horizontal="center" vertical="center"/>
    </xf>
    <xf numFmtId="0" fontId="98" fillId="0" borderId="15" xfId="1557" applyFont="1" applyBorder="1" applyAlignment="1">
      <alignment horizontal="center" vertical="center"/>
    </xf>
    <xf numFmtId="0" fontId="98" fillId="0" borderId="47" xfId="1557" applyFont="1" applyBorder="1" applyAlignment="1">
      <alignment horizontal="center" vertical="center"/>
    </xf>
    <xf numFmtId="0" fontId="98" fillId="0" borderId="43" xfId="1557" applyFont="1" applyBorder="1" applyAlignment="1">
      <alignment horizontal="center" vertical="center"/>
    </xf>
    <xf numFmtId="0" fontId="98" fillId="0" borderId="56" xfId="1557" applyFont="1" applyBorder="1" applyAlignment="1">
      <alignment horizontal="center" vertical="center"/>
    </xf>
    <xf numFmtId="0" fontId="98" fillId="0" borderId="47" xfId="1557" applyFont="1" applyBorder="1" applyAlignment="1">
      <alignment horizontal="center" vertical="center" wrapText="1"/>
    </xf>
    <xf numFmtId="0" fontId="98" fillId="0" borderId="43" xfId="1557" applyFont="1" applyBorder="1" applyAlignment="1">
      <alignment horizontal="center" vertical="center" wrapText="1"/>
    </xf>
    <xf numFmtId="0" fontId="98" fillId="0" borderId="56" xfId="1557" applyFont="1" applyBorder="1" applyAlignment="1">
      <alignment horizontal="center" vertical="center" wrapText="1"/>
    </xf>
    <xf numFmtId="0" fontId="98" fillId="0" borderId="39" xfId="1557" applyFont="1" applyBorder="1" applyAlignment="1">
      <alignment horizontal="center" vertical="center"/>
    </xf>
    <xf numFmtId="0" fontId="98" fillId="0" borderId="51" xfId="1557" applyFont="1" applyBorder="1" applyAlignment="1">
      <alignment horizontal="center" vertical="center"/>
    </xf>
    <xf numFmtId="0" fontId="98" fillId="0" borderId="7" xfId="1557" applyFont="1" applyBorder="1" applyAlignment="1">
      <alignment horizontal="center" vertical="center"/>
    </xf>
    <xf numFmtId="0" fontId="98" fillId="0" borderId="46" xfId="1557" applyFont="1" applyBorder="1" applyAlignment="1">
      <alignment horizontal="center" vertical="center"/>
    </xf>
    <xf numFmtId="0" fontId="98" fillId="0" borderId="12" xfId="1557" applyFont="1" applyBorder="1" applyAlignment="1">
      <alignment horizontal="center" vertical="center"/>
    </xf>
    <xf numFmtId="0" fontId="98" fillId="0" borderId="90" xfId="1557" applyFont="1" applyBorder="1" applyAlignment="1">
      <alignment horizontal="center" vertical="center"/>
    </xf>
    <xf numFmtId="0" fontId="98" fillId="0" borderId="58" xfId="1557" applyFont="1" applyBorder="1" applyAlignment="1">
      <alignment horizontal="center" vertical="center"/>
    </xf>
    <xf numFmtId="0" fontId="96" fillId="0" borderId="30" xfId="1564" applyFont="1" applyBorder="1" applyAlignment="1">
      <alignment horizontal="center"/>
    </xf>
    <xf numFmtId="0" fontId="96" fillId="0" borderId="31" xfId="1564" applyFont="1" applyBorder="1" applyAlignment="1">
      <alignment horizontal="center"/>
    </xf>
    <xf numFmtId="0" fontId="96" fillId="0" borderId="92" xfId="1564" applyFont="1" applyBorder="1" applyAlignment="1">
      <alignment horizontal="center"/>
    </xf>
    <xf numFmtId="0" fontId="96" fillId="0" borderId="41" xfId="1564" applyFont="1" applyBorder="1" applyAlignment="1">
      <alignment horizontal="center"/>
    </xf>
    <xf numFmtId="0" fontId="96" fillId="0" borderId="29" xfId="1564" applyFont="1" applyBorder="1" applyAlignment="1">
      <alignment horizontal="center"/>
    </xf>
    <xf numFmtId="0" fontId="96" fillId="0" borderId="94" xfId="1564" applyFont="1" applyBorder="1" applyAlignment="1">
      <alignment horizontal="center"/>
    </xf>
    <xf numFmtId="0" fontId="96" fillId="0" borderId="27" xfId="1564" applyFont="1" applyBorder="1" applyAlignment="1">
      <alignment horizontal="center"/>
    </xf>
    <xf numFmtId="0" fontId="96" fillId="0" borderId="28" xfId="1564" applyFont="1" applyBorder="1" applyAlignment="1">
      <alignment horizontal="center"/>
    </xf>
    <xf numFmtId="0" fontId="96" fillId="0" borderId="34" xfId="1564" applyFont="1" applyBorder="1" applyAlignment="1">
      <alignment horizontal="center"/>
    </xf>
    <xf numFmtId="0" fontId="96" fillId="0" borderId="35" xfId="1564" applyFont="1" applyBorder="1" applyAlignment="1">
      <alignment horizontal="center"/>
    </xf>
    <xf numFmtId="0" fontId="10" fillId="0" borderId="0" xfId="1564" applyBorder="1" applyAlignment="1">
      <alignment horizontal="center"/>
    </xf>
    <xf numFmtId="0" fontId="10" fillId="0" borderId="0" xfId="1564" applyAlignment="1">
      <alignment horizontal="center"/>
    </xf>
    <xf numFmtId="0" fontId="96" fillId="0" borderId="7" xfId="1564" applyFont="1" applyBorder="1" applyAlignment="1">
      <alignment horizontal="center" vertical="center"/>
    </xf>
    <xf numFmtId="0" fontId="96" fillId="0" borderId="41" xfId="1564" applyFont="1" applyBorder="1" applyAlignment="1">
      <alignment horizontal="center" vertical="center"/>
    </xf>
    <xf numFmtId="0" fontId="96" fillId="0" borderId="31" xfId="1564" applyFont="1" applyBorder="1" applyAlignment="1">
      <alignment horizontal="center" vertical="center"/>
    </xf>
    <xf numFmtId="0" fontId="96" fillId="0" borderId="30" xfId="1564" applyFont="1" applyBorder="1" applyAlignment="1">
      <alignment horizontal="center" vertical="center"/>
    </xf>
    <xf numFmtId="0" fontId="96" fillId="0" borderId="47" xfId="1564" applyFont="1" applyBorder="1" applyAlignment="1">
      <alignment horizontal="center" vertical="center" wrapText="1"/>
    </xf>
    <xf numFmtId="0" fontId="96" fillId="0" borderId="56" xfId="1564" applyFont="1" applyBorder="1" applyAlignment="1">
      <alignment horizontal="center" vertical="center" wrapText="1"/>
    </xf>
    <xf numFmtId="0" fontId="96" fillId="0" borderId="34" xfId="1564" applyFont="1" applyBorder="1" applyAlignment="1">
      <alignment horizontal="center" vertical="center"/>
    </xf>
    <xf numFmtId="0" fontId="96" fillId="0" borderId="47" xfId="1564" applyFont="1" applyBorder="1" applyAlignment="1">
      <alignment horizontal="center" vertical="center"/>
    </xf>
    <xf numFmtId="0" fontId="96" fillId="0" borderId="56" xfId="1564" applyFont="1" applyBorder="1" applyAlignment="1">
      <alignment horizontal="center" vertical="center"/>
    </xf>
    <xf numFmtId="0" fontId="96" fillId="0" borderId="47" xfId="1564" applyFont="1" applyBorder="1" applyAlignment="1">
      <alignment horizontal="center" wrapText="1"/>
    </xf>
    <xf numFmtId="0" fontId="96" fillId="0" borderId="56" xfId="1564" applyFont="1" applyBorder="1" applyAlignment="1">
      <alignment horizontal="center" wrapText="1"/>
    </xf>
    <xf numFmtId="0" fontId="106" fillId="74" borderId="25" xfId="1567" applyFont="1" applyFill="1" applyBorder="1" applyAlignment="1">
      <alignment horizontal="center" vertical="center" wrapText="1"/>
    </xf>
    <xf numFmtId="0" fontId="107" fillId="74" borderId="25" xfId="1567" applyFont="1" applyFill="1" applyBorder="1" applyAlignment="1">
      <alignment horizontal="center" vertical="center" wrapText="1"/>
    </xf>
    <xf numFmtId="0" fontId="106" fillId="0" borderId="45" xfId="1567" applyFont="1" applyBorder="1" applyAlignment="1">
      <alignment horizontal="center" vertical="center" wrapText="1"/>
    </xf>
    <xf numFmtId="0" fontId="106" fillId="0" borderId="22" xfId="1567" applyFont="1" applyBorder="1" applyAlignment="1">
      <alignment horizontal="center" vertical="center" wrapText="1"/>
    </xf>
    <xf numFmtId="0" fontId="106" fillId="74" borderId="26" xfId="1567" applyFont="1" applyFill="1" applyBorder="1" applyAlignment="1">
      <alignment horizontal="center" vertical="center" wrapText="1"/>
    </xf>
    <xf numFmtId="0" fontId="106" fillId="74" borderId="24" xfId="1567" applyFont="1" applyFill="1" applyBorder="1" applyAlignment="1">
      <alignment horizontal="center" vertical="center" wrapText="1"/>
    </xf>
    <xf numFmtId="0" fontId="106" fillId="0" borderId="25" xfId="1567" applyFont="1" applyBorder="1" applyAlignment="1">
      <alignment horizontal="center" wrapText="1"/>
    </xf>
    <xf numFmtId="0" fontId="106" fillId="0" borderId="26" xfId="1567" applyFont="1" applyBorder="1" applyAlignment="1">
      <alignment horizontal="center" vertical="center" wrapText="1"/>
    </xf>
    <xf numFmtId="0" fontId="106" fillId="0" borderId="24" xfId="1567" applyFont="1" applyBorder="1" applyAlignment="1">
      <alignment horizontal="center" vertical="center" wrapText="1"/>
    </xf>
    <xf numFmtId="0" fontId="106" fillId="0" borderId="25" xfId="1567" applyFont="1" applyBorder="1" applyAlignment="1">
      <alignment horizontal="center" vertical="center" wrapText="1"/>
    </xf>
    <xf numFmtId="0" fontId="106" fillId="5" borderId="45" xfId="1567" applyFont="1" applyFill="1" applyBorder="1" applyAlignment="1">
      <alignment horizontal="center" vertical="center" wrapText="1"/>
    </xf>
    <xf numFmtId="0" fontId="106" fillId="5" borderId="22" xfId="1567" applyFont="1" applyFill="1" applyBorder="1" applyAlignment="1">
      <alignment horizontal="center" vertical="center" wrapText="1"/>
    </xf>
    <xf numFmtId="0" fontId="110" fillId="80" borderId="99" xfId="1577" applyFont="1" applyFill="1" applyBorder="1" applyAlignment="1">
      <alignment horizontal="right" vertical="top" wrapText="1"/>
    </xf>
    <xf numFmtId="0" fontId="119" fillId="4" borderId="96" xfId="1577" applyFont="1" applyFill="1" applyBorder="1" applyAlignment="1">
      <alignment horizontal="center" vertical="center" wrapText="1"/>
    </xf>
    <xf numFmtId="0" fontId="119" fillId="4" borderId="97" xfId="1577" applyFont="1" applyFill="1" applyBorder="1" applyAlignment="1">
      <alignment horizontal="center" vertical="center" wrapText="1"/>
    </xf>
    <xf numFmtId="0" fontId="106" fillId="80" borderId="26" xfId="1574" applyFont="1" applyFill="1" applyBorder="1" applyAlignment="1">
      <alignment horizontal="center" vertical="center" wrapText="1"/>
    </xf>
    <xf numFmtId="0" fontId="106" fillId="80" borderId="95" xfId="1574" applyFont="1" applyFill="1" applyBorder="1" applyAlignment="1">
      <alignment horizontal="center" vertical="center" wrapText="1"/>
    </xf>
    <xf numFmtId="0" fontId="110" fillId="80" borderId="99" xfId="1577" applyFont="1" applyFill="1" applyBorder="1" applyAlignment="1">
      <alignment horizontal="left" vertical="top" wrapText="1"/>
    </xf>
    <xf numFmtId="179" fontId="125" fillId="0" borderId="0" xfId="1581" applyNumberFormat="1" applyFont="1" applyAlignment="1">
      <alignment horizontal="center" vertical="center"/>
    </xf>
    <xf numFmtId="0" fontId="110" fillId="80" borderId="99" xfId="1581" applyFont="1" applyFill="1" applyBorder="1" applyAlignment="1">
      <alignment horizontal="left" vertical="top" wrapText="1"/>
    </xf>
    <xf numFmtId="0" fontId="110" fillId="11" borderId="31" xfId="1581" applyFont="1" applyFill="1" applyBorder="1" applyAlignment="1">
      <alignment horizontal="center" vertical="center"/>
    </xf>
    <xf numFmtId="0" fontId="110" fillId="11" borderId="92" xfId="1581" applyFont="1" applyFill="1" applyBorder="1" applyAlignment="1">
      <alignment horizontal="center" vertical="center"/>
    </xf>
    <xf numFmtId="0" fontId="96" fillId="81" borderId="23" xfId="1581" applyFont="1" applyFill="1" applyBorder="1" applyAlignment="1">
      <alignment horizontal="center" vertical="center" wrapText="1"/>
    </xf>
    <xf numFmtId="0" fontId="96" fillId="81" borderId="21" xfId="1581" applyFont="1" applyFill="1" applyBorder="1" applyAlignment="1">
      <alignment horizontal="center" vertical="center" wrapText="1"/>
    </xf>
    <xf numFmtId="0" fontId="110" fillId="85" borderId="26" xfId="1581" applyFont="1" applyFill="1" applyBorder="1" applyAlignment="1">
      <alignment horizontal="center" vertical="center"/>
    </xf>
    <xf numFmtId="0" fontId="110" fillId="85" borderId="24" xfId="1581" applyFont="1" applyFill="1" applyBorder="1" applyAlignment="1">
      <alignment horizontal="center" vertical="center"/>
    </xf>
    <xf numFmtId="0" fontId="116" fillId="84" borderId="26" xfId="3" applyNumberFormat="1" applyFont="1" applyFill="1" applyBorder="1" applyAlignment="1">
      <alignment horizontal="center" vertical="center" wrapText="1"/>
    </xf>
    <xf numFmtId="0" fontId="116" fillId="84" borderId="24" xfId="3" applyNumberFormat="1" applyFont="1" applyFill="1" applyBorder="1" applyAlignment="1">
      <alignment horizontal="center" vertical="center" wrapText="1"/>
    </xf>
    <xf numFmtId="0" fontId="116" fillId="77" borderId="12" xfId="3" applyNumberFormat="1" applyFont="1" applyFill="1" applyBorder="1" applyAlignment="1">
      <alignment horizontal="center" vertical="center" wrapText="1"/>
    </xf>
    <xf numFmtId="0" fontId="116" fillId="77" borderId="24" xfId="3" applyNumberFormat="1" applyFont="1" applyFill="1" applyBorder="1" applyAlignment="1">
      <alignment horizontal="center" vertical="center" wrapText="1"/>
    </xf>
    <xf numFmtId="0" fontId="116" fillId="76" borderId="12" xfId="3" applyNumberFormat="1" applyFont="1" applyFill="1" applyBorder="1" applyAlignment="1">
      <alignment horizontal="center" vertical="center" wrapText="1"/>
    </xf>
    <xf numFmtId="0" fontId="116" fillId="76" borderId="95" xfId="3" applyNumberFormat="1" applyFont="1" applyFill="1" applyBorder="1" applyAlignment="1">
      <alignment horizontal="center" vertical="center" wrapText="1"/>
    </xf>
    <xf numFmtId="0" fontId="116" fillId="9" borderId="12" xfId="3" applyNumberFormat="1" applyFont="1" applyFill="1" applyBorder="1" applyAlignment="1">
      <alignment horizontal="center" vertical="center" wrapText="1"/>
    </xf>
    <xf numFmtId="0" fontId="116" fillId="9" borderId="95" xfId="3" applyNumberFormat="1" applyFont="1" applyFill="1" applyBorder="1" applyAlignment="1">
      <alignment horizontal="center" vertical="center" wrapText="1"/>
    </xf>
    <xf numFmtId="179" fontId="110" fillId="0" borderId="38" xfId="1581" applyNumberFormat="1" applyFont="1" applyBorder="1" applyAlignment="1">
      <alignment horizontal="center"/>
    </xf>
    <xf numFmtId="179" fontId="110" fillId="0" borderId="63" xfId="1581" applyNumberFormat="1" applyFont="1" applyBorder="1" applyAlignment="1">
      <alignment horizontal="center"/>
    </xf>
    <xf numFmtId="0" fontId="110" fillId="0" borderId="99" xfId="1581" applyFont="1" applyBorder="1" applyAlignment="1">
      <alignment horizontal="center"/>
    </xf>
    <xf numFmtId="0" fontId="112" fillId="77" borderId="103" xfId="1581" applyFont="1" applyFill="1" applyBorder="1" applyAlignment="1">
      <alignment horizontal="center" vertical="top" wrapText="1"/>
    </xf>
    <xf numFmtId="0" fontId="112" fillId="77" borderId="97" xfId="1581" applyFont="1" applyFill="1" applyBorder="1" applyAlignment="1">
      <alignment horizontal="center" vertical="top" wrapText="1"/>
    </xf>
    <xf numFmtId="0" fontId="112" fillId="77" borderId="96" xfId="1581" applyFont="1" applyFill="1" applyBorder="1" applyAlignment="1">
      <alignment horizontal="center" vertical="top" wrapText="1"/>
    </xf>
    <xf numFmtId="0" fontId="96" fillId="80" borderId="99" xfId="1581" applyFont="1" applyFill="1" applyBorder="1" applyAlignment="1">
      <alignment horizontal="center" vertical="center" wrapText="1"/>
    </xf>
    <xf numFmtId="0" fontId="110" fillId="81" borderId="26" xfId="1581" applyFont="1" applyFill="1" applyBorder="1" applyAlignment="1">
      <alignment horizontal="center" vertical="center" wrapText="1"/>
    </xf>
    <xf numFmtId="0" fontId="110" fillId="81" borderId="24" xfId="1581" applyFont="1" applyFill="1" applyBorder="1" applyAlignment="1">
      <alignment horizontal="center" vertical="center" wrapText="1"/>
    </xf>
    <xf numFmtId="0" fontId="116" fillId="83" borderId="12" xfId="3" applyNumberFormat="1" applyFont="1" applyFill="1" applyBorder="1" applyAlignment="1">
      <alignment horizontal="left" vertical="center" wrapText="1"/>
    </xf>
    <xf numFmtId="0" fontId="116" fillId="83" borderId="24" xfId="3" applyNumberFormat="1" applyFont="1" applyFill="1" applyBorder="1" applyAlignment="1">
      <alignment horizontal="left" vertical="center" wrapText="1"/>
    </xf>
    <xf numFmtId="0" fontId="96" fillId="81" borderId="26" xfId="1581" applyFont="1" applyFill="1" applyBorder="1" applyAlignment="1">
      <alignment horizontal="center" vertical="center" wrapText="1"/>
    </xf>
    <xf numFmtId="0" fontId="96" fillId="81" borderId="24" xfId="1581" applyFont="1" applyFill="1" applyBorder="1" applyAlignment="1">
      <alignment horizontal="center" vertical="center" wrapText="1"/>
    </xf>
    <xf numFmtId="0" fontId="96" fillId="81" borderId="26" xfId="1581" applyFont="1" applyFill="1" applyBorder="1" applyAlignment="1">
      <alignment horizontal="left" vertical="center" wrapText="1"/>
    </xf>
    <xf numFmtId="0" fontId="96" fillId="81" borderId="24" xfId="1581" applyFont="1" applyFill="1" applyBorder="1" applyAlignment="1">
      <alignment horizontal="left" vertical="center" wrapText="1"/>
    </xf>
    <xf numFmtId="0" fontId="116" fillId="9" borderId="99" xfId="3" applyNumberFormat="1" applyFont="1" applyFill="1" applyBorder="1" applyAlignment="1">
      <alignment horizontal="left" vertical="center" wrapText="1"/>
    </xf>
    <xf numFmtId="0" fontId="116" fillId="13" borderId="12" xfId="3" applyNumberFormat="1" applyFont="1" applyFill="1" applyBorder="1" applyAlignment="1">
      <alignment horizontal="left" vertical="center" wrapText="1"/>
    </xf>
    <xf numFmtId="0" fontId="116" fillId="13" borderId="24" xfId="3" applyNumberFormat="1" applyFont="1" applyFill="1" applyBorder="1" applyAlignment="1">
      <alignment horizontal="left" vertical="center" wrapText="1"/>
    </xf>
    <xf numFmtId="0" fontId="110" fillId="6" borderId="26" xfId="1581" applyFont="1" applyFill="1" applyBorder="1" applyAlignment="1">
      <alignment horizontal="center" vertical="center" wrapText="1"/>
    </xf>
    <xf numFmtId="0" fontId="110" fillId="6" borderId="24" xfId="1581" applyFont="1" applyFill="1" applyBorder="1" applyAlignment="1">
      <alignment horizontal="center" vertical="center" wrapText="1"/>
    </xf>
    <xf numFmtId="0" fontId="110" fillId="75" borderId="22" xfId="1581" applyFont="1" applyFill="1" applyBorder="1" applyAlignment="1">
      <alignment horizontal="center" vertical="center" wrapText="1"/>
    </xf>
    <xf numFmtId="0" fontId="96" fillId="81" borderId="105" xfId="1581" applyFont="1" applyFill="1" applyBorder="1" applyAlignment="1">
      <alignment horizontal="left" vertical="center" wrapText="1"/>
    </xf>
    <xf numFmtId="0" fontId="96" fillId="81" borderId="107" xfId="1581" applyFont="1" applyFill="1" applyBorder="1" applyAlignment="1">
      <alignment horizontal="left" vertical="center" wrapText="1"/>
    </xf>
    <xf numFmtId="0" fontId="116" fillId="9" borderId="99" xfId="3" applyNumberFormat="1" applyFont="1" applyFill="1" applyBorder="1" applyAlignment="1">
      <alignment horizontal="center" vertical="center" wrapText="1"/>
    </xf>
    <xf numFmtId="0" fontId="116" fillId="83" borderId="12" xfId="3" applyNumberFormat="1" applyFont="1" applyFill="1" applyBorder="1" applyAlignment="1">
      <alignment horizontal="center" vertical="center" wrapText="1"/>
    </xf>
    <xf numFmtId="0" fontId="116" fillId="83" borderId="24" xfId="3" applyNumberFormat="1" applyFont="1" applyFill="1" applyBorder="1" applyAlignment="1">
      <alignment horizontal="center" vertical="center" wrapText="1"/>
    </xf>
    <xf numFmtId="0" fontId="96" fillId="80" borderId="105" xfId="1581" applyFont="1" applyFill="1" applyBorder="1" applyAlignment="1">
      <alignment horizontal="center" vertical="center" wrapText="1"/>
    </xf>
    <xf numFmtId="0" fontId="96" fillId="80" borderId="106" xfId="1581" applyFont="1" applyFill="1" applyBorder="1" applyAlignment="1">
      <alignment horizontal="center" vertical="center" wrapText="1"/>
    </xf>
    <xf numFmtId="0" fontId="96" fillId="80" borderId="107" xfId="1581" applyFont="1" applyFill="1" applyBorder="1" applyAlignment="1">
      <alignment horizontal="center" vertical="center" wrapText="1"/>
    </xf>
    <xf numFmtId="0" fontId="116" fillId="13" borderId="12" xfId="3" applyNumberFormat="1" applyFont="1" applyFill="1" applyBorder="1" applyAlignment="1">
      <alignment horizontal="center" vertical="center" wrapText="1"/>
    </xf>
    <xf numFmtId="0" fontId="116" fillId="13" borderId="24" xfId="3" applyNumberFormat="1" applyFont="1" applyFill="1" applyBorder="1" applyAlignment="1">
      <alignment horizontal="center" vertical="center" wrapText="1"/>
    </xf>
    <xf numFmtId="0" fontId="96" fillId="81" borderId="23" xfId="1581" applyFont="1" applyFill="1" applyBorder="1" applyAlignment="1">
      <alignment horizontal="left" vertical="center" wrapText="1"/>
    </xf>
    <xf numFmtId="0" fontId="96" fillId="81" borderId="21" xfId="1581" applyFont="1" applyFill="1" applyBorder="1" applyAlignment="1">
      <alignment horizontal="left" vertical="center" wrapText="1"/>
    </xf>
    <xf numFmtId="0" fontId="110" fillId="81" borderId="29" xfId="1581" applyFont="1" applyFill="1" applyBorder="1" applyAlignment="1">
      <alignment horizontal="left" vertical="top" wrapText="1"/>
    </xf>
    <xf numFmtId="0" fontId="110" fillId="81" borderId="27" xfId="1581" applyFont="1" applyFill="1" applyBorder="1" applyAlignment="1">
      <alignment horizontal="left" vertical="top" wrapText="1"/>
    </xf>
    <xf numFmtId="0" fontId="96" fillId="80" borderId="23" xfId="1581" applyFont="1" applyFill="1" applyBorder="1" applyAlignment="1">
      <alignment horizontal="center" vertical="top" wrapText="1"/>
    </xf>
    <xf numFmtId="0" fontId="96" fillId="80" borderId="96" xfId="1581" applyFont="1" applyFill="1" applyBorder="1" applyAlignment="1">
      <alignment horizontal="center" vertical="top" wrapText="1"/>
    </xf>
    <xf numFmtId="0" fontId="96" fillId="80" borderId="21" xfId="1581" applyFont="1" applyFill="1" applyBorder="1" applyAlignment="1">
      <alignment horizontal="center" vertical="top" wrapText="1"/>
    </xf>
  </cellXfs>
  <cellStyles count="1584">
    <cellStyle name="20% - Accent1" xfId="1531" builtinId="30" customBuiltin="1"/>
    <cellStyle name="20% - Accent2" xfId="1535" builtinId="34" customBuiltin="1"/>
    <cellStyle name="20% - Accent3" xfId="1539" builtinId="38" customBuiltin="1"/>
    <cellStyle name="20% - Accent4" xfId="1543" builtinId="42" customBuiltin="1"/>
    <cellStyle name="20% - Accent5" xfId="1547" builtinId="46" customBuiltin="1"/>
    <cellStyle name="20% - Accent6" xfId="1551" builtinId="50" customBuiltin="1"/>
    <cellStyle name="20% - Énfasis1 2" xfId="26"/>
    <cellStyle name="20% - Énfasis1 3" xfId="27"/>
    <cellStyle name="20% - Énfasis2 2" xfId="28"/>
    <cellStyle name="20% - Énfasis2 3" xfId="29"/>
    <cellStyle name="20% - Énfasis3 2" xfId="30"/>
    <cellStyle name="20% - Énfasis3 3" xfId="31"/>
    <cellStyle name="20% - Énfasis4 2" xfId="32"/>
    <cellStyle name="20% - Énfasis4 3" xfId="33"/>
    <cellStyle name="20% - Énfasis5 2" xfId="34"/>
    <cellStyle name="20% - Énfasis5 3" xfId="35"/>
    <cellStyle name="20% - Énfasis6 2" xfId="36"/>
    <cellStyle name="20% - Énfasis6 3" xfId="37"/>
    <cellStyle name="40% - Accent1" xfId="1532" builtinId="31" customBuiltin="1"/>
    <cellStyle name="40% - Accent2" xfId="1536" builtinId="35" customBuiltin="1"/>
    <cellStyle name="40% - Accent3" xfId="1540" builtinId="39" customBuiltin="1"/>
    <cellStyle name="40% - Accent4" xfId="1544" builtinId="43" customBuiltin="1"/>
    <cellStyle name="40% - Accent5" xfId="1548" builtinId="47" customBuiltin="1"/>
    <cellStyle name="40% - Accent6" xfId="1552" builtinId="51" customBuiltin="1"/>
    <cellStyle name="40% - Énfasis1 2" xfId="38"/>
    <cellStyle name="40% - Énfasis1 3" xfId="39"/>
    <cellStyle name="40% - Énfasis2 2" xfId="40"/>
    <cellStyle name="40% - Énfasis2 3" xfId="41"/>
    <cellStyle name="40% - Énfasis3 2" xfId="42"/>
    <cellStyle name="40% - Énfasis3 3" xfId="43"/>
    <cellStyle name="40% - Énfasis4 2" xfId="44"/>
    <cellStyle name="40% - Énfasis4 3" xfId="45"/>
    <cellStyle name="40% - Énfasis5 2" xfId="46"/>
    <cellStyle name="40% - Énfasis5 3" xfId="47"/>
    <cellStyle name="40% - Énfasis6 2" xfId="48"/>
    <cellStyle name="40% - Énfasis6 3" xfId="49"/>
    <cellStyle name="60% - Accent1" xfId="1533" builtinId="32" customBuiltin="1"/>
    <cellStyle name="60% - Accent2" xfId="1537" builtinId="36" customBuiltin="1"/>
    <cellStyle name="60% - Accent3" xfId="1541" builtinId="40" customBuiltin="1"/>
    <cellStyle name="60% - Accent4" xfId="1545" builtinId="44" customBuiltin="1"/>
    <cellStyle name="60% - Accent5" xfId="1549" builtinId="48" customBuiltin="1"/>
    <cellStyle name="60% - Accent6" xfId="1553" builtinId="52" customBuiltin="1"/>
    <cellStyle name="60% - Énfasis1 2" xfId="50"/>
    <cellStyle name="60% - Énfasis1 3" xfId="51"/>
    <cellStyle name="60% - Énfasis2 2" xfId="52"/>
    <cellStyle name="60% - Énfasis2 3" xfId="53"/>
    <cellStyle name="60% - Énfasis3 2" xfId="54"/>
    <cellStyle name="60% - Énfasis3 3" xfId="55"/>
    <cellStyle name="60% - Énfasis4 2" xfId="56"/>
    <cellStyle name="60% - Énfasis4 3" xfId="57"/>
    <cellStyle name="60% - Énfasis5 2" xfId="58"/>
    <cellStyle name="60% - Énfasis5 3" xfId="59"/>
    <cellStyle name="60% - Énfasis6 2" xfId="60"/>
    <cellStyle name="60% - Énfasis6 3" xfId="61"/>
    <cellStyle name="Accent1" xfId="1530" builtinId="29" customBuiltin="1"/>
    <cellStyle name="Accent2" xfId="1534" builtinId="33" customBuiltin="1"/>
    <cellStyle name="Accent3" xfId="1538" builtinId="37" customBuiltin="1"/>
    <cellStyle name="Accent4" xfId="1542" builtinId="41" customBuiltin="1"/>
    <cellStyle name="Accent5" xfId="1546" builtinId="45" customBuiltin="1"/>
    <cellStyle name="Accent6" xfId="1550" builtinId="49" customBuiltin="1"/>
    <cellStyle name="Bad" xfId="1520" builtinId="27" customBuiltin="1"/>
    <cellStyle name="Buena 2" xfId="62"/>
    <cellStyle name="Buena 3" xfId="63"/>
    <cellStyle name="Calculation" xfId="1524" builtinId="22" customBuiltin="1"/>
    <cellStyle name="Cálculo 2" xfId="64"/>
    <cellStyle name="Cálculo 2 10" xfId="65"/>
    <cellStyle name="Cálculo 2 10 2" xfId="66"/>
    <cellStyle name="Cálculo 2 10 2 2" xfId="67"/>
    <cellStyle name="Cálculo 2 10 3" xfId="68"/>
    <cellStyle name="Cálculo 2 11" xfId="69"/>
    <cellStyle name="Cálculo 2 11 2" xfId="70"/>
    <cellStyle name="Cálculo 2 11 2 2" xfId="71"/>
    <cellStyle name="Cálculo 2 11 3" xfId="72"/>
    <cellStyle name="Cálculo 2 12" xfId="73"/>
    <cellStyle name="Cálculo 2 12 2" xfId="74"/>
    <cellStyle name="Cálculo 2 12 2 2" xfId="75"/>
    <cellStyle name="Cálculo 2 12 3" xfId="76"/>
    <cellStyle name="Cálculo 2 13" xfId="77"/>
    <cellStyle name="Cálculo 2 13 2" xfId="78"/>
    <cellStyle name="Cálculo 2 14" xfId="79"/>
    <cellStyle name="Cálculo 2 2" xfId="80"/>
    <cellStyle name="Cálculo 2 2 10" xfId="81"/>
    <cellStyle name="Cálculo 2 2 10 2" xfId="82"/>
    <cellStyle name="Cálculo 2 2 10 2 2" xfId="83"/>
    <cellStyle name="Cálculo 2 2 10 3" xfId="84"/>
    <cellStyle name="Cálculo 2 2 11" xfId="85"/>
    <cellStyle name="Cálculo 2 2 11 2" xfId="86"/>
    <cellStyle name="Cálculo 2 2 12" xfId="87"/>
    <cellStyle name="Cálculo 2 2 2" xfId="88"/>
    <cellStyle name="Cálculo 2 2 2 2" xfId="89"/>
    <cellStyle name="Cálculo 2 2 2 2 2" xfId="90"/>
    <cellStyle name="Cálculo 2 2 2 3" xfId="91"/>
    <cellStyle name="Cálculo 2 2 3" xfId="92"/>
    <cellStyle name="Cálculo 2 2 3 2" xfId="93"/>
    <cellStyle name="Cálculo 2 2 3 2 2" xfId="94"/>
    <cellStyle name="Cálculo 2 2 3 3" xfId="95"/>
    <cellStyle name="Cálculo 2 2 4" xfId="96"/>
    <cellStyle name="Cálculo 2 2 4 2" xfId="97"/>
    <cellStyle name="Cálculo 2 2 4 2 2" xfId="98"/>
    <cellStyle name="Cálculo 2 2 4 3" xfId="99"/>
    <cellStyle name="Cálculo 2 2 5" xfId="100"/>
    <cellStyle name="Cálculo 2 2 5 2" xfId="101"/>
    <cellStyle name="Cálculo 2 2 5 2 2" xfId="102"/>
    <cellStyle name="Cálculo 2 2 5 3" xfId="103"/>
    <cellStyle name="Cálculo 2 2 6" xfId="104"/>
    <cellStyle name="Cálculo 2 2 6 2" xfId="105"/>
    <cellStyle name="Cálculo 2 2 6 2 2" xfId="106"/>
    <cellStyle name="Cálculo 2 2 6 3" xfId="107"/>
    <cellStyle name="Cálculo 2 2 7" xfId="108"/>
    <cellStyle name="Cálculo 2 2 7 2" xfId="109"/>
    <cellStyle name="Cálculo 2 2 7 2 2" xfId="110"/>
    <cellStyle name="Cálculo 2 2 7 3" xfId="111"/>
    <cellStyle name="Cálculo 2 2 8" xfId="112"/>
    <cellStyle name="Cálculo 2 2 8 2" xfId="113"/>
    <cellStyle name="Cálculo 2 2 8 2 2" xfId="114"/>
    <cellStyle name="Cálculo 2 2 8 3" xfId="115"/>
    <cellStyle name="Cálculo 2 2 9" xfId="116"/>
    <cellStyle name="Cálculo 2 2 9 2" xfId="117"/>
    <cellStyle name="Cálculo 2 2 9 2 2" xfId="118"/>
    <cellStyle name="Cálculo 2 2 9 3" xfId="119"/>
    <cellStyle name="Cálculo 2 3" xfId="120"/>
    <cellStyle name="Cálculo 2 3 10" xfId="121"/>
    <cellStyle name="Cálculo 2 3 10 2" xfId="122"/>
    <cellStyle name="Cálculo 2 3 10 2 2" xfId="123"/>
    <cellStyle name="Cálculo 2 3 10 3" xfId="124"/>
    <cellStyle name="Cálculo 2 3 11" xfId="125"/>
    <cellStyle name="Cálculo 2 3 11 2" xfId="126"/>
    <cellStyle name="Cálculo 2 3 12" xfId="127"/>
    <cellStyle name="Cálculo 2 3 2" xfId="128"/>
    <cellStyle name="Cálculo 2 3 2 2" xfId="129"/>
    <cellStyle name="Cálculo 2 3 2 2 2" xfId="130"/>
    <cellStyle name="Cálculo 2 3 2 3" xfId="131"/>
    <cellStyle name="Cálculo 2 3 3" xfId="132"/>
    <cellStyle name="Cálculo 2 3 3 2" xfId="133"/>
    <cellStyle name="Cálculo 2 3 3 2 2" xfId="134"/>
    <cellStyle name="Cálculo 2 3 3 3" xfId="135"/>
    <cellStyle name="Cálculo 2 3 4" xfId="136"/>
    <cellStyle name="Cálculo 2 3 4 2" xfId="137"/>
    <cellStyle name="Cálculo 2 3 4 2 2" xfId="138"/>
    <cellStyle name="Cálculo 2 3 4 3" xfId="139"/>
    <cellStyle name="Cálculo 2 3 5" xfId="140"/>
    <cellStyle name="Cálculo 2 3 5 2" xfId="141"/>
    <cellStyle name="Cálculo 2 3 5 2 2" xfId="142"/>
    <cellStyle name="Cálculo 2 3 5 3" xfId="143"/>
    <cellStyle name="Cálculo 2 3 6" xfId="144"/>
    <cellStyle name="Cálculo 2 3 6 2" xfId="145"/>
    <cellStyle name="Cálculo 2 3 6 2 2" xfId="146"/>
    <cellStyle name="Cálculo 2 3 6 3" xfId="147"/>
    <cellStyle name="Cálculo 2 3 7" xfId="148"/>
    <cellStyle name="Cálculo 2 3 7 2" xfId="149"/>
    <cellStyle name="Cálculo 2 3 7 2 2" xfId="150"/>
    <cellStyle name="Cálculo 2 3 7 3" xfId="151"/>
    <cellStyle name="Cálculo 2 3 8" xfId="152"/>
    <cellStyle name="Cálculo 2 3 8 2" xfId="153"/>
    <cellStyle name="Cálculo 2 3 8 2 2" xfId="154"/>
    <cellStyle name="Cálculo 2 3 8 3" xfId="155"/>
    <cellStyle name="Cálculo 2 3 9" xfId="156"/>
    <cellStyle name="Cálculo 2 3 9 2" xfId="157"/>
    <cellStyle name="Cálculo 2 3 9 2 2" xfId="158"/>
    <cellStyle name="Cálculo 2 3 9 3" xfId="159"/>
    <cellStyle name="Cálculo 2 4" xfId="160"/>
    <cellStyle name="Cálculo 2 4 2" xfId="161"/>
    <cellStyle name="Cálculo 2 4 2 2" xfId="162"/>
    <cellStyle name="Cálculo 2 4 3" xfId="163"/>
    <cellStyle name="Cálculo 2 5" xfId="164"/>
    <cellStyle name="Cálculo 2 5 2" xfId="165"/>
    <cellStyle name="Cálculo 2 5 2 2" xfId="166"/>
    <cellStyle name="Cálculo 2 5 3" xfId="167"/>
    <cellStyle name="Cálculo 2 6" xfId="168"/>
    <cellStyle name="Cálculo 2 6 2" xfId="169"/>
    <cellStyle name="Cálculo 2 6 2 2" xfId="170"/>
    <cellStyle name="Cálculo 2 6 3" xfId="171"/>
    <cellStyle name="Cálculo 2 7" xfId="172"/>
    <cellStyle name="Cálculo 2 7 2" xfId="173"/>
    <cellStyle name="Cálculo 2 7 2 2" xfId="174"/>
    <cellStyle name="Cálculo 2 7 3" xfId="175"/>
    <cellStyle name="Cálculo 2 8" xfId="176"/>
    <cellStyle name="Cálculo 2 8 2" xfId="177"/>
    <cellStyle name="Cálculo 2 8 2 2" xfId="178"/>
    <cellStyle name="Cálculo 2 8 3" xfId="179"/>
    <cellStyle name="Cálculo 2 9" xfId="180"/>
    <cellStyle name="Cálculo 2 9 2" xfId="181"/>
    <cellStyle name="Cálculo 2 9 2 2" xfId="182"/>
    <cellStyle name="Cálculo 2 9 3" xfId="183"/>
    <cellStyle name="Cálculo 3" xfId="184"/>
    <cellStyle name="Celda de comprobación 2" xfId="185"/>
    <cellStyle name="Celda de comprobación 3" xfId="186"/>
    <cellStyle name="Celda vinculada 2" xfId="187"/>
    <cellStyle name="Celda vinculada 3" xfId="188"/>
    <cellStyle name="Check Cell" xfId="1526" builtinId="23" customBuiltin="1"/>
    <cellStyle name="Comma" xfId="1"/>
    <cellStyle name="Comma 2" xfId="189"/>
    <cellStyle name="Comma 2 2" xfId="190"/>
    <cellStyle name="Comma 2 2 2" xfId="191"/>
    <cellStyle name="Comma 2 2 2 2" xfId="192"/>
    <cellStyle name="Comma 2 2 2 2 2" xfId="193"/>
    <cellStyle name="Comma 2 2 2 3" xfId="194"/>
    <cellStyle name="Comma 2 2 3" xfId="195"/>
    <cellStyle name="Comma 2 2 3 2" xfId="196"/>
    <cellStyle name="Comma 2 2 3 2 2" xfId="197"/>
    <cellStyle name="Comma 2 2 3 3" xfId="198"/>
    <cellStyle name="Comma 2 2 4" xfId="199"/>
    <cellStyle name="Comma 2 2 4 2" xfId="200"/>
    <cellStyle name="Comma 2 2 5" xfId="201"/>
    <cellStyle name="Comma 2 3" xfId="202"/>
    <cellStyle name="Comma 2 3 2" xfId="203"/>
    <cellStyle name="Comma 2 3 2 2" xfId="204"/>
    <cellStyle name="Comma 2 3 3" xfId="205"/>
    <cellStyle name="Comma 2 4" xfId="206"/>
    <cellStyle name="Comma 2 4 2" xfId="207"/>
    <cellStyle name="Comma 2 4 2 2" xfId="208"/>
    <cellStyle name="Comma 2 4 3" xfId="209"/>
    <cellStyle name="Comma 2 5" xfId="210"/>
    <cellStyle name="Comma 2 5 2" xfId="211"/>
    <cellStyle name="Comma 2 6" xfId="212"/>
    <cellStyle name="Comma 2 7" xfId="213"/>
    <cellStyle name="Currency" xfId="5"/>
    <cellStyle name="Currency 2" xfId="214"/>
    <cellStyle name="Date" xfId="215"/>
    <cellStyle name="Date 2" xfId="216"/>
    <cellStyle name="Encabezado 4 2" xfId="217"/>
    <cellStyle name="Encabezado 4 3" xfId="218"/>
    <cellStyle name="Énfasis1 2" xfId="219"/>
    <cellStyle name="Énfasis1 3" xfId="220"/>
    <cellStyle name="Énfasis2 2" xfId="221"/>
    <cellStyle name="Énfasis2 3" xfId="222"/>
    <cellStyle name="Énfasis3 2" xfId="223"/>
    <cellStyle name="Énfasis3 3" xfId="224"/>
    <cellStyle name="Énfasis4 2" xfId="225"/>
    <cellStyle name="Énfasis4 3" xfId="226"/>
    <cellStyle name="Énfasis5 2" xfId="227"/>
    <cellStyle name="Énfasis5 3" xfId="228"/>
    <cellStyle name="Énfasis6 2" xfId="229"/>
    <cellStyle name="Énfasis6 3" xfId="230"/>
    <cellStyle name="Entrada 2" xfId="231"/>
    <cellStyle name="Entrada 2 10" xfId="232"/>
    <cellStyle name="Entrada 2 10 2" xfId="233"/>
    <cellStyle name="Entrada 2 10 2 2" xfId="234"/>
    <cellStyle name="Entrada 2 10 3" xfId="235"/>
    <cellStyle name="Entrada 2 11" xfId="236"/>
    <cellStyle name="Entrada 2 11 2" xfId="237"/>
    <cellStyle name="Entrada 2 11 2 2" xfId="238"/>
    <cellStyle name="Entrada 2 11 3" xfId="239"/>
    <cellStyle name="Entrada 2 12" xfId="240"/>
    <cellStyle name="Entrada 2 12 2" xfId="241"/>
    <cellStyle name="Entrada 2 12 2 2" xfId="242"/>
    <cellStyle name="Entrada 2 12 3" xfId="243"/>
    <cellStyle name="Entrada 2 13" xfId="244"/>
    <cellStyle name="Entrada 2 13 2" xfId="245"/>
    <cellStyle name="Entrada 2 14" xfId="246"/>
    <cellStyle name="Entrada 2 2" xfId="247"/>
    <cellStyle name="Entrada 2 2 10" xfId="248"/>
    <cellStyle name="Entrada 2 2 10 2" xfId="249"/>
    <cellStyle name="Entrada 2 2 10 2 2" xfId="250"/>
    <cellStyle name="Entrada 2 2 10 3" xfId="251"/>
    <cellStyle name="Entrada 2 2 11" xfId="252"/>
    <cellStyle name="Entrada 2 2 11 2" xfId="253"/>
    <cellStyle name="Entrada 2 2 12" xfId="254"/>
    <cellStyle name="Entrada 2 2 2" xfId="255"/>
    <cellStyle name="Entrada 2 2 2 2" xfId="256"/>
    <cellStyle name="Entrada 2 2 2 2 2" xfId="257"/>
    <cellStyle name="Entrada 2 2 2 3" xfId="258"/>
    <cellStyle name="Entrada 2 2 3" xfId="259"/>
    <cellStyle name="Entrada 2 2 3 2" xfId="260"/>
    <cellStyle name="Entrada 2 2 3 2 2" xfId="261"/>
    <cellStyle name="Entrada 2 2 3 3" xfId="262"/>
    <cellStyle name="Entrada 2 2 4" xfId="263"/>
    <cellStyle name="Entrada 2 2 4 2" xfId="264"/>
    <cellStyle name="Entrada 2 2 4 2 2" xfId="265"/>
    <cellStyle name="Entrada 2 2 4 3" xfId="266"/>
    <cellStyle name="Entrada 2 2 5" xfId="267"/>
    <cellStyle name="Entrada 2 2 5 2" xfId="268"/>
    <cellStyle name="Entrada 2 2 5 2 2" xfId="269"/>
    <cellStyle name="Entrada 2 2 5 3" xfId="270"/>
    <cellStyle name="Entrada 2 2 6" xfId="271"/>
    <cellStyle name="Entrada 2 2 6 2" xfId="272"/>
    <cellStyle name="Entrada 2 2 6 2 2" xfId="273"/>
    <cellStyle name="Entrada 2 2 6 3" xfId="274"/>
    <cellStyle name="Entrada 2 2 7" xfId="275"/>
    <cellStyle name="Entrada 2 2 7 2" xfId="276"/>
    <cellStyle name="Entrada 2 2 7 2 2" xfId="277"/>
    <cellStyle name="Entrada 2 2 7 3" xfId="278"/>
    <cellStyle name="Entrada 2 2 8" xfId="279"/>
    <cellStyle name="Entrada 2 2 8 2" xfId="280"/>
    <cellStyle name="Entrada 2 2 8 2 2" xfId="281"/>
    <cellStyle name="Entrada 2 2 8 3" xfId="282"/>
    <cellStyle name="Entrada 2 2 9" xfId="283"/>
    <cellStyle name="Entrada 2 2 9 2" xfId="284"/>
    <cellStyle name="Entrada 2 2 9 2 2" xfId="285"/>
    <cellStyle name="Entrada 2 2 9 3" xfId="286"/>
    <cellStyle name="Entrada 2 3" xfId="287"/>
    <cellStyle name="Entrada 2 3 10" xfId="288"/>
    <cellStyle name="Entrada 2 3 10 2" xfId="289"/>
    <cellStyle name="Entrada 2 3 10 2 2" xfId="290"/>
    <cellStyle name="Entrada 2 3 10 3" xfId="291"/>
    <cellStyle name="Entrada 2 3 11" xfId="292"/>
    <cellStyle name="Entrada 2 3 11 2" xfId="293"/>
    <cellStyle name="Entrada 2 3 12" xfId="294"/>
    <cellStyle name="Entrada 2 3 2" xfId="295"/>
    <cellStyle name="Entrada 2 3 2 2" xfId="296"/>
    <cellStyle name="Entrada 2 3 2 2 2" xfId="297"/>
    <cellStyle name="Entrada 2 3 2 3" xfId="298"/>
    <cellStyle name="Entrada 2 3 3" xfId="299"/>
    <cellStyle name="Entrada 2 3 3 2" xfId="300"/>
    <cellStyle name="Entrada 2 3 3 2 2" xfId="301"/>
    <cellStyle name="Entrada 2 3 3 3" xfId="302"/>
    <cellStyle name="Entrada 2 3 4" xfId="303"/>
    <cellStyle name="Entrada 2 3 4 2" xfId="304"/>
    <cellStyle name="Entrada 2 3 4 2 2" xfId="305"/>
    <cellStyle name="Entrada 2 3 4 3" xfId="306"/>
    <cellStyle name="Entrada 2 3 5" xfId="307"/>
    <cellStyle name="Entrada 2 3 5 2" xfId="308"/>
    <cellStyle name="Entrada 2 3 5 2 2" xfId="309"/>
    <cellStyle name="Entrada 2 3 5 3" xfId="310"/>
    <cellStyle name="Entrada 2 3 6" xfId="311"/>
    <cellStyle name="Entrada 2 3 6 2" xfId="312"/>
    <cellStyle name="Entrada 2 3 6 2 2" xfId="313"/>
    <cellStyle name="Entrada 2 3 6 3" xfId="314"/>
    <cellStyle name="Entrada 2 3 7" xfId="315"/>
    <cellStyle name="Entrada 2 3 7 2" xfId="316"/>
    <cellStyle name="Entrada 2 3 7 2 2" xfId="317"/>
    <cellStyle name="Entrada 2 3 7 3" xfId="318"/>
    <cellStyle name="Entrada 2 3 8" xfId="319"/>
    <cellStyle name="Entrada 2 3 8 2" xfId="320"/>
    <cellStyle name="Entrada 2 3 8 2 2" xfId="321"/>
    <cellStyle name="Entrada 2 3 8 3" xfId="322"/>
    <cellStyle name="Entrada 2 3 9" xfId="323"/>
    <cellStyle name="Entrada 2 3 9 2" xfId="324"/>
    <cellStyle name="Entrada 2 3 9 2 2" xfId="325"/>
    <cellStyle name="Entrada 2 3 9 3" xfId="326"/>
    <cellStyle name="Entrada 2 4" xfId="327"/>
    <cellStyle name="Entrada 2 4 2" xfId="328"/>
    <cellStyle name="Entrada 2 4 2 2" xfId="329"/>
    <cellStyle name="Entrada 2 4 3" xfId="330"/>
    <cellStyle name="Entrada 2 5" xfId="331"/>
    <cellStyle name="Entrada 2 5 2" xfId="332"/>
    <cellStyle name="Entrada 2 5 2 2" xfId="333"/>
    <cellStyle name="Entrada 2 5 3" xfId="334"/>
    <cellStyle name="Entrada 2 6" xfId="335"/>
    <cellStyle name="Entrada 2 6 2" xfId="336"/>
    <cellStyle name="Entrada 2 6 2 2" xfId="337"/>
    <cellStyle name="Entrada 2 6 3" xfId="338"/>
    <cellStyle name="Entrada 2 7" xfId="339"/>
    <cellStyle name="Entrada 2 7 2" xfId="340"/>
    <cellStyle name="Entrada 2 7 2 2" xfId="341"/>
    <cellStyle name="Entrada 2 7 3" xfId="342"/>
    <cellStyle name="Entrada 2 8" xfId="343"/>
    <cellStyle name="Entrada 2 8 2" xfId="344"/>
    <cellStyle name="Entrada 2 8 2 2" xfId="345"/>
    <cellStyle name="Entrada 2 8 3" xfId="346"/>
    <cellStyle name="Entrada 2 9" xfId="347"/>
    <cellStyle name="Entrada 2 9 2" xfId="348"/>
    <cellStyle name="Entrada 2 9 2 2" xfId="349"/>
    <cellStyle name="Entrada 2 9 3" xfId="350"/>
    <cellStyle name="Entrada 3" xfId="351"/>
    <cellStyle name="Euro" xfId="352"/>
    <cellStyle name="Euro 2" xfId="353"/>
    <cellStyle name="Explanatory Text" xfId="1528" builtinId="53" customBuiltin="1"/>
    <cellStyle name="Fixed" xfId="354"/>
    <cellStyle name="Fixed 2" xfId="355"/>
    <cellStyle name="Good" xfId="1519" builtinId="26" customBuiltin="1"/>
    <cellStyle name="Heading 1" xfId="1515" builtinId="16" customBuiltin="1"/>
    <cellStyle name="Heading 2" xfId="1516" builtinId="17" customBuiltin="1"/>
    <cellStyle name="Heading 3" xfId="1517" builtinId="18" customBuiltin="1"/>
    <cellStyle name="Heading 4" xfId="1518" builtinId="19" customBuiltin="1"/>
    <cellStyle name="Heading1" xfId="356"/>
    <cellStyle name="Heading1 2" xfId="357"/>
    <cellStyle name="Heading2" xfId="358"/>
    <cellStyle name="Heading2 2" xfId="359"/>
    <cellStyle name="Hipervínculo 2" xfId="360"/>
    <cellStyle name="Hyperlink" xfId="361" builtinId="8"/>
    <cellStyle name="Incorrecto 2" xfId="362"/>
    <cellStyle name="Incorrecto 3" xfId="363"/>
    <cellStyle name="Input" xfId="1522" builtinId="20" customBuiltin="1"/>
    <cellStyle name="Linked Cell" xfId="1525" builtinId="24" customBuiltin="1"/>
    <cellStyle name="Millares [0] 2" xfId="364"/>
    <cellStyle name="Millares 10" xfId="365"/>
    <cellStyle name="Millares 11" xfId="366"/>
    <cellStyle name="Millares 12" xfId="367"/>
    <cellStyle name="Millares 13" xfId="368"/>
    <cellStyle name="Millares 14" xfId="369"/>
    <cellStyle name="Millares 15" xfId="370"/>
    <cellStyle name="Millares 16" xfId="371"/>
    <cellStyle name="Millares 17" xfId="372"/>
    <cellStyle name="Millares 18" xfId="373"/>
    <cellStyle name="Millares 19" xfId="374"/>
    <cellStyle name="Millares 2" xfId="2"/>
    <cellStyle name="Millares 2 2" xfId="376"/>
    <cellStyle name="Millares 2 3" xfId="377"/>
    <cellStyle name="Millares 2 4" xfId="378"/>
    <cellStyle name="Millares 2 5" xfId="375"/>
    <cellStyle name="Millares 20" xfId="379"/>
    <cellStyle name="Millares 21" xfId="380"/>
    <cellStyle name="Millares 22" xfId="381"/>
    <cellStyle name="Millares 23" xfId="382"/>
    <cellStyle name="Millares 24" xfId="383"/>
    <cellStyle name="Millares 3" xfId="23"/>
    <cellStyle name="Millares 3 2" xfId="384"/>
    <cellStyle name="Millares 3 3" xfId="1513"/>
    <cellStyle name="Millares 4" xfId="385"/>
    <cellStyle name="Millares 4 2" xfId="386"/>
    <cellStyle name="Millares 5" xfId="387"/>
    <cellStyle name="Millares 6" xfId="388"/>
    <cellStyle name="Millares 6 2" xfId="389"/>
    <cellStyle name="Millares 6 2 2" xfId="390"/>
    <cellStyle name="Millares 6 2 2 2" xfId="391"/>
    <cellStyle name="Millares 6 2 2 2 2" xfId="392"/>
    <cellStyle name="Millares 6 2 2 2 2 2" xfId="393"/>
    <cellStyle name="Millares 6 2 2 2 3" xfId="394"/>
    <cellStyle name="Millares 6 2 2 3" xfId="395"/>
    <cellStyle name="Millares 6 2 2 3 2" xfId="396"/>
    <cellStyle name="Millares 6 2 2 3 2 2" xfId="397"/>
    <cellStyle name="Millares 6 2 2 3 3" xfId="398"/>
    <cellStyle name="Millares 6 2 2 4" xfId="399"/>
    <cellStyle name="Millares 6 2 2 4 2" xfId="400"/>
    <cellStyle name="Millares 6 2 2 5" xfId="401"/>
    <cellStyle name="Millares 6 2 3" xfId="402"/>
    <cellStyle name="Millares 6 2 3 2" xfId="403"/>
    <cellStyle name="Millares 6 2 3 2 2" xfId="404"/>
    <cellStyle name="Millares 6 2 3 3" xfId="405"/>
    <cellStyle name="Millares 6 2 4" xfId="406"/>
    <cellStyle name="Millares 6 2 4 2" xfId="407"/>
    <cellStyle name="Millares 6 2 4 2 2" xfId="408"/>
    <cellStyle name="Millares 6 2 4 3" xfId="409"/>
    <cellStyle name="Millares 6 2 5" xfId="410"/>
    <cellStyle name="Millares 6 2 5 2" xfId="411"/>
    <cellStyle name="Millares 6 2 6" xfId="412"/>
    <cellStyle name="Millares 6 3" xfId="413"/>
    <cellStyle name="Millares 6 3 2" xfId="414"/>
    <cellStyle name="Millares 6 3 2 2" xfId="415"/>
    <cellStyle name="Millares 6 3 2 2 2" xfId="416"/>
    <cellStyle name="Millares 6 3 2 3" xfId="417"/>
    <cellStyle name="Millares 6 3 3" xfId="418"/>
    <cellStyle name="Millares 6 3 3 2" xfId="419"/>
    <cellStyle name="Millares 6 3 3 2 2" xfId="420"/>
    <cellStyle name="Millares 6 3 3 3" xfId="421"/>
    <cellStyle name="Millares 6 3 4" xfId="422"/>
    <cellStyle name="Millares 6 3 4 2" xfId="423"/>
    <cellStyle name="Millares 6 3 5" xfId="424"/>
    <cellStyle name="Millares 6 4" xfId="425"/>
    <cellStyle name="Millares 6 4 2" xfId="426"/>
    <cellStyle name="Millares 6 4 2 2" xfId="427"/>
    <cellStyle name="Millares 6 4 3" xfId="428"/>
    <cellStyle name="Millares 6 5" xfId="429"/>
    <cellStyle name="Millares 6 5 2" xfId="430"/>
    <cellStyle name="Millares 6 5 2 2" xfId="431"/>
    <cellStyle name="Millares 6 5 3" xfId="432"/>
    <cellStyle name="Millares 6 6" xfId="433"/>
    <cellStyle name="Millares 6 6 2" xfId="434"/>
    <cellStyle name="Millares 6 7" xfId="435"/>
    <cellStyle name="Millares 7" xfId="436"/>
    <cellStyle name="Millares 8" xfId="437"/>
    <cellStyle name="Millares 9" xfId="438"/>
    <cellStyle name="Moneda 10" xfId="439"/>
    <cellStyle name="Moneda 11" xfId="25"/>
    <cellStyle name="Moneda 12" xfId="1559"/>
    <cellStyle name="Moneda 13" xfId="1562"/>
    <cellStyle name="Moneda 14" xfId="1565"/>
    <cellStyle name="Moneda 15" xfId="1568"/>
    <cellStyle name="Moneda 2" xfId="22"/>
    <cellStyle name="Moneda 2 2" xfId="441"/>
    <cellStyle name="Moneda 2 3" xfId="440"/>
    <cellStyle name="Moneda 2 4" xfId="1512"/>
    <cellStyle name="Moneda 3" xfId="442"/>
    <cellStyle name="Moneda 3 2" xfId="443"/>
    <cellStyle name="Moneda 4" xfId="444"/>
    <cellStyle name="Moneda 5" xfId="445"/>
    <cellStyle name="Moneda 5 2" xfId="446"/>
    <cellStyle name="Moneda 6" xfId="447"/>
    <cellStyle name="Moneda 7" xfId="448"/>
    <cellStyle name="Moneda 8" xfId="449"/>
    <cellStyle name="Moneda 8 2" xfId="450"/>
    <cellStyle name="Moneda 8 2 2" xfId="451"/>
    <cellStyle name="Moneda 8 2 2 2" xfId="452"/>
    <cellStyle name="Moneda 8 2 2 2 2" xfId="453"/>
    <cellStyle name="Moneda 8 2 2 2 2 2" xfId="454"/>
    <cellStyle name="Moneda 8 2 2 2 3" xfId="455"/>
    <cellStyle name="Moneda 8 2 2 3" xfId="456"/>
    <cellStyle name="Moneda 8 2 2 3 2" xfId="457"/>
    <cellStyle name="Moneda 8 2 2 3 2 2" xfId="458"/>
    <cellStyle name="Moneda 8 2 2 3 3" xfId="459"/>
    <cellStyle name="Moneda 8 2 2 4" xfId="460"/>
    <cellStyle name="Moneda 8 2 2 4 2" xfId="461"/>
    <cellStyle name="Moneda 8 2 2 5" xfId="462"/>
    <cellStyle name="Moneda 8 2 3" xfId="463"/>
    <cellStyle name="Moneda 8 2 3 2" xfId="464"/>
    <cellStyle name="Moneda 8 2 3 2 2" xfId="465"/>
    <cellStyle name="Moneda 8 2 3 3" xfId="466"/>
    <cellStyle name="Moneda 8 2 4" xfId="467"/>
    <cellStyle name="Moneda 8 2 4 2" xfId="468"/>
    <cellStyle name="Moneda 8 2 4 2 2" xfId="469"/>
    <cellStyle name="Moneda 8 2 4 3" xfId="470"/>
    <cellStyle name="Moneda 8 2 5" xfId="471"/>
    <cellStyle name="Moneda 8 2 5 2" xfId="472"/>
    <cellStyle name="Moneda 8 2 6" xfId="473"/>
    <cellStyle name="Moneda 8 3" xfId="474"/>
    <cellStyle name="Moneda 8 3 2" xfId="475"/>
    <cellStyle name="Moneda 8 3 2 2" xfId="476"/>
    <cellStyle name="Moneda 8 3 2 2 2" xfId="477"/>
    <cellStyle name="Moneda 8 3 2 3" xfId="478"/>
    <cellStyle name="Moneda 8 3 3" xfId="479"/>
    <cellStyle name="Moneda 8 3 3 2" xfId="480"/>
    <cellStyle name="Moneda 8 3 3 2 2" xfId="481"/>
    <cellStyle name="Moneda 8 3 3 3" xfId="482"/>
    <cellStyle name="Moneda 8 3 4" xfId="483"/>
    <cellStyle name="Moneda 8 3 4 2" xfId="484"/>
    <cellStyle name="Moneda 8 3 5" xfId="485"/>
    <cellStyle name="Moneda 8 4" xfId="486"/>
    <cellStyle name="Moneda 8 4 2" xfId="487"/>
    <cellStyle name="Moneda 8 4 2 2" xfId="488"/>
    <cellStyle name="Moneda 8 4 3" xfId="489"/>
    <cellStyle name="Moneda 8 5" xfId="490"/>
    <cellStyle name="Moneda 8 5 2" xfId="491"/>
    <cellStyle name="Moneda 8 5 2 2" xfId="492"/>
    <cellStyle name="Moneda 8 5 3" xfId="493"/>
    <cellStyle name="Moneda 8 6" xfId="494"/>
    <cellStyle name="Moneda 8 6 2" xfId="495"/>
    <cellStyle name="Moneda 8 7" xfId="496"/>
    <cellStyle name="Moneda 9" xfId="497"/>
    <cellStyle name="Neutral" xfId="1521" builtinId="28" customBuiltin="1"/>
    <cellStyle name="Neutral 2" xfId="498"/>
    <cellStyle name="Neutral 3" xfId="499"/>
    <cellStyle name="Normal" xfId="0" builtinId="0"/>
    <cellStyle name="Normal 10" xfId="500"/>
    <cellStyle name="Normal 11" xfId="501"/>
    <cellStyle name="Normal 12" xfId="24"/>
    <cellStyle name="Normal 12 2" xfId="1557"/>
    <cellStyle name="Normal 13" xfId="1554"/>
    <cellStyle name="Normal 14" xfId="1555"/>
    <cellStyle name="Normal 15" xfId="1558"/>
    <cellStyle name="Normal 16" xfId="1561"/>
    <cellStyle name="Normal 17" xfId="1564"/>
    <cellStyle name="Normal 18" xfId="1567"/>
    <cellStyle name="Normal 19" xfId="1570"/>
    <cellStyle name="Normal 19 2" xfId="1574"/>
    <cellStyle name="Normal 19 2 2" xfId="1576"/>
    <cellStyle name="Normal 19 2 3" xfId="1578"/>
    <cellStyle name="Normal 19 2 3 2" xfId="1579"/>
    <cellStyle name="Normal 19 2 3 3" xfId="1581"/>
    <cellStyle name="Normal 2" xfId="3"/>
    <cellStyle name="Normal 2 2" xfId="503"/>
    <cellStyle name="Normal 2 3" xfId="504"/>
    <cellStyle name="Normal 2 3 2" xfId="505"/>
    <cellStyle name="Normal 2 3 2 2" xfId="506"/>
    <cellStyle name="Normal 2 3 2 2 2" xfId="507"/>
    <cellStyle name="Normal 2 3 2 3" xfId="508"/>
    <cellStyle name="Normal 2 3 3" xfId="509"/>
    <cellStyle name="Normal 2 3 3 2" xfId="510"/>
    <cellStyle name="Normal 2 3 3 2 2" xfId="511"/>
    <cellStyle name="Normal 2 3 3 3" xfId="512"/>
    <cellStyle name="Normal 2 3 4" xfId="513"/>
    <cellStyle name="Normal 2 3 4 2" xfId="514"/>
    <cellStyle name="Normal 2 3 5" xfId="515"/>
    <cellStyle name="Normal 2 4" xfId="516"/>
    <cellStyle name="Normal 2 4 2" xfId="517"/>
    <cellStyle name="Normal 2 4 2 2" xfId="518"/>
    <cellStyle name="Normal 2 4 3" xfId="519"/>
    <cellStyle name="Normal 2 5" xfId="520"/>
    <cellStyle name="Normal 2 5 2" xfId="521"/>
    <cellStyle name="Normal 2 5 2 2" xfId="522"/>
    <cellStyle name="Normal 2 5 3" xfId="523"/>
    <cellStyle name="Normal 2 6" xfId="524"/>
    <cellStyle name="Normal 2 6 2" xfId="525"/>
    <cellStyle name="Normal 2 7" xfId="526"/>
    <cellStyle name="Normal 2 8" xfId="502"/>
    <cellStyle name="Normal 2 9" xfId="1571"/>
    <cellStyle name="Normal 20" xfId="1573"/>
    <cellStyle name="Normal 21" xfId="1577"/>
    <cellStyle name="Normal 22" xfId="1582"/>
    <cellStyle name="Normal 3" xfId="21"/>
    <cellStyle name="Normal 3 2" xfId="528"/>
    <cellStyle name="Normal 3 3" xfId="529"/>
    <cellStyle name="Normal 3 4" xfId="530"/>
    <cellStyle name="Normal 3 5" xfId="531"/>
    <cellStyle name="Normal 3 6" xfId="527"/>
    <cellStyle name="Normal 4" xfId="532"/>
    <cellStyle name="Normal 4 2" xfId="1495"/>
    <cellStyle name="Normal 4 3" xfId="1575"/>
    <cellStyle name="Normal 5" xfId="4"/>
    <cellStyle name="Normal 5 2" xfId="7"/>
    <cellStyle name="Normal 5 2 2" xfId="9"/>
    <cellStyle name="Normal 5 2 2 2" xfId="14"/>
    <cellStyle name="Normal 5 2 2 2 2" xfId="1505"/>
    <cellStyle name="Normal 5 2 2 3" xfId="19"/>
    <cellStyle name="Normal 5 2 2 3 2" xfId="1510"/>
    <cellStyle name="Normal 5 2 2 4" xfId="1500"/>
    <cellStyle name="Normal 5 2 3" xfId="12"/>
    <cellStyle name="Normal 5 2 3 2" xfId="1503"/>
    <cellStyle name="Normal 5 2 4" xfId="17"/>
    <cellStyle name="Normal 5 2 4 2" xfId="1508"/>
    <cellStyle name="Normal 5 2 5" xfId="1498"/>
    <cellStyle name="Normal 5 3" xfId="8"/>
    <cellStyle name="Normal 5 3 2" xfId="13"/>
    <cellStyle name="Normal 5 3 2 2" xfId="1504"/>
    <cellStyle name="Normal 5 3 3" xfId="18"/>
    <cellStyle name="Normal 5 3 3 2" xfId="1509"/>
    <cellStyle name="Normal 5 3 4" xfId="1499"/>
    <cellStyle name="Normal 5 4" xfId="10"/>
    <cellStyle name="Normal 5 4 2" xfId="15"/>
    <cellStyle name="Normal 5 4 2 2" xfId="1506"/>
    <cellStyle name="Normal 5 4 3" xfId="20"/>
    <cellStyle name="Normal 5 4 3 2" xfId="1511"/>
    <cellStyle name="Normal 5 4 4" xfId="1501"/>
    <cellStyle name="Normal 5 5" xfId="11"/>
    <cellStyle name="Normal 5 5 2" xfId="1502"/>
    <cellStyle name="Normal 5 6" xfId="16"/>
    <cellStyle name="Normal 5 6 2" xfId="1507"/>
    <cellStyle name="Normal 5 7" xfId="533"/>
    <cellStyle name="Normal 5 8" xfId="1497"/>
    <cellStyle name="Normal 6" xfId="534"/>
    <cellStyle name="Normal 6 2" xfId="535"/>
    <cellStyle name="Normal 6 2 2" xfId="536"/>
    <cellStyle name="Normal 6 2 2 2" xfId="537"/>
    <cellStyle name="Normal 6 2 2 2 2" xfId="538"/>
    <cellStyle name="Normal 6 2 2 2 2 2" xfId="539"/>
    <cellStyle name="Normal 6 2 2 2 3" xfId="540"/>
    <cellStyle name="Normal 6 2 2 3" xfId="541"/>
    <cellStyle name="Normal 6 2 2 3 2" xfId="542"/>
    <cellStyle name="Normal 6 2 2 3 2 2" xfId="543"/>
    <cellStyle name="Normal 6 2 2 3 3" xfId="544"/>
    <cellStyle name="Normal 6 2 2 4" xfId="545"/>
    <cellStyle name="Normal 6 2 2 4 2" xfId="546"/>
    <cellStyle name="Normal 6 2 2 5" xfId="547"/>
    <cellStyle name="Normal 6 2 3" xfId="548"/>
    <cellStyle name="Normal 6 2 3 2" xfId="549"/>
    <cellStyle name="Normal 6 2 3 2 2" xfId="550"/>
    <cellStyle name="Normal 6 2 3 3" xfId="551"/>
    <cellStyle name="Normal 6 2 4" xfId="552"/>
    <cellStyle name="Normal 6 2 4 2" xfId="553"/>
    <cellStyle name="Normal 6 2 4 2 2" xfId="554"/>
    <cellStyle name="Normal 6 2 4 3" xfId="555"/>
    <cellStyle name="Normal 6 2 5" xfId="556"/>
    <cellStyle name="Normal 6 2 5 2" xfId="557"/>
    <cellStyle name="Normal 6 2 6" xfId="558"/>
    <cellStyle name="Normal 6 3" xfId="559"/>
    <cellStyle name="Normal 6 3 2" xfId="560"/>
    <cellStyle name="Normal 6 3 2 2" xfId="561"/>
    <cellStyle name="Normal 6 3 2 2 2" xfId="562"/>
    <cellStyle name="Normal 6 3 2 3" xfId="563"/>
    <cellStyle name="Normal 6 3 3" xfId="564"/>
    <cellStyle name="Normal 6 3 3 2" xfId="565"/>
    <cellStyle name="Normal 6 3 3 2 2" xfId="566"/>
    <cellStyle name="Normal 6 3 3 3" xfId="567"/>
    <cellStyle name="Normal 6 3 4" xfId="568"/>
    <cellStyle name="Normal 6 3 4 2" xfId="569"/>
    <cellStyle name="Normal 6 3 5" xfId="570"/>
    <cellStyle name="Normal 6 4" xfId="571"/>
    <cellStyle name="Normal 6 4 2" xfId="572"/>
    <cellStyle name="Normal 6 4 2 2" xfId="573"/>
    <cellStyle name="Normal 6 4 3" xfId="574"/>
    <cellStyle name="Normal 6 5" xfId="575"/>
    <cellStyle name="Normal 6 5 2" xfId="576"/>
    <cellStyle name="Normal 6 5 2 2" xfId="577"/>
    <cellStyle name="Normal 6 5 3" xfId="578"/>
    <cellStyle name="Normal 6 6" xfId="579"/>
    <cellStyle name="Normal 6 6 2" xfId="580"/>
    <cellStyle name="Normal 6 7" xfId="581"/>
    <cellStyle name="Normal 7" xfId="582"/>
    <cellStyle name="Normal 8" xfId="583"/>
    <cellStyle name="Normal 9" xfId="584"/>
    <cellStyle name="Notas 2" xfId="585"/>
    <cellStyle name="Notas 2 10" xfId="586"/>
    <cellStyle name="Notas 2 10 2" xfId="587"/>
    <cellStyle name="Notas 2 10 2 2" xfId="588"/>
    <cellStyle name="Notas 2 10 3" xfId="589"/>
    <cellStyle name="Notas 2 11" xfId="590"/>
    <cellStyle name="Notas 2 11 2" xfId="591"/>
    <cellStyle name="Notas 2 11 2 2" xfId="592"/>
    <cellStyle name="Notas 2 11 3" xfId="593"/>
    <cellStyle name="Notas 2 12" xfId="594"/>
    <cellStyle name="Notas 2 12 2" xfId="595"/>
    <cellStyle name="Notas 2 12 2 2" xfId="596"/>
    <cellStyle name="Notas 2 12 3" xfId="597"/>
    <cellStyle name="Notas 2 13" xfId="598"/>
    <cellStyle name="Notas 2 13 2" xfId="599"/>
    <cellStyle name="Notas 2 13 2 2" xfId="600"/>
    <cellStyle name="Notas 2 13 3" xfId="601"/>
    <cellStyle name="Notas 2 14" xfId="602"/>
    <cellStyle name="Notas 2 14 2" xfId="603"/>
    <cellStyle name="Notas 2 14 2 2" xfId="604"/>
    <cellStyle name="Notas 2 14 3" xfId="605"/>
    <cellStyle name="Notas 2 15" xfId="606"/>
    <cellStyle name="Notas 2 15 2" xfId="607"/>
    <cellStyle name="Notas 2 16" xfId="608"/>
    <cellStyle name="Notas 2 2" xfId="609"/>
    <cellStyle name="Notas 2 2 10" xfId="610"/>
    <cellStyle name="Notas 2 2 10 2" xfId="611"/>
    <cellStyle name="Notas 2 2 10 2 2" xfId="612"/>
    <cellStyle name="Notas 2 2 10 3" xfId="613"/>
    <cellStyle name="Notas 2 2 11" xfId="614"/>
    <cellStyle name="Notas 2 2 11 2" xfId="615"/>
    <cellStyle name="Notas 2 2 11 2 2" xfId="616"/>
    <cellStyle name="Notas 2 2 11 3" xfId="617"/>
    <cellStyle name="Notas 2 2 12" xfId="618"/>
    <cellStyle name="Notas 2 2 12 2" xfId="619"/>
    <cellStyle name="Notas 2 2 12 2 2" xfId="620"/>
    <cellStyle name="Notas 2 2 12 3" xfId="621"/>
    <cellStyle name="Notas 2 2 13" xfId="622"/>
    <cellStyle name="Notas 2 2 13 2" xfId="623"/>
    <cellStyle name="Notas 2 2 13 2 2" xfId="624"/>
    <cellStyle name="Notas 2 2 13 3" xfId="625"/>
    <cellStyle name="Notas 2 2 14" xfId="626"/>
    <cellStyle name="Notas 2 2 14 2" xfId="627"/>
    <cellStyle name="Notas 2 2 15" xfId="628"/>
    <cellStyle name="Notas 2 2 2" xfId="629"/>
    <cellStyle name="Notas 2 2 2 10" xfId="630"/>
    <cellStyle name="Notas 2 2 2 10 2" xfId="631"/>
    <cellStyle name="Notas 2 2 2 10 2 2" xfId="632"/>
    <cellStyle name="Notas 2 2 2 10 3" xfId="633"/>
    <cellStyle name="Notas 2 2 2 11" xfId="634"/>
    <cellStyle name="Notas 2 2 2 11 2" xfId="635"/>
    <cellStyle name="Notas 2 2 2 11 2 2" xfId="636"/>
    <cellStyle name="Notas 2 2 2 11 3" xfId="637"/>
    <cellStyle name="Notas 2 2 2 12" xfId="638"/>
    <cellStyle name="Notas 2 2 2 12 2" xfId="639"/>
    <cellStyle name="Notas 2 2 2 12 2 2" xfId="640"/>
    <cellStyle name="Notas 2 2 2 12 3" xfId="641"/>
    <cellStyle name="Notas 2 2 2 13" xfId="642"/>
    <cellStyle name="Notas 2 2 2 13 2" xfId="643"/>
    <cellStyle name="Notas 2 2 2 14" xfId="644"/>
    <cellStyle name="Notas 2 2 2 2" xfId="645"/>
    <cellStyle name="Notas 2 2 2 2 10" xfId="646"/>
    <cellStyle name="Notas 2 2 2 2 10 2" xfId="647"/>
    <cellStyle name="Notas 2 2 2 2 10 2 2" xfId="648"/>
    <cellStyle name="Notas 2 2 2 2 10 3" xfId="649"/>
    <cellStyle name="Notas 2 2 2 2 11" xfId="650"/>
    <cellStyle name="Notas 2 2 2 2 11 2" xfId="651"/>
    <cellStyle name="Notas 2 2 2 2 12" xfId="652"/>
    <cellStyle name="Notas 2 2 2 2 2" xfId="653"/>
    <cellStyle name="Notas 2 2 2 2 2 2" xfId="654"/>
    <cellStyle name="Notas 2 2 2 2 2 2 2" xfId="655"/>
    <cellStyle name="Notas 2 2 2 2 2 3" xfId="656"/>
    <cellStyle name="Notas 2 2 2 2 3" xfId="657"/>
    <cellStyle name="Notas 2 2 2 2 3 2" xfId="658"/>
    <cellStyle name="Notas 2 2 2 2 3 2 2" xfId="659"/>
    <cellStyle name="Notas 2 2 2 2 3 3" xfId="660"/>
    <cellStyle name="Notas 2 2 2 2 4" xfId="661"/>
    <cellStyle name="Notas 2 2 2 2 4 2" xfId="662"/>
    <cellStyle name="Notas 2 2 2 2 4 2 2" xfId="663"/>
    <cellStyle name="Notas 2 2 2 2 4 3" xfId="664"/>
    <cellStyle name="Notas 2 2 2 2 5" xfId="665"/>
    <cellStyle name="Notas 2 2 2 2 5 2" xfId="666"/>
    <cellStyle name="Notas 2 2 2 2 5 2 2" xfId="667"/>
    <cellStyle name="Notas 2 2 2 2 5 3" xfId="668"/>
    <cellStyle name="Notas 2 2 2 2 6" xfId="669"/>
    <cellStyle name="Notas 2 2 2 2 6 2" xfId="670"/>
    <cellStyle name="Notas 2 2 2 2 6 2 2" xfId="671"/>
    <cellStyle name="Notas 2 2 2 2 6 3" xfId="672"/>
    <cellStyle name="Notas 2 2 2 2 7" xfId="673"/>
    <cellStyle name="Notas 2 2 2 2 7 2" xfId="674"/>
    <cellStyle name="Notas 2 2 2 2 7 2 2" xfId="675"/>
    <cellStyle name="Notas 2 2 2 2 7 3" xfId="676"/>
    <cellStyle name="Notas 2 2 2 2 8" xfId="677"/>
    <cellStyle name="Notas 2 2 2 2 8 2" xfId="678"/>
    <cellStyle name="Notas 2 2 2 2 8 2 2" xfId="679"/>
    <cellStyle name="Notas 2 2 2 2 8 3" xfId="680"/>
    <cellStyle name="Notas 2 2 2 2 9" xfId="681"/>
    <cellStyle name="Notas 2 2 2 2 9 2" xfId="682"/>
    <cellStyle name="Notas 2 2 2 2 9 2 2" xfId="683"/>
    <cellStyle name="Notas 2 2 2 2 9 3" xfId="684"/>
    <cellStyle name="Notas 2 2 2 3" xfId="685"/>
    <cellStyle name="Notas 2 2 2 3 10" xfId="686"/>
    <cellStyle name="Notas 2 2 2 3 10 2" xfId="687"/>
    <cellStyle name="Notas 2 2 2 3 10 2 2" xfId="688"/>
    <cellStyle name="Notas 2 2 2 3 10 3" xfId="689"/>
    <cellStyle name="Notas 2 2 2 3 11" xfId="690"/>
    <cellStyle name="Notas 2 2 2 3 11 2" xfId="691"/>
    <cellStyle name="Notas 2 2 2 3 12" xfId="692"/>
    <cellStyle name="Notas 2 2 2 3 2" xfId="693"/>
    <cellStyle name="Notas 2 2 2 3 2 2" xfId="694"/>
    <cellStyle name="Notas 2 2 2 3 2 2 2" xfId="695"/>
    <cellStyle name="Notas 2 2 2 3 2 3" xfId="696"/>
    <cellStyle name="Notas 2 2 2 3 3" xfId="697"/>
    <cellStyle name="Notas 2 2 2 3 3 2" xfId="698"/>
    <cellStyle name="Notas 2 2 2 3 3 2 2" xfId="699"/>
    <cellStyle name="Notas 2 2 2 3 3 3" xfId="700"/>
    <cellStyle name="Notas 2 2 2 3 4" xfId="701"/>
    <cellStyle name="Notas 2 2 2 3 4 2" xfId="702"/>
    <cellStyle name="Notas 2 2 2 3 4 2 2" xfId="703"/>
    <cellStyle name="Notas 2 2 2 3 4 3" xfId="704"/>
    <cellStyle name="Notas 2 2 2 3 5" xfId="705"/>
    <cellStyle name="Notas 2 2 2 3 5 2" xfId="706"/>
    <cellStyle name="Notas 2 2 2 3 5 2 2" xfId="707"/>
    <cellStyle name="Notas 2 2 2 3 5 3" xfId="708"/>
    <cellStyle name="Notas 2 2 2 3 6" xfId="709"/>
    <cellStyle name="Notas 2 2 2 3 6 2" xfId="710"/>
    <cellStyle name="Notas 2 2 2 3 6 2 2" xfId="711"/>
    <cellStyle name="Notas 2 2 2 3 6 3" xfId="712"/>
    <cellStyle name="Notas 2 2 2 3 7" xfId="713"/>
    <cellStyle name="Notas 2 2 2 3 7 2" xfId="714"/>
    <cellStyle name="Notas 2 2 2 3 7 2 2" xfId="715"/>
    <cellStyle name="Notas 2 2 2 3 7 3" xfId="716"/>
    <cellStyle name="Notas 2 2 2 3 8" xfId="717"/>
    <cellStyle name="Notas 2 2 2 3 8 2" xfId="718"/>
    <cellStyle name="Notas 2 2 2 3 8 2 2" xfId="719"/>
    <cellStyle name="Notas 2 2 2 3 8 3" xfId="720"/>
    <cellStyle name="Notas 2 2 2 3 9" xfId="721"/>
    <cellStyle name="Notas 2 2 2 3 9 2" xfId="722"/>
    <cellStyle name="Notas 2 2 2 3 9 2 2" xfId="723"/>
    <cellStyle name="Notas 2 2 2 3 9 3" xfId="724"/>
    <cellStyle name="Notas 2 2 2 4" xfId="725"/>
    <cellStyle name="Notas 2 2 2 4 2" xfId="726"/>
    <cellStyle name="Notas 2 2 2 4 2 2" xfId="727"/>
    <cellStyle name="Notas 2 2 2 4 3" xfId="728"/>
    <cellStyle name="Notas 2 2 2 5" xfId="729"/>
    <cellStyle name="Notas 2 2 2 5 2" xfId="730"/>
    <cellStyle name="Notas 2 2 2 5 2 2" xfId="731"/>
    <cellStyle name="Notas 2 2 2 5 3" xfId="732"/>
    <cellStyle name="Notas 2 2 2 6" xfId="733"/>
    <cellStyle name="Notas 2 2 2 6 2" xfId="734"/>
    <cellStyle name="Notas 2 2 2 6 2 2" xfId="735"/>
    <cellStyle name="Notas 2 2 2 6 3" xfId="736"/>
    <cellStyle name="Notas 2 2 2 7" xfId="737"/>
    <cellStyle name="Notas 2 2 2 7 2" xfId="738"/>
    <cellStyle name="Notas 2 2 2 7 2 2" xfId="739"/>
    <cellStyle name="Notas 2 2 2 7 3" xfId="740"/>
    <cellStyle name="Notas 2 2 2 8" xfId="741"/>
    <cellStyle name="Notas 2 2 2 8 2" xfId="742"/>
    <cellStyle name="Notas 2 2 2 8 2 2" xfId="743"/>
    <cellStyle name="Notas 2 2 2 8 3" xfId="744"/>
    <cellStyle name="Notas 2 2 2 9" xfId="745"/>
    <cellStyle name="Notas 2 2 2 9 2" xfId="746"/>
    <cellStyle name="Notas 2 2 2 9 2 2" xfId="747"/>
    <cellStyle name="Notas 2 2 2 9 3" xfId="748"/>
    <cellStyle name="Notas 2 2 3" xfId="749"/>
    <cellStyle name="Notas 2 2 3 10" xfId="750"/>
    <cellStyle name="Notas 2 2 3 10 2" xfId="751"/>
    <cellStyle name="Notas 2 2 3 10 2 2" xfId="752"/>
    <cellStyle name="Notas 2 2 3 10 3" xfId="753"/>
    <cellStyle name="Notas 2 2 3 11" xfId="754"/>
    <cellStyle name="Notas 2 2 3 11 2" xfId="755"/>
    <cellStyle name="Notas 2 2 3 12" xfId="756"/>
    <cellStyle name="Notas 2 2 3 2" xfId="757"/>
    <cellStyle name="Notas 2 2 3 2 2" xfId="758"/>
    <cellStyle name="Notas 2 2 3 2 2 2" xfId="759"/>
    <cellStyle name="Notas 2 2 3 2 3" xfId="760"/>
    <cellStyle name="Notas 2 2 3 3" xfId="761"/>
    <cellStyle name="Notas 2 2 3 3 2" xfId="762"/>
    <cellStyle name="Notas 2 2 3 3 2 2" xfId="763"/>
    <cellStyle name="Notas 2 2 3 3 3" xfId="764"/>
    <cellStyle name="Notas 2 2 3 4" xfId="765"/>
    <cellStyle name="Notas 2 2 3 4 2" xfId="766"/>
    <cellStyle name="Notas 2 2 3 4 2 2" xfId="767"/>
    <cellStyle name="Notas 2 2 3 4 3" xfId="768"/>
    <cellStyle name="Notas 2 2 3 5" xfId="769"/>
    <cellStyle name="Notas 2 2 3 5 2" xfId="770"/>
    <cellStyle name="Notas 2 2 3 5 2 2" xfId="771"/>
    <cellStyle name="Notas 2 2 3 5 3" xfId="772"/>
    <cellStyle name="Notas 2 2 3 6" xfId="773"/>
    <cellStyle name="Notas 2 2 3 6 2" xfId="774"/>
    <cellStyle name="Notas 2 2 3 6 2 2" xfId="775"/>
    <cellStyle name="Notas 2 2 3 6 3" xfId="776"/>
    <cellStyle name="Notas 2 2 3 7" xfId="777"/>
    <cellStyle name="Notas 2 2 3 7 2" xfId="778"/>
    <cellStyle name="Notas 2 2 3 7 2 2" xfId="779"/>
    <cellStyle name="Notas 2 2 3 7 3" xfId="780"/>
    <cellStyle name="Notas 2 2 3 8" xfId="781"/>
    <cellStyle name="Notas 2 2 3 8 2" xfId="782"/>
    <cellStyle name="Notas 2 2 3 8 2 2" xfId="783"/>
    <cellStyle name="Notas 2 2 3 8 3" xfId="784"/>
    <cellStyle name="Notas 2 2 3 9" xfId="785"/>
    <cellStyle name="Notas 2 2 3 9 2" xfId="786"/>
    <cellStyle name="Notas 2 2 3 9 2 2" xfId="787"/>
    <cellStyle name="Notas 2 2 3 9 3" xfId="788"/>
    <cellStyle name="Notas 2 2 4" xfId="789"/>
    <cellStyle name="Notas 2 2 4 10" xfId="790"/>
    <cellStyle name="Notas 2 2 4 10 2" xfId="791"/>
    <cellStyle name="Notas 2 2 4 10 2 2" xfId="792"/>
    <cellStyle name="Notas 2 2 4 10 3" xfId="793"/>
    <cellStyle name="Notas 2 2 4 11" xfId="794"/>
    <cellStyle name="Notas 2 2 4 11 2" xfId="795"/>
    <cellStyle name="Notas 2 2 4 12" xfId="796"/>
    <cellStyle name="Notas 2 2 4 2" xfId="797"/>
    <cellStyle name="Notas 2 2 4 2 2" xfId="798"/>
    <cellStyle name="Notas 2 2 4 2 2 2" xfId="799"/>
    <cellStyle name="Notas 2 2 4 2 3" xfId="800"/>
    <cellStyle name="Notas 2 2 4 3" xfId="801"/>
    <cellStyle name="Notas 2 2 4 3 2" xfId="802"/>
    <cellStyle name="Notas 2 2 4 3 2 2" xfId="803"/>
    <cellStyle name="Notas 2 2 4 3 3" xfId="804"/>
    <cellStyle name="Notas 2 2 4 4" xfId="805"/>
    <cellStyle name="Notas 2 2 4 4 2" xfId="806"/>
    <cellStyle name="Notas 2 2 4 4 2 2" xfId="807"/>
    <cellStyle name="Notas 2 2 4 4 3" xfId="808"/>
    <cellStyle name="Notas 2 2 4 5" xfId="809"/>
    <cellStyle name="Notas 2 2 4 5 2" xfId="810"/>
    <cellStyle name="Notas 2 2 4 5 2 2" xfId="811"/>
    <cellStyle name="Notas 2 2 4 5 3" xfId="812"/>
    <cellStyle name="Notas 2 2 4 6" xfId="813"/>
    <cellStyle name="Notas 2 2 4 6 2" xfId="814"/>
    <cellStyle name="Notas 2 2 4 6 2 2" xfId="815"/>
    <cellStyle name="Notas 2 2 4 6 3" xfId="816"/>
    <cellStyle name="Notas 2 2 4 7" xfId="817"/>
    <cellStyle name="Notas 2 2 4 7 2" xfId="818"/>
    <cellStyle name="Notas 2 2 4 7 2 2" xfId="819"/>
    <cellStyle name="Notas 2 2 4 7 3" xfId="820"/>
    <cellStyle name="Notas 2 2 4 8" xfId="821"/>
    <cellStyle name="Notas 2 2 4 8 2" xfId="822"/>
    <cellStyle name="Notas 2 2 4 8 2 2" xfId="823"/>
    <cellStyle name="Notas 2 2 4 8 3" xfId="824"/>
    <cellStyle name="Notas 2 2 4 9" xfId="825"/>
    <cellStyle name="Notas 2 2 4 9 2" xfId="826"/>
    <cellStyle name="Notas 2 2 4 9 2 2" xfId="827"/>
    <cellStyle name="Notas 2 2 4 9 3" xfId="828"/>
    <cellStyle name="Notas 2 2 5" xfId="829"/>
    <cellStyle name="Notas 2 2 5 2" xfId="830"/>
    <cellStyle name="Notas 2 2 5 2 2" xfId="831"/>
    <cellStyle name="Notas 2 2 5 3" xfId="832"/>
    <cellStyle name="Notas 2 2 6" xfId="833"/>
    <cellStyle name="Notas 2 2 6 2" xfId="834"/>
    <cellStyle name="Notas 2 2 6 2 2" xfId="835"/>
    <cellStyle name="Notas 2 2 6 3" xfId="836"/>
    <cellStyle name="Notas 2 2 7" xfId="837"/>
    <cellStyle name="Notas 2 2 7 2" xfId="838"/>
    <cellStyle name="Notas 2 2 7 2 2" xfId="839"/>
    <cellStyle name="Notas 2 2 7 3" xfId="840"/>
    <cellStyle name="Notas 2 2 8" xfId="841"/>
    <cellStyle name="Notas 2 2 8 2" xfId="842"/>
    <cellStyle name="Notas 2 2 8 2 2" xfId="843"/>
    <cellStyle name="Notas 2 2 8 3" xfId="844"/>
    <cellStyle name="Notas 2 2 9" xfId="845"/>
    <cellStyle name="Notas 2 2 9 2" xfId="846"/>
    <cellStyle name="Notas 2 2 9 2 2" xfId="847"/>
    <cellStyle name="Notas 2 2 9 3" xfId="848"/>
    <cellStyle name="Notas 2 3" xfId="849"/>
    <cellStyle name="Notas 2 3 10" xfId="850"/>
    <cellStyle name="Notas 2 3 10 2" xfId="851"/>
    <cellStyle name="Notas 2 3 10 2 2" xfId="852"/>
    <cellStyle name="Notas 2 3 10 3" xfId="853"/>
    <cellStyle name="Notas 2 3 11" xfId="854"/>
    <cellStyle name="Notas 2 3 11 2" xfId="855"/>
    <cellStyle name="Notas 2 3 11 2 2" xfId="856"/>
    <cellStyle name="Notas 2 3 11 3" xfId="857"/>
    <cellStyle name="Notas 2 3 12" xfId="858"/>
    <cellStyle name="Notas 2 3 12 2" xfId="859"/>
    <cellStyle name="Notas 2 3 12 2 2" xfId="860"/>
    <cellStyle name="Notas 2 3 12 3" xfId="861"/>
    <cellStyle name="Notas 2 3 13" xfId="862"/>
    <cellStyle name="Notas 2 3 13 2" xfId="863"/>
    <cellStyle name="Notas 2 3 14" xfId="864"/>
    <cellStyle name="Notas 2 3 2" xfId="865"/>
    <cellStyle name="Notas 2 3 2 10" xfId="866"/>
    <cellStyle name="Notas 2 3 2 10 2" xfId="867"/>
    <cellStyle name="Notas 2 3 2 10 2 2" xfId="868"/>
    <cellStyle name="Notas 2 3 2 10 3" xfId="869"/>
    <cellStyle name="Notas 2 3 2 11" xfId="870"/>
    <cellStyle name="Notas 2 3 2 11 2" xfId="871"/>
    <cellStyle name="Notas 2 3 2 12" xfId="872"/>
    <cellStyle name="Notas 2 3 2 2" xfId="873"/>
    <cellStyle name="Notas 2 3 2 2 2" xfId="874"/>
    <cellStyle name="Notas 2 3 2 2 2 2" xfId="875"/>
    <cellStyle name="Notas 2 3 2 2 3" xfId="876"/>
    <cellStyle name="Notas 2 3 2 3" xfId="877"/>
    <cellStyle name="Notas 2 3 2 3 2" xfId="878"/>
    <cellStyle name="Notas 2 3 2 3 2 2" xfId="879"/>
    <cellStyle name="Notas 2 3 2 3 3" xfId="880"/>
    <cellStyle name="Notas 2 3 2 4" xfId="881"/>
    <cellStyle name="Notas 2 3 2 4 2" xfId="882"/>
    <cellStyle name="Notas 2 3 2 4 2 2" xfId="883"/>
    <cellStyle name="Notas 2 3 2 4 3" xfId="884"/>
    <cellStyle name="Notas 2 3 2 5" xfId="885"/>
    <cellStyle name="Notas 2 3 2 5 2" xfId="886"/>
    <cellStyle name="Notas 2 3 2 5 2 2" xfId="887"/>
    <cellStyle name="Notas 2 3 2 5 3" xfId="888"/>
    <cellStyle name="Notas 2 3 2 6" xfId="889"/>
    <cellStyle name="Notas 2 3 2 6 2" xfId="890"/>
    <cellStyle name="Notas 2 3 2 6 2 2" xfId="891"/>
    <cellStyle name="Notas 2 3 2 6 3" xfId="892"/>
    <cellStyle name="Notas 2 3 2 7" xfId="893"/>
    <cellStyle name="Notas 2 3 2 7 2" xfId="894"/>
    <cellStyle name="Notas 2 3 2 7 2 2" xfId="895"/>
    <cellStyle name="Notas 2 3 2 7 3" xfId="896"/>
    <cellStyle name="Notas 2 3 2 8" xfId="897"/>
    <cellStyle name="Notas 2 3 2 8 2" xfId="898"/>
    <cellStyle name="Notas 2 3 2 8 2 2" xfId="899"/>
    <cellStyle name="Notas 2 3 2 8 3" xfId="900"/>
    <cellStyle name="Notas 2 3 2 9" xfId="901"/>
    <cellStyle name="Notas 2 3 2 9 2" xfId="902"/>
    <cellStyle name="Notas 2 3 2 9 2 2" xfId="903"/>
    <cellStyle name="Notas 2 3 2 9 3" xfId="904"/>
    <cellStyle name="Notas 2 3 3" xfId="905"/>
    <cellStyle name="Notas 2 3 3 10" xfId="906"/>
    <cellStyle name="Notas 2 3 3 10 2" xfId="907"/>
    <cellStyle name="Notas 2 3 3 10 2 2" xfId="908"/>
    <cellStyle name="Notas 2 3 3 10 3" xfId="909"/>
    <cellStyle name="Notas 2 3 3 11" xfId="910"/>
    <cellStyle name="Notas 2 3 3 11 2" xfId="911"/>
    <cellStyle name="Notas 2 3 3 12" xfId="912"/>
    <cellStyle name="Notas 2 3 3 2" xfId="913"/>
    <cellStyle name="Notas 2 3 3 2 2" xfId="914"/>
    <cellStyle name="Notas 2 3 3 2 2 2" xfId="915"/>
    <cellStyle name="Notas 2 3 3 2 3" xfId="916"/>
    <cellStyle name="Notas 2 3 3 3" xfId="917"/>
    <cellStyle name="Notas 2 3 3 3 2" xfId="918"/>
    <cellStyle name="Notas 2 3 3 3 2 2" xfId="919"/>
    <cellStyle name="Notas 2 3 3 3 3" xfId="920"/>
    <cellStyle name="Notas 2 3 3 4" xfId="921"/>
    <cellStyle name="Notas 2 3 3 4 2" xfId="922"/>
    <cellStyle name="Notas 2 3 3 4 2 2" xfId="923"/>
    <cellStyle name="Notas 2 3 3 4 3" xfId="924"/>
    <cellStyle name="Notas 2 3 3 5" xfId="925"/>
    <cellStyle name="Notas 2 3 3 5 2" xfId="926"/>
    <cellStyle name="Notas 2 3 3 5 2 2" xfId="927"/>
    <cellStyle name="Notas 2 3 3 5 3" xfId="928"/>
    <cellStyle name="Notas 2 3 3 6" xfId="929"/>
    <cellStyle name="Notas 2 3 3 6 2" xfId="930"/>
    <cellStyle name="Notas 2 3 3 6 2 2" xfId="931"/>
    <cellStyle name="Notas 2 3 3 6 3" xfId="932"/>
    <cellStyle name="Notas 2 3 3 7" xfId="933"/>
    <cellStyle name="Notas 2 3 3 7 2" xfId="934"/>
    <cellStyle name="Notas 2 3 3 7 2 2" xfId="935"/>
    <cellStyle name="Notas 2 3 3 7 3" xfId="936"/>
    <cellStyle name="Notas 2 3 3 8" xfId="937"/>
    <cellStyle name="Notas 2 3 3 8 2" xfId="938"/>
    <cellStyle name="Notas 2 3 3 8 2 2" xfId="939"/>
    <cellStyle name="Notas 2 3 3 8 3" xfId="940"/>
    <cellStyle name="Notas 2 3 3 9" xfId="941"/>
    <cellStyle name="Notas 2 3 3 9 2" xfId="942"/>
    <cellStyle name="Notas 2 3 3 9 2 2" xfId="943"/>
    <cellStyle name="Notas 2 3 3 9 3" xfId="944"/>
    <cellStyle name="Notas 2 3 4" xfId="945"/>
    <cellStyle name="Notas 2 3 4 2" xfId="946"/>
    <cellStyle name="Notas 2 3 4 2 2" xfId="947"/>
    <cellStyle name="Notas 2 3 4 3" xfId="948"/>
    <cellStyle name="Notas 2 3 5" xfId="949"/>
    <cellStyle name="Notas 2 3 5 2" xfId="950"/>
    <cellStyle name="Notas 2 3 5 2 2" xfId="951"/>
    <cellStyle name="Notas 2 3 5 3" xfId="952"/>
    <cellStyle name="Notas 2 3 6" xfId="953"/>
    <cellStyle name="Notas 2 3 6 2" xfId="954"/>
    <cellStyle name="Notas 2 3 6 2 2" xfId="955"/>
    <cellStyle name="Notas 2 3 6 3" xfId="956"/>
    <cellStyle name="Notas 2 3 7" xfId="957"/>
    <cellStyle name="Notas 2 3 7 2" xfId="958"/>
    <cellStyle name="Notas 2 3 7 2 2" xfId="959"/>
    <cellStyle name="Notas 2 3 7 3" xfId="960"/>
    <cellStyle name="Notas 2 3 8" xfId="961"/>
    <cellStyle name="Notas 2 3 8 2" xfId="962"/>
    <cellStyle name="Notas 2 3 8 2 2" xfId="963"/>
    <cellStyle name="Notas 2 3 8 3" xfId="964"/>
    <cellStyle name="Notas 2 3 9" xfId="965"/>
    <cellStyle name="Notas 2 3 9 2" xfId="966"/>
    <cellStyle name="Notas 2 3 9 2 2" xfId="967"/>
    <cellStyle name="Notas 2 3 9 3" xfId="968"/>
    <cellStyle name="Notas 2 4" xfId="969"/>
    <cellStyle name="Notas 2 4 10" xfId="970"/>
    <cellStyle name="Notas 2 4 10 2" xfId="971"/>
    <cellStyle name="Notas 2 4 10 2 2" xfId="972"/>
    <cellStyle name="Notas 2 4 10 3" xfId="973"/>
    <cellStyle name="Notas 2 4 11" xfId="974"/>
    <cellStyle name="Notas 2 4 11 2" xfId="975"/>
    <cellStyle name="Notas 2 4 12" xfId="976"/>
    <cellStyle name="Notas 2 4 2" xfId="977"/>
    <cellStyle name="Notas 2 4 2 2" xfId="978"/>
    <cellStyle name="Notas 2 4 2 2 2" xfId="979"/>
    <cellStyle name="Notas 2 4 2 3" xfId="980"/>
    <cellStyle name="Notas 2 4 3" xfId="981"/>
    <cellStyle name="Notas 2 4 3 2" xfId="982"/>
    <cellStyle name="Notas 2 4 3 2 2" xfId="983"/>
    <cellStyle name="Notas 2 4 3 3" xfId="984"/>
    <cellStyle name="Notas 2 4 4" xfId="985"/>
    <cellStyle name="Notas 2 4 4 2" xfId="986"/>
    <cellStyle name="Notas 2 4 4 2 2" xfId="987"/>
    <cellStyle name="Notas 2 4 4 3" xfId="988"/>
    <cellStyle name="Notas 2 4 5" xfId="989"/>
    <cellStyle name="Notas 2 4 5 2" xfId="990"/>
    <cellStyle name="Notas 2 4 5 2 2" xfId="991"/>
    <cellStyle name="Notas 2 4 5 3" xfId="992"/>
    <cellStyle name="Notas 2 4 6" xfId="993"/>
    <cellStyle name="Notas 2 4 6 2" xfId="994"/>
    <cellStyle name="Notas 2 4 6 2 2" xfId="995"/>
    <cellStyle name="Notas 2 4 6 3" xfId="996"/>
    <cellStyle name="Notas 2 4 7" xfId="997"/>
    <cellStyle name="Notas 2 4 7 2" xfId="998"/>
    <cellStyle name="Notas 2 4 7 2 2" xfId="999"/>
    <cellStyle name="Notas 2 4 7 3" xfId="1000"/>
    <cellStyle name="Notas 2 4 8" xfId="1001"/>
    <cellStyle name="Notas 2 4 8 2" xfId="1002"/>
    <cellStyle name="Notas 2 4 8 2 2" xfId="1003"/>
    <cellStyle name="Notas 2 4 8 3" xfId="1004"/>
    <cellStyle name="Notas 2 4 9" xfId="1005"/>
    <cellStyle name="Notas 2 4 9 2" xfId="1006"/>
    <cellStyle name="Notas 2 4 9 2 2" xfId="1007"/>
    <cellStyle name="Notas 2 4 9 3" xfId="1008"/>
    <cellStyle name="Notas 2 5" xfId="1009"/>
    <cellStyle name="Notas 2 5 10" xfId="1010"/>
    <cellStyle name="Notas 2 5 10 2" xfId="1011"/>
    <cellStyle name="Notas 2 5 10 2 2" xfId="1012"/>
    <cellStyle name="Notas 2 5 10 3" xfId="1013"/>
    <cellStyle name="Notas 2 5 11" xfId="1014"/>
    <cellStyle name="Notas 2 5 11 2" xfId="1015"/>
    <cellStyle name="Notas 2 5 12" xfId="1016"/>
    <cellStyle name="Notas 2 5 2" xfId="1017"/>
    <cellStyle name="Notas 2 5 2 2" xfId="1018"/>
    <cellStyle name="Notas 2 5 2 2 2" xfId="1019"/>
    <cellStyle name="Notas 2 5 2 3" xfId="1020"/>
    <cellStyle name="Notas 2 5 3" xfId="1021"/>
    <cellStyle name="Notas 2 5 3 2" xfId="1022"/>
    <cellStyle name="Notas 2 5 3 2 2" xfId="1023"/>
    <cellStyle name="Notas 2 5 3 3" xfId="1024"/>
    <cellStyle name="Notas 2 5 4" xfId="1025"/>
    <cellStyle name="Notas 2 5 4 2" xfId="1026"/>
    <cellStyle name="Notas 2 5 4 2 2" xfId="1027"/>
    <cellStyle name="Notas 2 5 4 3" xfId="1028"/>
    <cellStyle name="Notas 2 5 5" xfId="1029"/>
    <cellStyle name="Notas 2 5 5 2" xfId="1030"/>
    <cellStyle name="Notas 2 5 5 2 2" xfId="1031"/>
    <cellStyle name="Notas 2 5 5 3" xfId="1032"/>
    <cellStyle name="Notas 2 5 6" xfId="1033"/>
    <cellStyle name="Notas 2 5 6 2" xfId="1034"/>
    <cellStyle name="Notas 2 5 6 2 2" xfId="1035"/>
    <cellStyle name="Notas 2 5 6 3" xfId="1036"/>
    <cellStyle name="Notas 2 5 7" xfId="1037"/>
    <cellStyle name="Notas 2 5 7 2" xfId="1038"/>
    <cellStyle name="Notas 2 5 7 2 2" xfId="1039"/>
    <cellStyle name="Notas 2 5 7 3" xfId="1040"/>
    <cellStyle name="Notas 2 5 8" xfId="1041"/>
    <cellStyle name="Notas 2 5 8 2" xfId="1042"/>
    <cellStyle name="Notas 2 5 8 2 2" xfId="1043"/>
    <cellStyle name="Notas 2 5 8 3" xfId="1044"/>
    <cellStyle name="Notas 2 5 9" xfId="1045"/>
    <cellStyle name="Notas 2 5 9 2" xfId="1046"/>
    <cellStyle name="Notas 2 5 9 2 2" xfId="1047"/>
    <cellStyle name="Notas 2 5 9 3" xfId="1048"/>
    <cellStyle name="Notas 2 6" xfId="1049"/>
    <cellStyle name="Notas 2 6 2" xfId="1050"/>
    <cellStyle name="Notas 2 6 2 2" xfId="1051"/>
    <cellStyle name="Notas 2 6 3" xfId="1052"/>
    <cellStyle name="Notas 2 7" xfId="1053"/>
    <cellStyle name="Notas 2 7 2" xfId="1054"/>
    <cellStyle name="Notas 2 7 2 2" xfId="1055"/>
    <cellStyle name="Notas 2 7 3" xfId="1056"/>
    <cellStyle name="Notas 2 8" xfId="1057"/>
    <cellStyle name="Notas 2 8 2" xfId="1058"/>
    <cellStyle name="Notas 2 8 2 2" xfId="1059"/>
    <cellStyle name="Notas 2 8 3" xfId="1060"/>
    <cellStyle name="Notas 2 9" xfId="1061"/>
    <cellStyle name="Notas 2 9 2" xfId="1062"/>
    <cellStyle name="Notas 2 9 2 2" xfId="1063"/>
    <cellStyle name="Notas 2 9 3" xfId="1064"/>
    <cellStyle name="Notas 3" xfId="1065"/>
    <cellStyle name="Notas 3 10" xfId="1066"/>
    <cellStyle name="Notas 3 10 2" xfId="1067"/>
    <cellStyle name="Notas 3 10 2 2" xfId="1068"/>
    <cellStyle name="Notas 3 10 3" xfId="1069"/>
    <cellStyle name="Notas 3 11" xfId="1070"/>
    <cellStyle name="Notas 3 11 2" xfId="1071"/>
    <cellStyle name="Notas 3 11 2 2" xfId="1072"/>
    <cellStyle name="Notas 3 11 3" xfId="1073"/>
    <cellStyle name="Notas 3 12" xfId="1074"/>
    <cellStyle name="Notas 3 12 2" xfId="1075"/>
    <cellStyle name="Notas 3 12 2 2" xfId="1076"/>
    <cellStyle name="Notas 3 12 3" xfId="1077"/>
    <cellStyle name="Notas 3 13" xfId="1078"/>
    <cellStyle name="Notas 3 13 2" xfId="1079"/>
    <cellStyle name="Notas 3 14" xfId="1080"/>
    <cellStyle name="Notas 3 2" xfId="1081"/>
    <cellStyle name="Notas 3 2 10" xfId="1082"/>
    <cellStyle name="Notas 3 2 10 2" xfId="1083"/>
    <cellStyle name="Notas 3 2 10 2 2" xfId="1084"/>
    <cellStyle name="Notas 3 2 10 3" xfId="1085"/>
    <cellStyle name="Notas 3 2 11" xfId="1086"/>
    <cellStyle name="Notas 3 2 11 2" xfId="1087"/>
    <cellStyle name="Notas 3 2 12" xfId="1088"/>
    <cellStyle name="Notas 3 2 2" xfId="1089"/>
    <cellStyle name="Notas 3 2 2 2" xfId="1090"/>
    <cellStyle name="Notas 3 2 2 2 2" xfId="1091"/>
    <cellStyle name="Notas 3 2 2 3" xfId="1092"/>
    <cellStyle name="Notas 3 2 3" xfId="1093"/>
    <cellStyle name="Notas 3 2 3 2" xfId="1094"/>
    <cellStyle name="Notas 3 2 3 2 2" xfId="1095"/>
    <cellStyle name="Notas 3 2 3 3" xfId="1096"/>
    <cellStyle name="Notas 3 2 4" xfId="1097"/>
    <cellStyle name="Notas 3 2 4 2" xfId="1098"/>
    <cellStyle name="Notas 3 2 4 2 2" xfId="1099"/>
    <cellStyle name="Notas 3 2 4 3" xfId="1100"/>
    <cellStyle name="Notas 3 2 5" xfId="1101"/>
    <cellStyle name="Notas 3 2 5 2" xfId="1102"/>
    <cellStyle name="Notas 3 2 5 2 2" xfId="1103"/>
    <cellStyle name="Notas 3 2 5 3" xfId="1104"/>
    <cellStyle name="Notas 3 2 6" xfId="1105"/>
    <cellStyle name="Notas 3 2 6 2" xfId="1106"/>
    <cellStyle name="Notas 3 2 6 2 2" xfId="1107"/>
    <cellStyle name="Notas 3 2 6 3" xfId="1108"/>
    <cellStyle name="Notas 3 2 7" xfId="1109"/>
    <cellStyle name="Notas 3 2 7 2" xfId="1110"/>
    <cellStyle name="Notas 3 2 7 2 2" xfId="1111"/>
    <cellStyle name="Notas 3 2 7 3" xfId="1112"/>
    <cellStyle name="Notas 3 2 8" xfId="1113"/>
    <cellStyle name="Notas 3 2 8 2" xfId="1114"/>
    <cellStyle name="Notas 3 2 8 2 2" xfId="1115"/>
    <cellStyle name="Notas 3 2 8 3" xfId="1116"/>
    <cellStyle name="Notas 3 2 9" xfId="1117"/>
    <cellStyle name="Notas 3 2 9 2" xfId="1118"/>
    <cellStyle name="Notas 3 2 9 2 2" xfId="1119"/>
    <cellStyle name="Notas 3 2 9 3" xfId="1120"/>
    <cellStyle name="Notas 3 3" xfId="1121"/>
    <cellStyle name="Notas 3 3 10" xfId="1122"/>
    <cellStyle name="Notas 3 3 10 2" xfId="1123"/>
    <cellStyle name="Notas 3 3 10 2 2" xfId="1124"/>
    <cellStyle name="Notas 3 3 10 3" xfId="1125"/>
    <cellStyle name="Notas 3 3 11" xfId="1126"/>
    <cellStyle name="Notas 3 3 11 2" xfId="1127"/>
    <cellStyle name="Notas 3 3 12" xfId="1128"/>
    <cellStyle name="Notas 3 3 2" xfId="1129"/>
    <cellStyle name="Notas 3 3 2 2" xfId="1130"/>
    <cellStyle name="Notas 3 3 2 2 2" xfId="1131"/>
    <cellStyle name="Notas 3 3 2 3" xfId="1132"/>
    <cellStyle name="Notas 3 3 3" xfId="1133"/>
    <cellStyle name="Notas 3 3 3 2" xfId="1134"/>
    <cellStyle name="Notas 3 3 3 2 2" xfId="1135"/>
    <cellStyle name="Notas 3 3 3 3" xfId="1136"/>
    <cellStyle name="Notas 3 3 4" xfId="1137"/>
    <cellStyle name="Notas 3 3 4 2" xfId="1138"/>
    <cellStyle name="Notas 3 3 4 2 2" xfId="1139"/>
    <cellStyle name="Notas 3 3 4 3" xfId="1140"/>
    <cellStyle name="Notas 3 3 5" xfId="1141"/>
    <cellStyle name="Notas 3 3 5 2" xfId="1142"/>
    <cellStyle name="Notas 3 3 5 2 2" xfId="1143"/>
    <cellStyle name="Notas 3 3 5 3" xfId="1144"/>
    <cellStyle name="Notas 3 3 6" xfId="1145"/>
    <cellStyle name="Notas 3 3 6 2" xfId="1146"/>
    <cellStyle name="Notas 3 3 6 2 2" xfId="1147"/>
    <cellStyle name="Notas 3 3 6 3" xfId="1148"/>
    <cellStyle name="Notas 3 3 7" xfId="1149"/>
    <cellStyle name="Notas 3 3 7 2" xfId="1150"/>
    <cellStyle name="Notas 3 3 7 2 2" xfId="1151"/>
    <cellStyle name="Notas 3 3 7 3" xfId="1152"/>
    <cellStyle name="Notas 3 3 8" xfId="1153"/>
    <cellStyle name="Notas 3 3 8 2" xfId="1154"/>
    <cellStyle name="Notas 3 3 8 2 2" xfId="1155"/>
    <cellStyle name="Notas 3 3 8 3" xfId="1156"/>
    <cellStyle name="Notas 3 3 9" xfId="1157"/>
    <cellStyle name="Notas 3 3 9 2" xfId="1158"/>
    <cellStyle name="Notas 3 3 9 2 2" xfId="1159"/>
    <cellStyle name="Notas 3 3 9 3" xfId="1160"/>
    <cellStyle name="Notas 3 4" xfId="1161"/>
    <cellStyle name="Notas 3 4 2" xfId="1162"/>
    <cellStyle name="Notas 3 4 2 2" xfId="1163"/>
    <cellStyle name="Notas 3 4 3" xfId="1164"/>
    <cellStyle name="Notas 3 5" xfId="1165"/>
    <cellStyle name="Notas 3 5 2" xfId="1166"/>
    <cellStyle name="Notas 3 5 2 2" xfId="1167"/>
    <cellStyle name="Notas 3 5 3" xfId="1168"/>
    <cellStyle name="Notas 3 6" xfId="1169"/>
    <cellStyle name="Notas 3 6 2" xfId="1170"/>
    <cellStyle name="Notas 3 6 2 2" xfId="1171"/>
    <cellStyle name="Notas 3 6 3" xfId="1172"/>
    <cellStyle name="Notas 3 7" xfId="1173"/>
    <cellStyle name="Notas 3 7 2" xfId="1174"/>
    <cellStyle name="Notas 3 7 2 2" xfId="1175"/>
    <cellStyle name="Notas 3 7 3" xfId="1176"/>
    <cellStyle name="Notas 3 8" xfId="1177"/>
    <cellStyle name="Notas 3 8 2" xfId="1178"/>
    <cellStyle name="Notas 3 8 2 2" xfId="1179"/>
    <cellStyle name="Notas 3 8 3" xfId="1180"/>
    <cellStyle name="Notas 3 9" xfId="1181"/>
    <cellStyle name="Notas 3 9 2" xfId="1182"/>
    <cellStyle name="Notas 3 9 2 2" xfId="1183"/>
    <cellStyle name="Notas 3 9 3" xfId="1184"/>
    <cellStyle name="Notas 4" xfId="1185"/>
    <cellStyle name="Notas 5" xfId="1556"/>
    <cellStyle name="Output" xfId="1523" builtinId="21" customBuiltin="1"/>
    <cellStyle name="Percent" xfId="6"/>
    <cellStyle name="Percent 2" xfId="1186"/>
    <cellStyle name="Porcentaje 2" xfId="1187"/>
    <cellStyle name="Porcentaje 2 2" xfId="1580"/>
    <cellStyle name="Porcentaje 3" xfId="1496"/>
    <cellStyle name="Porcentaje 4" xfId="1560"/>
    <cellStyle name="Porcentaje 5" xfId="1563"/>
    <cellStyle name="Porcentaje 6" xfId="1566"/>
    <cellStyle name="Porcentaje 7" xfId="1569"/>
    <cellStyle name="Porcentaje 8" xfId="1572"/>
    <cellStyle name="Porcentaje 9" xfId="1583"/>
    <cellStyle name="Porcentual 2" xfId="1188"/>
    <cellStyle name="Porcentual 2 2" xfId="1189"/>
    <cellStyle name="Porcentual 2 2 2" xfId="1190"/>
    <cellStyle name="Porcentual 2 3" xfId="1191"/>
    <cellStyle name="Porcentual 2 3 2" xfId="1192"/>
    <cellStyle name="Porcentual 2 4" xfId="1193"/>
    <cellStyle name="Porcentual 2 4 2" xfId="1194"/>
    <cellStyle name="Porcentual 2 5" xfId="1195"/>
    <cellStyle name="Porcentual 3" xfId="1196"/>
    <cellStyle name="Porcentual 3 2" xfId="1197"/>
    <cellStyle name="Porcentual 4" xfId="1198"/>
    <cellStyle name="Porcentual 5" xfId="1199"/>
    <cellStyle name="Porcentual 5 2" xfId="1200"/>
    <cellStyle name="Porcentual 5 2 2" xfId="1201"/>
    <cellStyle name="Porcentual 5 2 2 2" xfId="1202"/>
    <cellStyle name="Porcentual 5 2 2 2 2" xfId="1203"/>
    <cellStyle name="Porcentual 5 2 2 2 2 2" xfId="1204"/>
    <cellStyle name="Porcentual 5 2 2 2 3" xfId="1205"/>
    <cellStyle name="Porcentual 5 2 2 3" xfId="1206"/>
    <cellStyle name="Porcentual 5 2 2 3 2" xfId="1207"/>
    <cellStyle name="Porcentual 5 2 2 3 2 2" xfId="1208"/>
    <cellStyle name="Porcentual 5 2 2 3 3" xfId="1209"/>
    <cellStyle name="Porcentual 5 2 2 4" xfId="1210"/>
    <cellStyle name="Porcentual 5 2 2 4 2" xfId="1211"/>
    <cellStyle name="Porcentual 5 2 2 5" xfId="1212"/>
    <cellStyle name="Porcentual 5 2 3" xfId="1213"/>
    <cellStyle name="Porcentual 5 2 3 2" xfId="1214"/>
    <cellStyle name="Porcentual 5 2 3 2 2" xfId="1215"/>
    <cellStyle name="Porcentual 5 2 3 3" xfId="1216"/>
    <cellStyle name="Porcentual 5 2 4" xfId="1217"/>
    <cellStyle name="Porcentual 5 2 4 2" xfId="1218"/>
    <cellStyle name="Porcentual 5 2 4 2 2" xfId="1219"/>
    <cellStyle name="Porcentual 5 2 4 3" xfId="1220"/>
    <cellStyle name="Porcentual 5 2 5" xfId="1221"/>
    <cellStyle name="Porcentual 5 2 5 2" xfId="1222"/>
    <cellStyle name="Porcentual 5 2 6" xfId="1223"/>
    <cellStyle name="Porcentual 5 3" xfId="1224"/>
    <cellStyle name="Porcentual 5 3 2" xfId="1225"/>
    <cellStyle name="Porcentual 5 3 2 2" xfId="1226"/>
    <cellStyle name="Porcentual 5 3 2 2 2" xfId="1227"/>
    <cellStyle name="Porcentual 5 3 2 3" xfId="1228"/>
    <cellStyle name="Porcentual 5 3 3" xfId="1229"/>
    <cellStyle name="Porcentual 5 3 3 2" xfId="1230"/>
    <cellStyle name="Porcentual 5 3 3 2 2" xfId="1231"/>
    <cellStyle name="Porcentual 5 3 3 3" xfId="1232"/>
    <cellStyle name="Porcentual 5 3 4" xfId="1233"/>
    <cellStyle name="Porcentual 5 3 4 2" xfId="1234"/>
    <cellStyle name="Porcentual 5 3 5" xfId="1235"/>
    <cellStyle name="Porcentual 5 4" xfId="1236"/>
    <cellStyle name="Porcentual 5 4 2" xfId="1237"/>
    <cellStyle name="Porcentual 5 4 2 2" xfId="1238"/>
    <cellStyle name="Porcentual 5 4 3" xfId="1239"/>
    <cellStyle name="Porcentual 5 5" xfId="1240"/>
    <cellStyle name="Porcentual 5 5 2" xfId="1241"/>
    <cellStyle name="Porcentual 5 5 2 2" xfId="1242"/>
    <cellStyle name="Porcentual 5 5 3" xfId="1243"/>
    <cellStyle name="Porcentual 5 6" xfId="1244"/>
    <cellStyle name="Porcentual 5 6 2" xfId="1245"/>
    <cellStyle name="Porcentual 5 7" xfId="1246"/>
    <cellStyle name="Porcentual_Detalle Pagos BIRF" xfId="1494"/>
    <cellStyle name="Salida 2" xfId="1247"/>
    <cellStyle name="Salida 2 10" xfId="1248"/>
    <cellStyle name="Salida 2 10 2" xfId="1249"/>
    <cellStyle name="Salida 2 10 2 2" xfId="1250"/>
    <cellStyle name="Salida 2 10 3" xfId="1251"/>
    <cellStyle name="Salida 2 11" xfId="1252"/>
    <cellStyle name="Salida 2 11 2" xfId="1253"/>
    <cellStyle name="Salida 2 11 2 2" xfId="1254"/>
    <cellStyle name="Salida 2 11 3" xfId="1255"/>
    <cellStyle name="Salida 2 12" xfId="1256"/>
    <cellStyle name="Salida 2 12 2" xfId="1257"/>
    <cellStyle name="Salida 2 13" xfId="1258"/>
    <cellStyle name="Salida 2 2" xfId="1259"/>
    <cellStyle name="Salida 2 2 10" xfId="1260"/>
    <cellStyle name="Salida 2 2 10 2" xfId="1261"/>
    <cellStyle name="Salida 2 2 10 2 2" xfId="1262"/>
    <cellStyle name="Salida 2 2 10 3" xfId="1263"/>
    <cellStyle name="Salida 2 2 11" xfId="1264"/>
    <cellStyle name="Salida 2 2 11 2" xfId="1265"/>
    <cellStyle name="Salida 2 2 12" xfId="1266"/>
    <cellStyle name="Salida 2 2 2" xfId="1267"/>
    <cellStyle name="Salida 2 2 2 2" xfId="1268"/>
    <cellStyle name="Salida 2 2 2 2 2" xfId="1269"/>
    <cellStyle name="Salida 2 2 2 3" xfId="1270"/>
    <cellStyle name="Salida 2 2 3" xfId="1271"/>
    <cellStyle name="Salida 2 2 3 2" xfId="1272"/>
    <cellStyle name="Salida 2 2 3 2 2" xfId="1273"/>
    <cellStyle name="Salida 2 2 3 3" xfId="1274"/>
    <cellStyle name="Salida 2 2 4" xfId="1275"/>
    <cellStyle name="Salida 2 2 4 2" xfId="1276"/>
    <cellStyle name="Salida 2 2 4 2 2" xfId="1277"/>
    <cellStyle name="Salida 2 2 4 3" xfId="1278"/>
    <cellStyle name="Salida 2 2 5" xfId="1279"/>
    <cellStyle name="Salida 2 2 5 2" xfId="1280"/>
    <cellStyle name="Salida 2 2 5 2 2" xfId="1281"/>
    <cellStyle name="Salida 2 2 5 3" xfId="1282"/>
    <cellStyle name="Salida 2 2 6" xfId="1283"/>
    <cellStyle name="Salida 2 2 6 2" xfId="1284"/>
    <cellStyle name="Salida 2 2 6 2 2" xfId="1285"/>
    <cellStyle name="Salida 2 2 6 3" xfId="1286"/>
    <cellStyle name="Salida 2 2 7" xfId="1287"/>
    <cellStyle name="Salida 2 2 7 2" xfId="1288"/>
    <cellStyle name="Salida 2 2 7 2 2" xfId="1289"/>
    <cellStyle name="Salida 2 2 7 3" xfId="1290"/>
    <cellStyle name="Salida 2 2 8" xfId="1291"/>
    <cellStyle name="Salida 2 2 8 2" xfId="1292"/>
    <cellStyle name="Salida 2 2 8 2 2" xfId="1293"/>
    <cellStyle name="Salida 2 2 8 3" xfId="1294"/>
    <cellStyle name="Salida 2 2 9" xfId="1295"/>
    <cellStyle name="Salida 2 2 9 2" xfId="1296"/>
    <cellStyle name="Salida 2 2 9 2 2" xfId="1297"/>
    <cellStyle name="Salida 2 2 9 3" xfId="1298"/>
    <cellStyle name="Salida 2 3" xfId="1299"/>
    <cellStyle name="Salida 2 3 10" xfId="1300"/>
    <cellStyle name="Salida 2 3 10 2" xfId="1301"/>
    <cellStyle name="Salida 2 3 10 2 2" xfId="1302"/>
    <cellStyle name="Salida 2 3 10 3" xfId="1303"/>
    <cellStyle name="Salida 2 3 11" xfId="1304"/>
    <cellStyle name="Salida 2 3 11 2" xfId="1305"/>
    <cellStyle name="Salida 2 3 12" xfId="1306"/>
    <cellStyle name="Salida 2 3 2" xfId="1307"/>
    <cellStyle name="Salida 2 3 2 2" xfId="1308"/>
    <cellStyle name="Salida 2 3 2 2 2" xfId="1309"/>
    <cellStyle name="Salida 2 3 2 3" xfId="1310"/>
    <cellStyle name="Salida 2 3 3" xfId="1311"/>
    <cellStyle name="Salida 2 3 3 2" xfId="1312"/>
    <cellStyle name="Salida 2 3 3 2 2" xfId="1313"/>
    <cellStyle name="Salida 2 3 3 3" xfId="1314"/>
    <cellStyle name="Salida 2 3 4" xfId="1315"/>
    <cellStyle name="Salida 2 3 4 2" xfId="1316"/>
    <cellStyle name="Salida 2 3 4 2 2" xfId="1317"/>
    <cellStyle name="Salida 2 3 4 3" xfId="1318"/>
    <cellStyle name="Salida 2 3 5" xfId="1319"/>
    <cellStyle name="Salida 2 3 5 2" xfId="1320"/>
    <cellStyle name="Salida 2 3 5 2 2" xfId="1321"/>
    <cellStyle name="Salida 2 3 5 3" xfId="1322"/>
    <cellStyle name="Salida 2 3 6" xfId="1323"/>
    <cellStyle name="Salida 2 3 6 2" xfId="1324"/>
    <cellStyle name="Salida 2 3 6 2 2" xfId="1325"/>
    <cellStyle name="Salida 2 3 6 3" xfId="1326"/>
    <cellStyle name="Salida 2 3 7" xfId="1327"/>
    <cellStyle name="Salida 2 3 7 2" xfId="1328"/>
    <cellStyle name="Salida 2 3 7 2 2" xfId="1329"/>
    <cellStyle name="Salida 2 3 7 3" xfId="1330"/>
    <cellStyle name="Salida 2 3 8" xfId="1331"/>
    <cellStyle name="Salida 2 3 8 2" xfId="1332"/>
    <cellStyle name="Salida 2 3 8 2 2" xfId="1333"/>
    <cellStyle name="Salida 2 3 8 3" xfId="1334"/>
    <cellStyle name="Salida 2 3 9" xfId="1335"/>
    <cellStyle name="Salida 2 3 9 2" xfId="1336"/>
    <cellStyle name="Salida 2 3 9 2 2" xfId="1337"/>
    <cellStyle name="Salida 2 3 9 3" xfId="1338"/>
    <cellStyle name="Salida 2 4" xfId="1339"/>
    <cellStyle name="Salida 2 4 2" xfId="1340"/>
    <cellStyle name="Salida 2 4 2 2" xfId="1341"/>
    <cellStyle name="Salida 2 4 3" xfId="1342"/>
    <cellStyle name="Salida 2 5" xfId="1343"/>
    <cellStyle name="Salida 2 5 2" xfId="1344"/>
    <cellStyle name="Salida 2 5 2 2" xfId="1345"/>
    <cellStyle name="Salida 2 5 3" xfId="1346"/>
    <cellStyle name="Salida 2 6" xfId="1347"/>
    <cellStyle name="Salida 2 6 2" xfId="1348"/>
    <cellStyle name="Salida 2 6 2 2" xfId="1349"/>
    <cellStyle name="Salida 2 6 3" xfId="1350"/>
    <cellStyle name="Salida 2 7" xfId="1351"/>
    <cellStyle name="Salida 2 7 2" xfId="1352"/>
    <cellStyle name="Salida 2 7 2 2" xfId="1353"/>
    <cellStyle name="Salida 2 7 3" xfId="1354"/>
    <cellStyle name="Salida 2 8" xfId="1355"/>
    <cellStyle name="Salida 2 8 2" xfId="1356"/>
    <cellStyle name="Salida 2 8 2 2" xfId="1357"/>
    <cellStyle name="Salida 2 8 3" xfId="1358"/>
    <cellStyle name="Salida 2 9" xfId="1359"/>
    <cellStyle name="Salida 2 9 2" xfId="1360"/>
    <cellStyle name="Salida 2 9 2 2" xfId="1361"/>
    <cellStyle name="Salida 2 9 3" xfId="1362"/>
    <cellStyle name="Salida 3" xfId="1363"/>
    <cellStyle name="Texto de advertencia 2" xfId="1364"/>
    <cellStyle name="Texto de advertencia 3" xfId="1365"/>
    <cellStyle name="Texto explicativo 2" xfId="1366"/>
    <cellStyle name="Texto explicativo 3" xfId="1367"/>
    <cellStyle name="Title" xfId="1514" builtinId="15" customBuiltin="1"/>
    <cellStyle name="Título 1 2" xfId="1368"/>
    <cellStyle name="Título 1 3" xfId="1369"/>
    <cellStyle name="Título 2 2" xfId="1370"/>
    <cellStyle name="Título 2 3" xfId="1371"/>
    <cellStyle name="Título 3 2" xfId="1372"/>
    <cellStyle name="Título 3 3" xfId="1373"/>
    <cellStyle name="Título 4" xfId="1374"/>
    <cellStyle name="Total" xfId="1529" builtinId="25" customBuiltin="1"/>
    <cellStyle name="Total 2" xfId="1375"/>
    <cellStyle name="Total 2 10" xfId="1376"/>
    <cellStyle name="Total 2 10 2" xfId="1377"/>
    <cellStyle name="Total 2 10 2 2" xfId="1378"/>
    <cellStyle name="Total 2 10 3" xfId="1379"/>
    <cellStyle name="Total 2 11" xfId="1380"/>
    <cellStyle name="Total 2 11 2" xfId="1381"/>
    <cellStyle name="Total 2 11 2 2" xfId="1382"/>
    <cellStyle name="Total 2 11 3" xfId="1383"/>
    <cellStyle name="Total 2 12" xfId="1384"/>
    <cellStyle name="Total 2 12 2" xfId="1385"/>
    <cellStyle name="Total 2 13" xfId="1386"/>
    <cellStyle name="Total 2 14" xfId="1387"/>
    <cellStyle name="Total 2 2" xfId="1388"/>
    <cellStyle name="Total 2 2 10" xfId="1389"/>
    <cellStyle name="Total 2 2 10 2" xfId="1390"/>
    <cellStyle name="Total 2 2 10 2 2" xfId="1391"/>
    <cellStyle name="Total 2 2 10 3" xfId="1392"/>
    <cellStyle name="Total 2 2 11" xfId="1393"/>
    <cellStyle name="Total 2 2 11 2" xfId="1394"/>
    <cellStyle name="Total 2 2 12" xfId="1395"/>
    <cellStyle name="Total 2 2 2" xfId="1396"/>
    <cellStyle name="Total 2 2 2 2" xfId="1397"/>
    <cellStyle name="Total 2 2 2 2 2" xfId="1398"/>
    <cellStyle name="Total 2 2 2 3" xfId="1399"/>
    <cellStyle name="Total 2 2 3" xfId="1400"/>
    <cellStyle name="Total 2 2 3 2" xfId="1401"/>
    <cellStyle name="Total 2 2 3 2 2" xfId="1402"/>
    <cellStyle name="Total 2 2 3 3" xfId="1403"/>
    <cellStyle name="Total 2 2 4" xfId="1404"/>
    <cellStyle name="Total 2 2 4 2" xfId="1405"/>
    <cellStyle name="Total 2 2 4 2 2" xfId="1406"/>
    <cellStyle name="Total 2 2 4 3" xfId="1407"/>
    <cellStyle name="Total 2 2 5" xfId="1408"/>
    <cellStyle name="Total 2 2 5 2" xfId="1409"/>
    <cellStyle name="Total 2 2 5 2 2" xfId="1410"/>
    <cellStyle name="Total 2 2 5 3" xfId="1411"/>
    <cellStyle name="Total 2 2 6" xfId="1412"/>
    <cellStyle name="Total 2 2 6 2" xfId="1413"/>
    <cellStyle name="Total 2 2 6 2 2" xfId="1414"/>
    <cellStyle name="Total 2 2 6 3" xfId="1415"/>
    <cellStyle name="Total 2 2 7" xfId="1416"/>
    <cellStyle name="Total 2 2 7 2" xfId="1417"/>
    <cellStyle name="Total 2 2 7 2 2" xfId="1418"/>
    <cellStyle name="Total 2 2 7 3" xfId="1419"/>
    <cellStyle name="Total 2 2 8" xfId="1420"/>
    <cellStyle name="Total 2 2 8 2" xfId="1421"/>
    <cellStyle name="Total 2 2 8 2 2" xfId="1422"/>
    <cellStyle name="Total 2 2 8 3" xfId="1423"/>
    <cellStyle name="Total 2 2 9" xfId="1424"/>
    <cellStyle name="Total 2 2 9 2" xfId="1425"/>
    <cellStyle name="Total 2 2 9 2 2" xfId="1426"/>
    <cellStyle name="Total 2 2 9 3" xfId="1427"/>
    <cellStyle name="Total 2 3" xfId="1428"/>
    <cellStyle name="Total 2 3 10" xfId="1429"/>
    <cellStyle name="Total 2 3 10 2" xfId="1430"/>
    <cellStyle name="Total 2 3 10 2 2" xfId="1431"/>
    <cellStyle name="Total 2 3 10 3" xfId="1432"/>
    <cellStyle name="Total 2 3 11" xfId="1433"/>
    <cellStyle name="Total 2 3 11 2" xfId="1434"/>
    <cellStyle name="Total 2 3 12" xfId="1435"/>
    <cellStyle name="Total 2 3 2" xfId="1436"/>
    <cellStyle name="Total 2 3 2 2" xfId="1437"/>
    <cellStyle name="Total 2 3 2 2 2" xfId="1438"/>
    <cellStyle name="Total 2 3 2 3" xfId="1439"/>
    <cellStyle name="Total 2 3 3" xfId="1440"/>
    <cellStyle name="Total 2 3 3 2" xfId="1441"/>
    <cellStyle name="Total 2 3 3 2 2" xfId="1442"/>
    <cellStyle name="Total 2 3 3 3" xfId="1443"/>
    <cellStyle name="Total 2 3 4" xfId="1444"/>
    <cellStyle name="Total 2 3 4 2" xfId="1445"/>
    <cellStyle name="Total 2 3 4 2 2" xfId="1446"/>
    <cellStyle name="Total 2 3 4 3" xfId="1447"/>
    <cellStyle name="Total 2 3 5" xfId="1448"/>
    <cellStyle name="Total 2 3 5 2" xfId="1449"/>
    <cellStyle name="Total 2 3 5 2 2" xfId="1450"/>
    <cellStyle name="Total 2 3 5 3" xfId="1451"/>
    <cellStyle name="Total 2 3 6" xfId="1452"/>
    <cellStyle name="Total 2 3 6 2" xfId="1453"/>
    <cellStyle name="Total 2 3 6 2 2" xfId="1454"/>
    <cellStyle name="Total 2 3 6 3" xfId="1455"/>
    <cellStyle name="Total 2 3 7" xfId="1456"/>
    <cellStyle name="Total 2 3 7 2" xfId="1457"/>
    <cellStyle name="Total 2 3 7 2 2" xfId="1458"/>
    <cellStyle name="Total 2 3 7 3" xfId="1459"/>
    <cellStyle name="Total 2 3 8" xfId="1460"/>
    <cellStyle name="Total 2 3 8 2" xfId="1461"/>
    <cellStyle name="Total 2 3 8 2 2" xfId="1462"/>
    <cellStyle name="Total 2 3 8 3" xfId="1463"/>
    <cellStyle name="Total 2 3 9" xfId="1464"/>
    <cellStyle name="Total 2 3 9 2" xfId="1465"/>
    <cellStyle name="Total 2 3 9 2 2" xfId="1466"/>
    <cellStyle name="Total 2 3 9 3" xfId="1467"/>
    <cellStyle name="Total 2 4" xfId="1468"/>
    <cellStyle name="Total 2 4 2" xfId="1469"/>
    <cellStyle name="Total 2 4 2 2" xfId="1470"/>
    <cellStyle name="Total 2 4 3" xfId="1471"/>
    <cellStyle name="Total 2 5" xfId="1472"/>
    <cellStyle name="Total 2 5 2" xfId="1473"/>
    <cellStyle name="Total 2 5 2 2" xfId="1474"/>
    <cellStyle name="Total 2 5 3" xfId="1475"/>
    <cellStyle name="Total 2 6" xfId="1476"/>
    <cellStyle name="Total 2 6 2" xfId="1477"/>
    <cellStyle name="Total 2 6 2 2" xfId="1478"/>
    <cellStyle name="Total 2 6 3" xfId="1479"/>
    <cellStyle name="Total 2 7" xfId="1480"/>
    <cellStyle name="Total 2 7 2" xfId="1481"/>
    <cellStyle name="Total 2 7 2 2" xfId="1482"/>
    <cellStyle name="Total 2 7 3" xfId="1483"/>
    <cellStyle name="Total 2 8" xfId="1484"/>
    <cellStyle name="Total 2 8 2" xfId="1485"/>
    <cellStyle name="Total 2 8 2 2" xfId="1486"/>
    <cellStyle name="Total 2 8 3" xfId="1487"/>
    <cellStyle name="Total 2 9" xfId="1488"/>
    <cellStyle name="Total 2 9 2" xfId="1489"/>
    <cellStyle name="Total 2 9 2 2" xfId="1490"/>
    <cellStyle name="Total 2 9 3" xfId="1491"/>
    <cellStyle name="Total 3" xfId="1492"/>
    <cellStyle name="Total 4" xfId="1493"/>
    <cellStyle name="Warning Text" xfId="1527" builtinId="11" customBuiltin="1"/>
  </cellStyles>
  <dxfs count="0"/>
  <tableStyles count="0" defaultTableStyle="TableStyleMedium2" defaultPivotStyle="PivotStyleLight16"/>
  <colors>
    <mruColors>
      <color rgb="FF7EEAC1"/>
      <color rgb="FFFF9966"/>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29"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s-AR"/>
              <a:t>Curva de Desembolsos</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lotArea>
      <c:layout/>
      <c:scatterChart>
        <c:scatterStyle val="smoothMarker"/>
        <c:varyColors val="0"/>
        <c:ser>
          <c:idx val="0"/>
          <c:order val="0"/>
          <c:spPr>
            <a:ln w="9525" cap="rnd">
              <a:solidFill>
                <a:schemeClr val="accent1"/>
              </a:solidFill>
              <a:round/>
            </a:ln>
            <a:effectLst>
              <a:outerShdw blurRad="40000" dist="23000" dir="5400000" rotWithShape="0">
                <a:srgbClr val="000000">
                  <a:alpha val="35000"/>
                </a:srgbClr>
              </a:outerShdw>
            </a:effectLst>
          </c:spPr>
          <c:marker>
            <c:symbol val="circle"/>
            <c:size val="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c:spPr>
          </c:marker>
          <c:yVal>
            <c:numRef>
              <c:f>Hoja5!$D$3:$H$3</c:f>
              <c:numCache>
                <c:formatCode>General</c:formatCode>
                <c:ptCount val="5"/>
                <c:pt idx="0">
                  <c:v>150000</c:v>
                </c:pt>
                <c:pt idx="1">
                  <c:v>21417120</c:v>
                </c:pt>
                <c:pt idx="2">
                  <c:v>68339000</c:v>
                </c:pt>
                <c:pt idx="3">
                  <c:v>91519500</c:v>
                </c:pt>
                <c:pt idx="4">
                  <c:v>114700000</c:v>
                </c:pt>
              </c:numCache>
            </c:numRef>
          </c:yVal>
          <c:smooth val="1"/>
          <c:extLst>
            <c:ext xmlns:c16="http://schemas.microsoft.com/office/drawing/2014/chart" uri="{C3380CC4-5D6E-409C-BE32-E72D297353CC}">
              <c16:uniqueId val="{00000000-5982-482A-808C-98CA4573E9FA}"/>
            </c:ext>
          </c:extLst>
        </c:ser>
        <c:dLbls>
          <c:showLegendKey val="0"/>
          <c:showVal val="0"/>
          <c:showCatName val="0"/>
          <c:showSerName val="0"/>
          <c:showPercent val="0"/>
          <c:showBubbleSize val="0"/>
        </c:dLbls>
        <c:axId val="378464952"/>
        <c:axId val="378463776"/>
      </c:scatterChart>
      <c:valAx>
        <c:axId val="378464952"/>
        <c:scaling>
          <c:orientation val="minMax"/>
        </c:scaling>
        <c:delete val="0"/>
        <c:axPos val="b"/>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s-AR"/>
                  <a:t>Año</a:t>
                </a:r>
              </a:p>
            </c:rich>
          </c:tx>
          <c:layout>
            <c:manualLayout>
              <c:xMode val="edge"/>
              <c:yMode val="edge"/>
              <c:x val="0.53592935258092744"/>
              <c:y val="0.88432852143482066"/>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378463776"/>
        <c:crosses val="autoZero"/>
        <c:crossBetween val="midCat"/>
      </c:valAx>
      <c:valAx>
        <c:axId val="378463776"/>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s-AR"/>
                  <a:t>Miles de dolares</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General"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378464952"/>
        <c:crosses val="autoZero"/>
        <c:crossBetween val="midCat"/>
        <c:dispUnits>
          <c:builtInUnit val="thousands"/>
        </c:dispUnits>
      </c:valAx>
      <c:spPr>
        <a:noFill/>
        <a:ln>
          <a:noFill/>
        </a:ln>
        <a:effectLst/>
      </c:spPr>
    </c:plotArea>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128587</xdr:rowOff>
    </xdr:from>
    <xdr:to>
      <xdr:col>7</xdr:col>
      <xdr:colOff>0</xdr:colOff>
      <xdr:row>20</xdr:row>
      <xdr:rowOff>119062</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mosteirin/AppData/Local/Microsoft/Windows/Temporary%20Internet%20Files/Content.Outlook/IN8QD8E7/Copia%20de%20Copia%20de%20POA%20BID%20II%202016%20-%20Con%20mes%20atrasado%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solda/AppData/Local/Microsoft/Windows/Temporary%20Internet%20Files/Content.Outlook/LE58AEEZ/Copia%20de%20POA%20BID%20II%20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A - 2016 "/>
      <sheetName val="Datos Proyectos"/>
      <sheetName val="POA - 2016  (2)"/>
      <sheetName val="POA - 2016"/>
      <sheetName val="Datos Proyectos (2)"/>
      <sheetName val="Hoja1"/>
      <sheetName val="Proyectos - Ejecucion - Tiempo"/>
    </sheetNames>
    <sheetDataSet>
      <sheetData sheetId="0"/>
      <sheetData sheetId="1"/>
      <sheetData sheetId="2"/>
      <sheetData sheetId="3"/>
      <sheetData sheetId="4">
        <row r="4">
          <cell r="L4">
            <v>145800000</v>
          </cell>
        </row>
        <row r="5">
          <cell r="L5">
            <v>24300000</v>
          </cell>
        </row>
        <row r="6">
          <cell r="L6">
            <v>9000000</v>
          </cell>
        </row>
        <row r="11">
          <cell r="L11">
            <v>49400000</v>
          </cell>
        </row>
        <row r="12">
          <cell r="L12">
            <v>18800000</v>
          </cell>
        </row>
        <row r="13">
          <cell r="L13">
            <v>8300000</v>
          </cell>
        </row>
        <row r="19">
          <cell r="L19">
            <v>36700000</v>
          </cell>
        </row>
        <row r="20">
          <cell r="L20">
            <v>8860000</v>
          </cell>
        </row>
        <row r="21">
          <cell r="L21">
            <v>7500000</v>
          </cell>
        </row>
        <row r="27">
          <cell r="L27">
            <v>47776284.726808958</v>
          </cell>
        </row>
        <row r="28">
          <cell r="L28">
            <v>5098294.0815878399</v>
          </cell>
        </row>
        <row r="29">
          <cell r="L29">
            <v>13747018.755486736</v>
          </cell>
        </row>
        <row r="30">
          <cell r="L30">
            <v>7653781.5734944185</v>
          </cell>
        </row>
        <row r="31">
          <cell r="L31">
            <v>2018596.7434731841</v>
          </cell>
        </row>
        <row r="42">
          <cell r="L42">
            <v>42936607.098781899</v>
          </cell>
        </row>
        <row r="43">
          <cell r="L43">
            <v>23663025.404346932</v>
          </cell>
        </row>
        <row r="44">
          <cell r="L44">
            <v>12883998.662993079</v>
          </cell>
        </row>
        <row r="45">
          <cell r="L45">
            <v>11594910.56734206</v>
          </cell>
        </row>
        <row r="59">
          <cell r="L59">
            <v>42735000</v>
          </cell>
        </row>
        <row r="60">
          <cell r="L60">
            <v>5457500</v>
          </cell>
        </row>
        <row r="61">
          <cell r="L61">
            <v>121175000</v>
          </cell>
        </row>
        <row r="62">
          <cell r="L62">
            <v>8325000</v>
          </cell>
        </row>
        <row r="63">
          <cell r="L63">
            <v>26640000</v>
          </cell>
        </row>
        <row r="64">
          <cell r="L64">
            <v>5550000</v>
          </cell>
        </row>
      </sheetData>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A - 2016 "/>
      <sheetName val="Datos Proyectos"/>
      <sheetName val="POA - 2016  (2)"/>
      <sheetName val="POA - 2016"/>
      <sheetName val="Datos Proyectos (2)"/>
      <sheetName val="Hoja1"/>
      <sheetName val="Proyectos - Ejecucion - Tiempo"/>
    </sheetNames>
    <sheetDataSet>
      <sheetData sheetId="0"/>
      <sheetData sheetId="1">
        <row r="4">
          <cell r="K4">
            <v>145800000</v>
          </cell>
        </row>
      </sheetData>
      <sheetData sheetId="2"/>
      <sheetData sheetId="3"/>
      <sheetData sheetId="4">
        <row r="4">
          <cell r="K4">
            <v>15762162.162162162</v>
          </cell>
        </row>
      </sheetData>
      <sheetData sheetId="5"/>
      <sheetData sheetId="6">
        <row r="7">
          <cell r="E7">
            <v>3582000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3"/>
  <sheetViews>
    <sheetView workbookViewId="0">
      <selection activeCell="J25" sqref="J25"/>
    </sheetView>
  </sheetViews>
  <sheetFormatPr defaultColWidth="11.5546875" defaultRowHeight="13.2" x14ac:dyDescent="0.25"/>
  <sheetData>
    <row r="3" spans="2:8" x14ac:dyDescent="0.25">
      <c r="B3" t="s">
        <v>348</v>
      </c>
      <c r="C3" t="s">
        <v>68</v>
      </c>
      <c r="D3">
        <v>150000</v>
      </c>
      <c r="E3">
        <v>21417120</v>
      </c>
      <c r="F3">
        <v>68339000</v>
      </c>
      <c r="G3">
        <v>91519500</v>
      </c>
      <c r="H3">
        <v>114700000</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I7"/>
  <sheetViews>
    <sheetView workbookViewId="0">
      <selection activeCell="E17" sqref="E17"/>
    </sheetView>
  </sheetViews>
  <sheetFormatPr defaultColWidth="11.5546875" defaultRowHeight="13.2" x14ac:dyDescent="0.25"/>
  <cols>
    <col min="3" max="3" width="16.88671875" bestFit="1" customWidth="1"/>
    <col min="4" max="4" width="13.6640625" style="172" customWidth="1"/>
  </cols>
  <sheetData>
    <row r="3" spans="3:9" x14ac:dyDescent="0.25">
      <c r="D3" t="s">
        <v>8</v>
      </c>
      <c r="E3" t="s">
        <v>9</v>
      </c>
      <c r="F3" t="s">
        <v>10</v>
      </c>
      <c r="G3" t="s">
        <v>11</v>
      </c>
      <c r="H3" t="s">
        <v>12</v>
      </c>
      <c r="I3" t="s">
        <v>6</v>
      </c>
    </row>
    <row r="4" spans="3:9" x14ac:dyDescent="0.25">
      <c r="C4" s="372" t="s">
        <v>262</v>
      </c>
      <c r="D4" s="372">
        <v>0</v>
      </c>
      <c r="E4" s="372">
        <v>628191</v>
      </c>
      <c r="F4" s="372">
        <v>829782</v>
      </c>
      <c r="G4" s="372">
        <v>249394</v>
      </c>
      <c r="H4" s="372">
        <v>115054</v>
      </c>
      <c r="I4" s="372">
        <v>1822421</v>
      </c>
    </row>
    <row r="5" spans="3:9" x14ac:dyDescent="0.25">
      <c r="C5" s="372" t="s">
        <v>264</v>
      </c>
      <c r="D5" s="372">
        <v>0</v>
      </c>
      <c r="E5" s="373">
        <f>+E4/1000</f>
        <v>628.19100000000003</v>
      </c>
      <c r="F5" s="373">
        <f>+F4/1000</f>
        <v>829.78200000000004</v>
      </c>
      <c r="G5" s="373">
        <f>+G4/1000</f>
        <v>249.39400000000001</v>
      </c>
      <c r="H5" s="373">
        <f>+H4/1000</f>
        <v>115.054</v>
      </c>
      <c r="I5" s="372">
        <f>+SUM(D5:H5)</f>
        <v>1822.421</v>
      </c>
    </row>
    <row r="6" spans="3:9" x14ac:dyDescent="0.25">
      <c r="C6" s="372" t="s">
        <v>263</v>
      </c>
      <c r="D6" s="372">
        <v>0</v>
      </c>
      <c r="E6" s="373">
        <f>+E5*0.05</f>
        <v>31.409550000000003</v>
      </c>
      <c r="F6" s="373">
        <f>+F5*0.05</f>
        <v>41.489100000000008</v>
      </c>
      <c r="G6" s="373">
        <f>+G5*0.05</f>
        <v>12.469700000000001</v>
      </c>
      <c r="H6" s="373">
        <f>+H5*0.05</f>
        <v>5.7527000000000008</v>
      </c>
      <c r="I6" s="372">
        <f>+SUM(D6:H6)</f>
        <v>91.121050000000011</v>
      </c>
    </row>
    <row r="7" spans="3:9" x14ac:dyDescent="0.25">
      <c r="C7" s="372"/>
      <c r="D7" s="372"/>
      <c r="E7" s="372">
        <f>+E6/E5</f>
        <v>0.05</v>
      </c>
      <c r="F7" s="372">
        <f>+F6/F5</f>
        <v>5.000000000000001E-2</v>
      </c>
      <c r="G7" s="372">
        <f>+G6/G5</f>
        <v>0.05</v>
      </c>
      <c r="H7" s="372">
        <f>+H6/H5</f>
        <v>0.05</v>
      </c>
      <c r="I7" s="372"/>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43"/>
  <sheetViews>
    <sheetView zoomScale="80" zoomScaleNormal="80" workbookViewId="0">
      <selection activeCell="H11" sqref="H11"/>
    </sheetView>
  </sheetViews>
  <sheetFormatPr defaultColWidth="11.44140625" defaultRowHeight="13.2" x14ac:dyDescent="0.25"/>
  <cols>
    <col min="1" max="1" width="21.6640625" style="461" bestFit="1" customWidth="1"/>
    <col min="2" max="2" width="46.33203125" style="461" bestFit="1" customWidth="1"/>
    <col min="3" max="3" width="10.5546875" style="461" bestFit="1" customWidth="1"/>
    <col min="4" max="4" width="12.33203125" style="461" customWidth="1"/>
    <col min="5" max="5" width="13" style="461" customWidth="1"/>
    <col min="6" max="6" width="12" style="461" customWidth="1"/>
    <col min="7" max="7" width="14" style="461" customWidth="1"/>
    <col min="8" max="8" width="10.6640625" style="461" bestFit="1" customWidth="1"/>
    <col min="9" max="9" width="13.33203125" style="461" customWidth="1"/>
    <col min="10" max="10" width="13" style="461" bestFit="1" customWidth="1"/>
    <col min="11" max="11" width="17.44140625" style="461" bestFit="1" customWidth="1"/>
    <col min="12" max="12" width="11.44140625" style="461"/>
    <col min="13" max="13" width="17.44140625" style="461" bestFit="1" customWidth="1"/>
    <col min="14" max="16384" width="11.44140625" style="461"/>
  </cols>
  <sheetData>
    <row r="2" spans="1:13" ht="13.8" thickBot="1" x14ac:dyDescent="0.3"/>
    <row r="3" spans="1:13" ht="53.4" thickBot="1" x14ac:dyDescent="0.3">
      <c r="A3" s="462" t="s">
        <v>277</v>
      </c>
      <c r="B3" s="463" t="s">
        <v>278</v>
      </c>
      <c r="C3" s="464" t="s">
        <v>279</v>
      </c>
      <c r="D3" s="464" t="s">
        <v>280</v>
      </c>
      <c r="E3" s="464" t="s">
        <v>281</v>
      </c>
      <c r="F3" s="464" t="s">
        <v>282</v>
      </c>
      <c r="G3" s="464" t="s">
        <v>283</v>
      </c>
      <c r="H3" s="464" t="s">
        <v>284</v>
      </c>
      <c r="I3" s="464" t="s">
        <v>285</v>
      </c>
      <c r="J3" s="465" t="s">
        <v>286</v>
      </c>
      <c r="K3" s="466" t="s">
        <v>349</v>
      </c>
    </row>
    <row r="4" spans="1:13" ht="12.75" customHeight="1" x14ac:dyDescent="0.25">
      <c r="A4" s="1277" t="s">
        <v>350</v>
      </c>
      <c r="B4" s="467" t="s">
        <v>351</v>
      </c>
      <c r="C4" s="468">
        <f>426039+61929</f>
        <v>487968</v>
      </c>
      <c r="D4" s="469">
        <f>290.2+39.16</f>
        <v>329.36</v>
      </c>
      <c r="E4" s="469">
        <f>D4-F4</f>
        <v>309.36</v>
      </c>
      <c r="F4" s="469">
        <f>16+4</f>
        <v>20</v>
      </c>
      <c r="G4" s="470"/>
      <c r="H4" s="470">
        <v>8</v>
      </c>
      <c r="I4" s="470"/>
      <c r="J4" s="471"/>
      <c r="K4" s="472">
        <f>16200000*9</f>
        <v>145800000</v>
      </c>
    </row>
    <row r="5" spans="1:13" ht="12.75" customHeight="1" x14ac:dyDescent="0.25">
      <c r="A5" s="1278"/>
      <c r="B5" s="473" t="s">
        <v>352</v>
      </c>
      <c r="C5" s="474"/>
      <c r="D5" s="475"/>
      <c r="E5" s="475"/>
      <c r="F5" s="475"/>
      <c r="G5" s="476"/>
      <c r="H5" s="476"/>
      <c r="I5" s="476"/>
      <c r="J5" s="477"/>
      <c r="K5" s="478">
        <f>2700000*9</f>
        <v>24300000</v>
      </c>
    </row>
    <row r="6" spans="1:13" ht="12.75" customHeight="1" thickBot="1" x14ac:dyDescent="0.3">
      <c r="A6" s="1279"/>
      <c r="B6" s="479" t="s">
        <v>353</v>
      </c>
      <c r="C6" s="480"/>
      <c r="D6" s="481"/>
      <c r="E6" s="481"/>
      <c r="F6" s="481"/>
      <c r="G6" s="482"/>
      <c r="H6" s="482"/>
      <c r="I6" s="482">
        <v>2</v>
      </c>
      <c r="J6" s="483"/>
      <c r="K6" s="484">
        <f>1000000*9</f>
        <v>9000000</v>
      </c>
    </row>
    <row r="7" spans="1:13" ht="12.75" customHeight="1" x14ac:dyDescent="0.25">
      <c r="A7" s="1277" t="s">
        <v>354</v>
      </c>
      <c r="B7" s="467" t="s">
        <v>355</v>
      </c>
      <c r="C7" s="485">
        <v>18549</v>
      </c>
      <c r="D7" s="486">
        <v>14.62</v>
      </c>
      <c r="E7" s="469">
        <f>D7-F7</f>
        <v>13.12</v>
      </c>
      <c r="F7" s="486">
        <v>1.5</v>
      </c>
      <c r="G7" s="470"/>
      <c r="H7" s="487">
        <v>1</v>
      </c>
      <c r="I7" s="487">
        <v>1</v>
      </c>
      <c r="J7" s="488"/>
      <c r="K7" s="472">
        <f>3600000*9</f>
        <v>32400000</v>
      </c>
    </row>
    <row r="8" spans="1:13" ht="12.75" customHeight="1" x14ac:dyDescent="0.25">
      <c r="A8" s="1278"/>
      <c r="B8" s="473" t="s">
        <v>356</v>
      </c>
      <c r="C8" s="489">
        <v>28252</v>
      </c>
      <c r="D8" s="490">
        <v>21.28</v>
      </c>
      <c r="E8" s="491">
        <f>D8-F8</f>
        <v>19.28</v>
      </c>
      <c r="F8" s="490">
        <v>2</v>
      </c>
      <c r="G8" s="476"/>
      <c r="H8" s="492">
        <v>6</v>
      </c>
      <c r="I8" s="493"/>
      <c r="J8" s="494"/>
      <c r="K8" s="478">
        <f>2000000*9</f>
        <v>18000000</v>
      </c>
    </row>
    <row r="9" spans="1:13" ht="12.75" customHeight="1" thickBot="1" x14ac:dyDescent="0.3">
      <c r="A9" s="1278"/>
      <c r="B9" s="495" t="s">
        <v>357</v>
      </c>
      <c r="C9" s="496"/>
      <c r="D9" s="496"/>
      <c r="E9" s="496"/>
      <c r="F9" s="496"/>
      <c r="G9" s="497"/>
      <c r="H9" s="498"/>
      <c r="I9" s="499">
        <v>5</v>
      </c>
      <c r="J9" s="500"/>
      <c r="K9" s="501">
        <f>300000*9</f>
        <v>2700000</v>
      </c>
    </row>
    <row r="10" spans="1:13" ht="15.6" thickBot="1" x14ac:dyDescent="0.3">
      <c r="A10" s="502" t="s">
        <v>293</v>
      </c>
      <c r="B10" s="503" t="s">
        <v>294</v>
      </c>
      <c r="C10" s="504">
        <v>288140</v>
      </c>
      <c r="D10" s="505">
        <v>324</v>
      </c>
      <c r="E10" s="505">
        <f>D10-F10</f>
        <v>274</v>
      </c>
      <c r="F10" s="505">
        <v>50</v>
      </c>
      <c r="G10" s="506" t="s">
        <v>295</v>
      </c>
      <c r="H10" s="507">
        <v>1</v>
      </c>
      <c r="I10" s="507">
        <v>0</v>
      </c>
      <c r="J10" s="508">
        <v>0</v>
      </c>
      <c r="K10" s="509">
        <v>6700000</v>
      </c>
      <c r="L10" s="461" t="s">
        <v>358</v>
      </c>
      <c r="M10" s="510"/>
    </row>
    <row r="11" spans="1:13" x14ac:dyDescent="0.25">
      <c r="A11" s="1271" t="s">
        <v>296</v>
      </c>
      <c r="B11" s="467" t="s">
        <v>359</v>
      </c>
      <c r="C11" s="468">
        <v>173904</v>
      </c>
      <c r="D11" s="469">
        <f>E11+F11</f>
        <v>110.2</v>
      </c>
      <c r="E11" s="469">
        <v>99</v>
      </c>
      <c r="F11" s="469">
        <v>11.2</v>
      </c>
      <c r="G11" s="511">
        <v>10</v>
      </c>
      <c r="H11" s="470">
        <v>7</v>
      </c>
      <c r="I11" s="470"/>
      <c r="J11" s="471"/>
      <c r="K11" s="512">
        <f>49400000</f>
        <v>49400000</v>
      </c>
      <c r="M11" s="513"/>
    </row>
    <row r="12" spans="1:13" x14ac:dyDescent="0.25">
      <c r="A12" s="1280"/>
      <c r="B12" s="473" t="s">
        <v>360</v>
      </c>
      <c r="C12" s="474"/>
      <c r="D12" s="475"/>
      <c r="E12" s="475"/>
      <c r="F12" s="475"/>
      <c r="G12" s="514"/>
      <c r="H12" s="476"/>
      <c r="I12" s="476"/>
      <c r="J12" s="477"/>
      <c r="K12" s="478">
        <v>18800000</v>
      </c>
      <c r="M12" s="513"/>
    </row>
    <row r="13" spans="1:13" x14ac:dyDescent="0.25">
      <c r="A13" s="1280"/>
      <c r="B13" s="473" t="s">
        <v>361</v>
      </c>
      <c r="C13" s="474"/>
      <c r="D13" s="475"/>
      <c r="E13" s="475"/>
      <c r="F13" s="475"/>
      <c r="G13" s="514"/>
      <c r="H13" s="476"/>
      <c r="I13" s="476">
        <v>1</v>
      </c>
      <c r="J13" s="477"/>
      <c r="K13" s="478">
        <v>8300000</v>
      </c>
      <c r="M13" s="510"/>
    </row>
    <row r="14" spans="1:13" ht="13.8" thickBot="1" x14ac:dyDescent="0.3">
      <c r="A14" s="1280"/>
      <c r="B14" s="479" t="s">
        <v>362</v>
      </c>
      <c r="C14" s="480"/>
      <c r="D14" s="481"/>
      <c r="E14" s="481"/>
      <c r="F14" s="481"/>
      <c r="G14" s="515"/>
      <c r="H14" s="482"/>
      <c r="I14" s="482"/>
      <c r="J14" s="483"/>
      <c r="K14" s="501">
        <v>19625000</v>
      </c>
    </row>
    <row r="15" spans="1:13" x14ac:dyDescent="0.25">
      <c r="A15" s="1272"/>
      <c r="B15" s="473" t="s">
        <v>298</v>
      </c>
      <c r="C15" s="474">
        <v>401444</v>
      </c>
      <c r="D15" s="474"/>
      <c r="E15" s="514">
        <v>321</v>
      </c>
      <c r="F15" s="476"/>
      <c r="G15" s="476"/>
      <c r="H15" s="516">
        <v>15</v>
      </c>
      <c r="I15" s="476"/>
      <c r="J15" s="477"/>
      <c r="K15" s="517">
        <v>8778530</v>
      </c>
      <c r="L15" s="461" t="s">
        <v>358</v>
      </c>
    </row>
    <row r="16" spans="1:13" x14ac:dyDescent="0.25">
      <c r="A16" s="1272"/>
      <c r="B16" s="518" t="s">
        <v>299</v>
      </c>
      <c r="C16" s="519">
        <v>123103</v>
      </c>
      <c r="D16" s="519">
        <v>66</v>
      </c>
      <c r="E16" s="520">
        <v>62.8</v>
      </c>
      <c r="F16" s="519">
        <f>+D16-E16</f>
        <v>3.2000000000000028</v>
      </c>
      <c r="G16" s="521"/>
      <c r="H16" s="522">
        <v>10</v>
      </c>
      <c r="I16" s="521"/>
      <c r="J16" s="523"/>
      <c r="K16" s="478">
        <v>6249648</v>
      </c>
      <c r="L16" s="461" t="s">
        <v>358</v>
      </c>
    </row>
    <row r="17" spans="1:13" x14ac:dyDescent="0.25">
      <c r="A17" s="1272"/>
      <c r="B17" s="524" t="s">
        <v>300</v>
      </c>
      <c r="C17" s="525">
        <v>18178</v>
      </c>
      <c r="D17" s="525">
        <v>15</v>
      </c>
      <c r="E17" s="526" t="s">
        <v>301</v>
      </c>
      <c r="F17" s="527"/>
      <c r="G17" s="528"/>
      <c r="H17" s="527">
        <v>1</v>
      </c>
      <c r="I17" s="528"/>
      <c r="J17" s="529"/>
      <c r="K17" s="530">
        <v>0</v>
      </c>
    </row>
    <row r="18" spans="1:13" ht="13.8" thickBot="1" x14ac:dyDescent="0.3">
      <c r="A18" s="1273"/>
      <c r="B18" s="495" t="s">
        <v>302</v>
      </c>
      <c r="C18" s="531">
        <v>108937</v>
      </c>
      <c r="D18" s="532"/>
      <c r="E18" s="532">
        <v>75</v>
      </c>
      <c r="F18" s="532">
        <v>2.5499999999999998</v>
      </c>
      <c r="G18" s="497">
        <v>603</v>
      </c>
      <c r="H18" s="497">
        <v>1</v>
      </c>
      <c r="I18" s="497">
        <v>1</v>
      </c>
      <c r="J18" s="533">
        <v>0</v>
      </c>
      <c r="K18" s="501"/>
    </row>
    <row r="19" spans="1:13" x14ac:dyDescent="0.25">
      <c r="A19" s="1271" t="s">
        <v>303</v>
      </c>
      <c r="B19" s="467" t="s">
        <v>363</v>
      </c>
      <c r="C19" s="468">
        <v>241970</v>
      </c>
      <c r="D19" s="469">
        <v>152.1</v>
      </c>
      <c r="E19" s="469">
        <f>D19-F19</f>
        <v>133.88999999999999</v>
      </c>
      <c r="F19" s="469">
        <v>18.21</v>
      </c>
      <c r="G19" s="470">
        <v>654</v>
      </c>
      <c r="H19" s="470">
        <v>10</v>
      </c>
      <c r="I19" s="470"/>
      <c r="J19" s="471"/>
      <c r="K19" s="472">
        <f>22800000+2300000+1300000+1400000+8900000</f>
        <v>36700000</v>
      </c>
    </row>
    <row r="20" spans="1:13" x14ac:dyDescent="0.25">
      <c r="A20" s="1280"/>
      <c r="B20" s="473" t="s">
        <v>364</v>
      </c>
      <c r="C20" s="474"/>
      <c r="D20" s="475"/>
      <c r="E20" s="475"/>
      <c r="F20" s="475"/>
      <c r="G20" s="476"/>
      <c r="H20" s="476"/>
      <c r="I20" s="476"/>
      <c r="J20" s="477"/>
      <c r="K20" s="534">
        <f>8860000</f>
        <v>8860000</v>
      </c>
    </row>
    <row r="21" spans="1:13" ht="13.8" thickBot="1" x14ac:dyDescent="0.3">
      <c r="A21" s="1280"/>
      <c r="B21" s="479" t="s">
        <v>365</v>
      </c>
      <c r="C21" s="480"/>
      <c r="D21" s="481"/>
      <c r="E21" s="481"/>
      <c r="F21" s="481"/>
      <c r="G21" s="482"/>
      <c r="H21" s="482"/>
      <c r="I21" s="482">
        <v>2</v>
      </c>
      <c r="J21" s="483"/>
      <c r="K21" s="484">
        <f>7500000</f>
        <v>7500000</v>
      </c>
      <c r="M21" s="535"/>
    </row>
    <row r="22" spans="1:13" x14ac:dyDescent="0.25">
      <c r="A22" s="1272"/>
      <c r="B22" s="467" t="s">
        <v>305</v>
      </c>
      <c r="C22" s="468">
        <v>22866</v>
      </c>
      <c r="D22" s="469">
        <v>9.6999999999999993</v>
      </c>
      <c r="E22" s="469">
        <v>9.11</v>
      </c>
      <c r="F22" s="469">
        <v>0.59</v>
      </c>
      <c r="G22" s="470">
        <v>72</v>
      </c>
      <c r="H22" s="470">
        <v>2</v>
      </c>
      <c r="I22" s="470">
        <v>1</v>
      </c>
      <c r="J22" s="471">
        <v>0</v>
      </c>
      <c r="K22" s="472">
        <v>3200000</v>
      </c>
      <c r="L22" s="461" t="s">
        <v>358</v>
      </c>
    </row>
    <row r="23" spans="1:13" x14ac:dyDescent="0.25">
      <c r="A23" s="1272"/>
      <c r="B23" s="518" t="s">
        <v>306</v>
      </c>
      <c r="C23" s="536">
        <v>26579</v>
      </c>
      <c r="D23" s="491">
        <v>10.199999999999999</v>
      </c>
      <c r="E23" s="491">
        <v>9.82</v>
      </c>
      <c r="F23" s="491">
        <f>D23-E23</f>
        <v>0.37999999999999901</v>
      </c>
      <c r="G23" s="521">
        <v>102</v>
      </c>
      <c r="H23" s="521">
        <v>3</v>
      </c>
      <c r="I23" s="521">
        <v>4</v>
      </c>
      <c r="J23" s="523">
        <v>0</v>
      </c>
      <c r="K23" s="478">
        <v>2200000</v>
      </c>
      <c r="L23" s="461" t="s">
        <v>358</v>
      </c>
    </row>
    <row r="24" spans="1:13" ht="13.8" thickBot="1" x14ac:dyDescent="0.3">
      <c r="A24" s="1273"/>
      <c r="B24" s="495" t="s">
        <v>307</v>
      </c>
      <c r="C24" s="531">
        <v>3052</v>
      </c>
      <c r="D24" s="532">
        <v>0.92</v>
      </c>
      <c r="E24" s="532">
        <v>0.92</v>
      </c>
      <c r="F24" s="532">
        <v>0</v>
      </c>
      <c r="G24" s="497">
        <v>24</v>
      </c>
      <c r="H24" s="497">
        <v>1</v>
      </c>
      <c r="I24" s="497">
        <v>1</v>
      </c>
      <c r="J24" s="533">
        <v>0</v>
      </c>
      <c r="K24" s="501">
        <v>800000</v>
      </c>
      <c r="L24" s="461" t="s">
        <v>358</v>
      </c>
    </row>
    <row r="25" spans="1:13" x14ac:dyDescent="0.25">
      <c r="A25" s="1271" t="s">
        <v>308</v>
      </c>
      <c r="B25" s="467" t="s">
        <v>309</v>
      </c>
      <c r="C25" s="468">
        <f>58671+643</f>
        <v>59314</v>
      </c>
      <c r="D25" s="469">
        <v>49.51</v>
      </c>
      <c r="E25" s="470">
        <v>48.47</v>
      </c>
      <c r="F25" s="469">
        <f>+D25-E25</f>
        <v>1.0399999999999991</v>
      </c>
      <c r="G25" s="537">
        <v>3</v>
      </c>
      <c r="H25" s="470">
        <v>2</v>
      </c>
      <c r="I25" s="470">
        <v>2</v>
      </c>
      <c r="J25" s="471">
        <v>0</v>
      </c>
      <c r="K25" s="472">
        <v>5000000</v>
      </c>
      <c r="L25" s="461" t="s">
        <v>358</v>
      </c>
    </row>
    <row r="26" spans="1:13" x14ac:dyDescent="0.25">
      <c r="A26" s="1272"/>
      <c r="B26" s="518" t="s">
        <v>310</v>
      </c>
      <c r="C26" s="536">
        <v>167819</v>
      </c>
      <c r="D26" s="491">
        <v>112.89</v>
      </c>
      <c r="E26" s="521">
        <v>90.1</v>
      </c>
      <c r="F26" s="521">
        <v>22.8</v>
      </c>
      <c r="G26" s="538">
        <v>738</v>
      </c>
      <c r="H26" s="521">
        <v>5</v>
      </c>
      <c r="I26" s="521">
        <v>5</v>
      </c>
      <c r="J26" s="523">
        <v>0</v>
      </c>
      <c r="K26" s="478">
        <v>8000000</v>
      </c>
      <c r="L26" s="461" t="s">
        <v>358</v>
      </c>
    </row>
    <row r="27" spans="1:13" ht="13.8" thickBot="1" x14ac:dyDescent="0.3">
      <c r="A27" s="1273"/>
      <c r="B27" s="495" t="s">
        <v>311</v>
      </c>
      <c r="C27" s="531">
        <v>16946</v>
      </c>
      <c r="D27" s="532">
        <v>11.07</v>
      </c>
      <c r="E27" s="497">
        <v>10.7</v>
      </c>
      <c r="F27" s="532">
        <f>+D27-E27</f>
        <v>0.37000000000000099</v>
      </c>
      <c r="G27" s="539">
        <v>9</v>
      </c>
      <c r="H27" s="497">
        <v>3</v>
      </c>
      <c r="I27" s="497">
        <v>3</v>
      </c>
      <c r="J27" s="533">
        <v>0</v>
      </c>
      <c r="K27" s="501">
        <v>2500000</v>
      </c>
      <c r="L27" s="461" t="s">
        <v>358</v>
      </c>
    </row>
    <row r="28" spans="1:13" x14ac:dyDescent="0.25">
      <c r="A28" s="1271" t="s">
        <v>312</v>
      </c>
      <c r="B28" s="467" t="s">
        <v>366</v>
      </c>
      <c r="C28" s="504">
        <v>249394</v>
      </c>
      <c r="D28" s="505">
        <f>E28+F28</f>
        <v>175</v>
      </c>
      <c r="E28" s="505">
        <v>168</v>
      </c>
      <c r="F28" s="505">
        <v>7</v>
      </c>
      <c r="G28" s="511">
        <v>368</v>
      </c>
      <c r="H28" s="470">
        <v>1</v>
      </c>
      <c r="I28" s="470"/>
      <c r="J28" s="471"/>
      <c r="K28" s="472">
        <v>64350000</v>
      </c>
    </row>
    <row r="29" spans="1:13" x14ac:dyDescent="0.25">
      <c r="A29" s="1280"/>
      <c r="B29" s="473" t="s">
        <v>367</v>
      </c>
      <c r="C29" s="536"/>
      <c r="D29" s="491"/>
      <c r="E29" s="491"/>
      <c r="F29" s="491"/>
      <c r="G29" s="514"/>
      <c r="H29" s="476"/>
      <c r="I29" s="476"/>
      <c r="J29" s="477"/>
      <c r="K29" s="534">
        <v>35100000</v>
      </c>
    </row>
    <row r="30" spans="1:13" ht="13.8" thickBot="1" x14ac:dyDescent="0.3">
      <c r="A30" s="1280"/>
      <c r="B30" s="479" t="s">
        <v>368</v>
      </c>
      <c r="C30" s="531"/>
      <c r="D30" s="532"/>
      <c r="E30" s="532"/>
      <c r="F30" s="532"/>
      <c r="G30" s="515"/>
      <c r="H30" s="482"/>
      <c r="I30" s="482">
        <v>1</v>
      </c>
      <c r="J30" s="483"/>
      <c r="K30" s="484">
        <v>17550000</v>
      </c>
      <c r="M30" s="535"/>
    </row>
    <row r="31" spans="1:13" x14ac:dyDescent="0.25">
      <c r="A31" s="1272"/>
      <c r="B31" s="467" t="s">
        <v>314</v>
      </c>
      <c r="C31" s="468">
        <v>29161</v>
      </c>
      <c r="D31" s="469">
        <f>+E31+F31</f>
        <v>31.45</v>
      </c>
      <c r="E31" s="469">
        <v>30.9</v>
      </c>
      <c r="F31" s="469">
        <v>0.55000000000000004</v>
      </c>
      <c r="G31" s="511">
        <v>14</v>
      </c>
      <c r="H31" s="470">
        <v>2</v>
      </c>
      <c r="I31" s="540">
        <v>3</v>
      </c>
      <c r="J31" s="471">
        <v>0</v>
      </c>
      <c r="K31" s="472">
        <v>2700000</v>
      </c>
      <c r="L31" s="461" t="s">
        <v>358</v>
      </c>
    </row>
    <row r="32" spans="1:13" ht="13.8" thickBot="1" x14ac:dyDescent="0.3">
      <c r="A32" s="1273"/>
      <c r="B32" s="495" t="s">
        <v>315</v>
      </c>
      <c r="C32" s="480">
        <v>20167</v>
      </c>
      <c r="D32" s="481">
        <v>22.05</v>
      </c>
      <c r="E32" s="481">
        <v>21.72</v>
      </c>
      <c r="F32" s="481">
        <f>+D32-E32</f>
        <v>0.33000000000000185</v>
      </c>
      <c r="G32" s="541">
        <v>14</v>
      </c>
      <c r="H32" s="497">
        <v>2</v>
      </c>
      <c r="I32" s="497">
        <v>2</v>
      </c>
      <c r="J32" s="533">
        <v>0</v>
      </c>
      <c r="K32" s="501">
        <v>2400000</v>
      </c>
      <c r="L32" s="461" t="s">
        <v>358</v>
      </c>
    </row>
    <row r="33" spans="1:12" x14ac:dyDescent="0.25">
      <c r="A33" s="1271" t="s">
        <v>316</v>
      </c>
      <c r="B33" s="467" t="s">
        <v>317</v>
      </c>
      <c r="C33" s="468">
        <v>1183421</v>
      </c>
      <c r="D33" s="469">
        <f>E33+F33</f>
        <v>1298.7</v>
      </c>
      <c r="E33" s="469">
        <v>1212</v>
      </c>
      <c r="F33" s="469">
        <v>86.7</v>
      </c>
      <c r="G33" s="542" t="s">
        <v>295</v>
      </c>
      <c r="H33" s="470">
        <v>7</v>
      </c>
      <c r="I33" s="470">
        <v>2</v>
      </c>
      <c r="J33" s="471">
        <v>2</v>
      </c>
      <c r="K33" s="472"/>
    </row>
    <row r="34" spans="1:12" x14ac:dyDescent="0.25">
      <c r="A34" s="1272"/>
      <c r="B34" s="518" t="s">
        <v>318</v>
      </c>
      <c r="C34" s="536">
        <v>27760</v>
      </c>
      <c r="D34" s="491">
        <v>12</v>
      </c>
      <c r="E34" s="491">
        <v>12</v>
      </c>
      <c r="F34" s="491">
        <v>0</v>
      </c>
      <c r="G34" s="521">
        <v>0</v>
      </c>
      <c r="H34" s="521">
        <v>1</v>
      </c>
      <c r="I34" s="521">
        <v>1</v>
      </c>
      <c r="J34" s="523">
        <v>0</v>
      </c>
      <c r="K34" s="478"/>
    </row>
    <row r="35" spans="1:12" ht="13.8" thickBot="1" x14ac:dyDescent="0.3">
      <c r="A35" s="1273"/>
      <c r="B35" s="495" t="s">
        <v>319</v>
      </c>
      <c r="C35" s="531">
        <v>29009</v>
      </c>
      <c r="D35" s="532">
        <f>E35+F35</f>
        <v>45.5</v>
      </c>
      <c r="E35" s="532">
        <v>44</v>
      </c>
      <c r="F35" s="532">
        <v>1.5</v>
      </c>
      <c r="G35" s="497">
        <v>0</v>
      </c>
      <c r="H35" s="497">
        <v>3</v>
      </c>
      <c r="I35" s="497">
        <v>2</v>
      </c>
      <c r="J35" s="533">
        <v>0</v>
      </c>
      <c r="K35" s="501"/>
    </row>
    <row r="36" spans="1:12" ht="15.6" thickBot="1" x14ac:dyDescent="0.3">
      <c r="A36" s="543" t="s">
        <v>320</v>
      </c>
      <c r="B36" s="544" t="s">
        <v>321</v>
      </c>
      <c r="C36" s="545">
        <v>32166</v>
      </c>
      <c r="D36" s="546">
        <f>E36+F36</f>
        <v>29.34</v>
      </c>
      <c r="E36" s="546">
        <v>27.5</v>
      </c>
      <c r="F36" s="546">
        <v>1.84</v>
      </c>
      <c r="G36" s="547">
        <v>0</v>
      </c>
      <c r="H36" s="547">
        <v>1</v>
      </c>
      <c r="I36" s="547">
        <v>1</v>
      </c>
      <c r="J36" s="548">
        <v>0</v>
      </c>
      <c r="K36" s="549"/>
    </row>
    <row r="37" spans="1:12" ht="15" customHeight="1" thickBot="1" x14ac:dyDescent="0.3">
      <c r="A37" s="1274" t="s">
        <v>322</v>
      </c>
      <c r="B37" s="503" t="s">
        <v>323</v>
      </c>
      <c r="C37" s="550">
        <v>334608</v>
      </c>
      <c r="D37" s="505">
        <v>615</v>
      </c>
      <c r="E37" s="505">
        <f>D37-F37</f>
        <v>609.4</v>
      </c>
      <c r="F37" s="505">
        <v>5.6</v>
      </c>
      <c r="G37" s="507">
        <v>1664</v>
      </c>
      <c r="H37" s="507">
        <v>1</v>
      </c>
      <c r="I37" s="507">
        <v>0</v>
      </c>
      <c r="J37" s="508">
        <v>0</v>
      </c>
      <c r="K37" s="509"/>
    </row>
    <row r="38" spans="1:12" ht="12.75" customHeight="1" x14ac:dyDescent="0.25">
      <c r="A38" s="1275"/>
      <c r="B38" s="551" t="s">
        <v>369</v>
      </c>
      <c r="C38" s="552">
        <v>208000</v>
      </c>
      <c r="D38" s="553">
        <v>200</v>
      </c>
      <c r="E38" s="554">
        <v>180</v>
      </c>
      <c r="F38" s="553">
        <v>20</v>
      </c>
      <c r="G38" s="553"/>
      <c r="H38" s="554">
        <v>2</v>
      </c>
      <c r="I38" s="554"/>
      <c r="J38" s="554"/>
      <c r="K38" s="472">
        <v>4620000</v>
      </c>
      <c r="L38" s="461" t="s">
        <v>358</v>
      </c>
    </row>
    <row r="39" spans="1:12" ht="12.75" customHeight="1" thickBot="1" x14ac:dyDescent="0.3">
      <c r="A39" s="1275"/>
      <c r="B39" s="555" t="s">
        <v>370</v>
      </c>
      <c r="C39" s="556"/>
      <c r="D39" s="557"/>
      <c r="E39" s="496"/>
      <c r="F39" s="557"/>
      <c r="G39" s="557"/>
      <c r="H39" s="496"/>
      <c r="I39" s="496">
        <v>1</v>
      </c>
      <c r="J39" s="496"/>
      <c r="K39" s="484">
        <v>590000</v>
      </c>
      <c r="L39" s="461" t="s">
        <v>358</v>
      </c>
    </row>
    <row r="40" spans="1:12" ht="12.75" customHeight="1" x14ac:dyDescent="0.25">
      <c r="A40" s="1275"/>
      <c r="B40" s="558" t="s">
        <v>371</v>
      </c>
      <c r="C40" s="559">
        <v>150350</v>
      </c>
      <c r="D40" s="560">
        <v>233</v>
      </c>
      <c r="E40" s="561"/>
      <c r="F40" s="561"/>
      <c r="G40" s="561"/>
      <c r="H40" s="561"/>
      <c r="I40" s="561"/>
      <c r="J40" s="561"/>
      <c r="K40" s="562">
        <v>13100000</v>
      </c>
      <c r="L40" s="461" t="s">
        <v>358</v>
      </c>
    </row>
    <row r="41" spans="1:12" ht="12.75" customHeight="1" thickBot="1" x14ac:dyDescent="0.3">
      <c r="A41" s="1276"/>
      <c r="B41" s="495" t="s">
        <v>372</v>
      </c>
      <c r="C41" s="556"/>
      <c r="D41" s="557"/>
      <c r="E41" s="496"/>
      <c r="F41" s="496"/>
      <c r="G41" s="496"/>
      <c r="H41" s="496"/>
      <c r="I41" s="496">
        <v>2</v>
      </c>
      <c r="J41" s="496"/>
      <c r="K41" s="501">
        <v>900000</v>
      </c>
      <c r="L41" s="461" t="s">
        <v>358</v>
      </c>
    </row>
    <row r="42" spans="1:12" ht="15.6" thickBot="1" x14ac:dyDescent="0.3">
      <c r="A42" s="502" t="s">
        <v>326</v>
      </c>
      <c r="B42" s="554" t="s">
        <v>373</v>
      </c>
      <c r="C42" s="552">
        <v>338000</v>
      </c>
      <c r="D42" s="554">
        <v>310</v>
      </c>
      <c r="E42" s="554">
        <v>295</v>
      </c>
      <c r="F42" s="554">
        <v>15</v>
      </c>
      <c r="G42" s="554">
        <v>0</v>
      </c>
      <c r="H42" s="554">
        <v>5</v>
      </c>
      <c r="I42" s="554">
        <v>0</v>
      </c>
      <c r="J42" s="554">
        <v>0</v>
      </c>
      <c r="K42" s="509">
        <v>2880000</v>
      </c>
      <c r="L42" s="461" t="s">
        <v>358</v>
      </c>
    </row>
    <row r="43" spans="1:12" ht="15.6" thickBot="1" x14ac:dyDescent="0.3">
      <c r="A43" s="563" t="s">
        <v>374</v>
      </c>
      <c r="B43" s="544" t="s">
        <v>375</v>
      </c>
      <c r="C43" s="564"/>
      <c r="D43" s="564"/>
      <c r="E43" s="564"/>
      <c r="F43" s="564"/>
      <c r="G43" s="564"/>
      <c r="H43" s="564"/>
      <c r="I43" s="564"/>
      <c r="J43" s="564"/>
      <c r="K43" s="549">
        <v>600000</v>
      </c>
      <c r="L43" s="461" t="s">
        <v>358</v>
      </c>
    </row>
  </sheetData>
  <mergeCells count="8">
    <mergeCell ref="A33:A35"/>
    <mergeCell ref="A37:A41"/>
    <mergeCell ref="A4:A6"/>
    <mergeCell ref="A7:A9"/>
    <mergeCell ref="A11:A18"/>
    <mergeCell ref="A19:A24"/>
    <mergeCell ref="A25:A27"/>
    <mergeCell ref="A28:A32"/>
  </mergeCells>
  <pageMargins left="0.7" right="0.7" top="0.75" bottom="0.75" header="0.3" footer="0.3"/>
  <pageSetup scale="76"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63"/>
  <sheetViews>
    <sheetView showGridLines="0" topLeftCell="A34" zoomScaleNormal="100" workbookViewId="0">
      <selection activeCell="B62" sqref="B62"/>
    </sheetView>
  </sheetViews>
  <sheetFormatPr defaultColWidth="11.44140625" defaultRowHeight="13.2" x14ac:dyDescent="0.25"/>
  <cols>
    <col min="1" max="1" width="21.6640625" style="461" bestFit="1" customWidth="1"/>
    <col min="2" max="2" width="48.44140625" style="461" bestFit="1" customWidth="1"/>
    <col min="3" max="3" width="10.5546875" style="461" bestFit="1" customWidth="1"/>
    <col min="4" max="4" width="12.33203125" style="461" customWidth="1"/>
    <col min="5" max="5" width="13" style="461" customWidth="1"/>
    <col min="6" max="6" width="12" style="461" customWidth="1"/>
    <col min="7" max="7" width="14" style="461" customWidth="1"/>
    <col min="8" max="8" width="10.6640625" style="461" bestFit="1" customWidth="1"/>
    <col min="9" max="9" width="13.33203125" style="461" customWidth="1"/>
    <col min="10" max="10" width="13" style="461" bestFit="1" customWidth="1"/>
    <col min="11" max="11" width="15.44140625" style="702" customWidth="1"/>
    <col min="12" max="12" width="18" style="565" bestFit="1" customWidth="1"/>
    <col min="13" max="13" width="17.44140625" style="461" bestFit="1" customWidth="1"/>
    <col min="14" max="14" width="15.109375" style="461" bestFit="1" customWidth="1"/>
    <col min="15" max="15" width="17.44140625" style="461" bestFit="1" customWidth="1"/>
    <col min="16" max="16384" width="11.44140625" style="461"/>
  </cols>
  <sheetData>
    <row r="2" spans="1:16" ht="13.8" thickBot="1" x14ac:dyDescent="0.3"/>
    <row r="3" spans="1:16" ht="40.200000000000003" thickBot="1" x14ac:dyDescent="0.3">
      <c r="A3" s="659" t="s">
        <v>277</v>
      </c>
      <c r="B3" s="660" t="s">
        <v>278</v>
      </c>
      <c r="C3" s="659" t="s">
        <v>279</v>
      </c>
      <c r="D3" s="659" t="s">
        <v>280</v>
      </c>
      <c r="E3" s="659" t="s">
        <v>281</v>
      </c>
      <c r="F3" s="659" t="s">
        <v>282</v>
      </c>
      <c r="G3" s="659" t="s">
        <v>283</v>
      </c>
      <c r="H3" s="659" t="s">
        <v>284</v>
      </c>
      <c r="I3" s="659" t="s">
        <v>285</v>
      </c>
      <c r="J3" s="661" t="s">
        <v>286</v>
      </c>
      <c r="K3" s="703" t="s">
        <v>452</v>
      </c>
      <c r="L3" s="656" t="s">
        <v>423</v>
      </c>
      <c r="M3" s="662" t="s">
        <v>349</v>
      </c>
    </row>
    <row r="4" spans="1:16" ht="12.75" customHeight="1" x14ac:dyDescent="0.25">
      <c r="A4" s="1277" t="s">
        <v>350</v>
      </c>
      <c r="B4" s="467" t="s">
        <v>351</v>
      </c>
      <c r="C4" s="468">
        <f>426039+61929</f>
        <v>487968</v>
      </c>
      <c r="D4" s="469">
        <f>290.2+39.16</f>
        <v>329.36</v>
      </c>
      <c r="E4" s="469">
        <f>D4-F4</f>
        <v>309.36</v>
      </c>
      <c r="F4" s="469">
        <f>16+4</f>
        <v>20</v>
      </c>
      <c r="G4" s="470"/>
      <c r="H4" s="470">
        <v>8</v>
      </c>
      <c r="I4" s="470"/>
      <c r="J4" s="471"/>
      <c r="K4" s="704">
        <f>+L4*0.9</f>
        <v>14185945.945945946</v>
      </c>
      <c r="L4" s="664">
        <f t="shared" ref="L4:L9" si="0">+M4/9.25</f>
        <v>15762162.162162162</v>
      </c>
      <c r="M4" s="567">
        <f>16200000*9</f>
        <v>145800000</v>
      </c>
    </row>
    <row r="5" spans="1:16" ht="12.75" customHeight="1" thickBot="1" x14ac:dyDescent="0.3">
      <c r="A5" s="1278"/>
      <c r="B5" s="473" t="s">
        <v>352</v>
      </c>
      <c r="C5" s="474"/>
      <c r="D5" s="475"/>
      <c r="E5" s="475"/>
      <c r="F5" s="475"/>
      <c r="G5" s="476"/>
      <c r="H5" s="476"/>
      <c r="I5" s="476"/>
      <c r="J5" s="477"/>
      <c r="K5" s="705">
        <f t="shared" ref="K5:K59" si="1">+L5*0.9</f>
        <v>2364324.3243243247</v>
      </c>
      <c r="L5" s="657">
        <f t="shared" si="0"/>
        <v>2627027.0270270272</v>
      </c>
      <c r="M5" s="569">
        <f>2700000*9</f>
        <v>24300000</v>
      </c>
    </row>
    <row r="6" spans="1:16" ht="12.75" customHeight="1" thickBot="1" x14ac:dyDescent="0.3">
      <c r="A6" s="1279"/>
      <c r="B6" s="479" t="s">
        <v>353</v>
      </c>
      <c r="C6" s="480"/>
      <c r="D6" s="481"/>
      <c r="E6" s="481"/>
      <c r="F6" s="481"/>
      <c r="G6" s="482"/>
      <c r="H6" s="482"/>
      <c r="I6" s="482">
        <v>2</v>
      </c>
      <c r="J6" s="483"/>
      <c r="K6" s="706">
        <f t="shared" si="1"/>
        <v>875675.67567567574</v>
      </c>
      <c r="L6" s="665">
        <f t="shared" si="0"/>
        <v>972972.97297297302</v>
      </c>
      <c r="M6" s="636">
        <f>1000000*9</f>
        <v>9000000</v>
      </c>
      <c r="O6" s="566"/>
    </row>
    <row r="7" spans="1:16" ht="12.75" customHeight="1" x14ac:dyDescent="0.25">
      <c r="A7" s="1277" t="s">
        <v>354</v>
      </c>
      <c r="B7" s="467" t="s">
        <v>355</v>
      </c>
      <c r="C7" s="485">
        <v>18549</v>
      </c>
      <c r="D7" s="486">
        <v>14.62</v>
      </c>
      <c r="E7" s="469">
        <f>D7-F7</f>
        <v>13.12</v>
      </c>
      <c r="F7" s="486">
        <v>1.5</v>
      </c>
      <c r="G7" s="470"/>
      <c r="H7" s="487">
        <v>1</v>
      </c>
      <c r="I7" s="487">
        <v>1</v>
      </c>
      <c r="J7" s="488"/>
      <c r="K7" s="704">
        <f t="shared" si="1"/>
        <v>3152432.4324324322</v>
      </c>
      <c r="L7" s="664">
        <f t="shared" si="0"/>
        <v>3502702.7027027025</v>
      </c>
      <c r="M7" s="567">
        <f>3600000*9</f>
        <v>32400000</v>
      </c>
      <c r="O7" s="568"/>
    </row>
    <row r="8" spans="1:16" ht="12.75" customHeight="1" x14ac:dyDescent="0.25">
      <c r="A8" s="1278"/>
      <c r="B8" s="473" t="s">
        <v>356</v>
      </c>
      <c r="C8" s="489">
        <v>28252</v>
      </c>
      <c r="D8" s="490">
        <v>21.28</v>
      </c>
      <c r="E8" s="491">
        <f>D8-F8</f>
        <v>19.28</v>
      </c>
      <c r="F8" s="490">
        <v>2</v>
      </c>
      <c r="G8" s="476"/>
      <c r="H8" s="492">
        <v>6</v>
      </c>
      <c r="I8" s="493"/>
      <c r="J8" s="494"/>
      <c r="K8" s="705">
        <f t="shared" si="1"/>
        <v>1751351.3513513515</v>
      </c>
      <c r="L8" s="657">
        <f t="shared" si="0"/>
        <v>1945945.945945946</v>
      </c>
      <c r="M8" s="569">
        <f>2000000*9</f>
        <v>18000000</v>
      </c>
      <c r="O8" s="568"/>
    </row>
    <row r="9" spans="1:16" ht="12.75" customHeight="1" thickBot="1" x14ac:dyDescent="0.3">
      <c r="A9" s="1279"/>
      <c r="B9" s="495" t="s">
        <v>357</v>
      </c>
      <c r="C9" s="496"/>
      <c r="D9" s="496"/>
      <c r="E9" s="496"/>
      <c r="F9" s="496"/>
      <c r="G9" s="497"/>
      <c r="H9" s="498"/>
      <c r="I9" s="499">
        <v>5</v>
      </c>
      <c r="J9" s="500"/>
      <c r="K9" s="706">
        <f t="shared" si="1"/>
        <v>262702.70270270272</v>
      </c>
      <c r="L9" s="665">
        <f t="shared" si="0"/>
        <v>291891.89189189189</v>
      </c>
      <c r="M9" s="570">
        <f>300000*9</f>
        <v>2700000</v>
      </c>
    </row>
    <row r="10" spans="1:16" s="576" customFormat="1" ht="15.6" thickBot="1" x14ac:dyDescent="0.3">
      <c r="A10" s="571" t="s">
        <v>293</v>
      </c>
      <c r="B10" s="666" t="s">
        <v>294</v>
      </c>
      <c r="C10" s="667">
        <v>288140</v>
      </c>
      <c r="D10" s="668">
        <v>324</v>
      </c>
      <c r="E10" s="668">
        <f>D10-F10</f>
        <v>274</v>
      </c>
      <c r="F10" s="668">
        <v>50</v>
      </c>
      <c r="G10" s="669" t="s">
        <v>295</v>
      </c>
      <c r="H10" s="670">
        <v>1</v>
      </c>
      <c r="I10" s="670">
        <v>0</v>
      </c>
      <c r="J10" s="671">
        <v>0</v>
      </c>
      <c r="K10" s="707">
        <f t="shared" si="1"/>
        <v>6030000</v>
      </c>
      <c r="L10" s="672">
        <v>6700000</v>
      </c>
      <c r="M10" s="673">
        <v>6700000</v>
      </c>
      <c r="N10" s="576" t="s">
        <v>358</v>
      </c>
      <c r="O10" s="577"/>
    </row>
    <row r="11" spans="1:16" x14ac:dyDescent="0.25">
      <c r="A11" s="1280" t="s">
        <v>296</v>
      </c>
      <c r="B11" s="467" t="s">
        <v>359</v>
      </c>
      <c r="C11" s="468">
        <v>173904</v>
      </c>
      <c r="D11" s="469">
        <f>E11+F11</f>
        <v>110.2</v>
      </c>
      <c r="E11" s="469">
        <v>99</v>
      </c>
      <c r="F11" s="469">
        <v>11.2</v>
      </c>
      <c r="G11" s="511">
        <v>10</v>
      </c>
      <c r="H11" s="470">
        <v>7</v>
      </c>
      <c r="I11" s="470"/>
      <c r="J11" s="471"/>
      <c r="K11" s="704">
        <f t="shared" si="1"/>
        <v>4806486.4864864871</v>
      </c>
      <c r="L11" s="664">
        <f>+M11/9.25</f>
        <v>5340540.5405405406</v>
      </c>
      <c r="M11" s="637">
        <f>49400000</f>
        <v>49400000</v>
      </c>
      <c r="O11" s="513"/>
    </row>
    <row r="12" spans="1:16" x14ac:dyDescent="0.25">
      <c r="A12" s="1280"/>
      <c r="B12" s="473" t="s">
        <v>360</v>
      </c>
      <c r="C12" s="474"/>
      <c r="D12" s="475"/>
      <c r="E12" s="475"/>
      <c r="F12" s="475"/>
      <c r="G12" s="514"/>
      <c r="H12" s="476"/>
      <c r="I12" s="476"/>
      <c r="J12" s="477"/>
      <c r="K12" s="705">
        <f t="shared" si="1"/>
        <v>1829189.1891891891</v>
      </c>
      <c r="L12" s="657">
        <f>+M12/9.25</f>
        <v>2032432.4324324324</v>
      </c>
      <c r="M12" s="569">
        <v>18800000</v>
      </c>
      <c r="O12" s="513"/>
    </row>
    <row r="13" spans="1:16" x14ac:dyDescent="0.25">
      <c r="A13" s="1280"/>
      <c r="B13" s="473" t="s">
        <v>361</v>
      </c>
      <c r="C13" s="474"/>
      <c r="D13" s="475"/>
      <c r="E13" s="475"/>
      <c r="F13" s="475"/>
      <c r="G13" s="514"/>
      <c r="H13" s="476"/>
      <c r="I13" s="476">
        <v>1</v>
      </c>
      <c r="J13" s="477"/>
      <c r="K13" s="705">
        <f t="shared" si="1"/>
        <v>807567.56756756757</v>
      </c>
      <c r="L13" s="657">
        <f>+M13/9.25</f>
        <v>897297.29729729728</v>
      </c>
      <c r="M13" s="569">
        <v>8300000</v>
      </c>
      <c r="O13" s="510"/>
    </row>
    <row r="14" spans="1:16" s="596" customFormat="1" ht="13.8" thickBot="1" x14ac:dyDescent="0.3">
      <c r="A14" s="1280"/>
      <c r="B14" s="624" t="s">
        <v>362</v>
      </c>
      <c r="C14" s="625"/>
      <c r="D14" s="626"/>
      <c r="E14" s="626"/>
      <c r="F14" s="626"/>
      <c r="G14" s="627"/>
      <c r="H14" s="627"/>
      <c r="I14" s="627"/>
      <c r="J14" s="628"/>
      <c r="K14" s="706">
        <f t="shared" si="1"/>
        <v>572837.83783783787</v>
      </c>
      <c r="L14" s="665">
        <f>+(M14/9.25)*0.3</f>
        <v>636486.48648648651</v>
      </c>
      <c r="M14" s="638">
        <v>19625000</v>
      </c>
    </row>
    <row r="15" spans="1:16" s="596" customFormat="1" x14ac:dyDescent="0.25">
      <c r="A15" s="1272"/>
      <c r="B15" s="593" t="s">
        <v>449</v>
      </c>
      <c r="C15" s="594">
        <v>401444</v>
      </c>
      <c r="D15" s="594"/>
      <c r="E15" s="588">
        <v>321</v>
      </c>
      <c r="F15" s="588"/>
      <c r="G15" s="588"/>
      <c r="H15" s="588">
        <v>4</v>
      </c>
      <c r="I15" s="588">
        <v>0</v>
      </c>
      <c r="J15" s="595"/>
      <c r="K15" s="708">
        <f t="shared" si="1"/>
        <v>7151487.8108108109</v>
      </c>
      <c r="L15" s="663">
        <f>+M15/9.25</f>
        <v>7946097.5675675673</v>
      </c>
      <c r="M15" s="639">
        <f>8778530*9.25-7700000</f>
        <v>73501402.5</v>
      </c>
      <c r="O15" s="597" t="s">
        <v>447</v>
      </c>
      <c r="P15" s="597" t="s">
        <v>448</v>
      </c>
    </row>
    <row r="16" spans="1:16" s="596" customFormat="1" x14ac:dyDescent="0.25">
      <c r="A16" s="1272"/>
      <c r="B16" s="593" t="s">
        <v>450</v>
      </c>
      <c r="C16" s="594"/>
      <c r="D16" s="594"/>
      <c r="E16" s="588"/>
      <c r="F16" s="588"/>
      <c r="G16" s="588"/>
      <c r="H16" s="588"/>
      <c r="I16" s="588"/>
      <c r="J16" s="595"/>
      <c r="K16" s="705">
        <f t="shared" si="1"/>
        <v>749189.18918918923</v>
      </c>
      <c r="L16" s="657">
        <f>+M16/9.25</f>
        <v>832432.43243243243</v>
      </c>
      <c r="M16" s="639">
        <v>7700000</v>
      </c>
      <c r="O16" s="597"/>
      <c r="P16" s="597"/>
    </row>
    <row r="17" spans="1:16" s="596" customFormat="1" ht="13.8" thickBot="1" x14ac:dyDescent="0.3">
      <c r="A17" s="1272"/>
      <c r="B17" s="592" t="s">
        <v>451</v>
      </c>
      <c r="C17" s="589"/>
      <c r="D17" s="589"/>
      <c r="E17" s="590"/>
      <c r="F17" s="590"/>
      <c r="G17" s="590"/>
      <c r="H17" s="590"/>
      <c r="I17" s="590">
        <v>1</v>
      </c>
      <c r="J17" s="591"/>
      <c r="K17" s="709">
        <f t="shared" si="1"/>
        <v>1021621.6216216217</v>
      </c>
      <c r="L17" s="679">
        <f>+M17/9.25</f>
        <v>1135135.1351351351</v>
      </c>
      <c r="M17" s="674">
        <v>10500000</v>
      </c>
      <c r="O17" s="597"/>
      <c r="P17" s="597"/>
    </row>
    <row r="18" spans="1:16" s="576" customFormat="1" ht="13.8" thickBot="1" x14ac:dyDescent="0.3">
      <c r="A18" s="1272"/>
      <c r="B18" s="675" t="s">
        <v>446</v>
      </c>
      <c r="C18" s="667">
        <v>123103</v>
      </c>
      <c r="D18" s="667">
        <v>66</v>
      </c>
      <c r="E18" s="670">
        <v>62.8</v>
      </c>
      <c r="F18" s="667">
        <f>+D18-E18</f>
        <v>3.2000000000000028</v>
      </c>
      <c r="G18" s="670"/>
      <c r="H18" s="670">
        <v>1</v>
      </c>
      <c r="I18" s="670"/>
      <c r="J18" s="671"/>
      <c r="K18" s="707">
        <f t="shared" si="1"/>
        <v>5624683.2000000002</v>
      </c>
      <c r="L18" s="672">
        <f>+M18</f>
        <v>6249648</v>
      </c>
      <c r="M18" s="673">
        <v>6249648</v>
      </c>
      <c r="N18" s="576" t="s">
        <v>358</v>
      </c>
    </row>
    <row r="19" spans="1:16" x14ac:dyDescent="0.25">
      <c r="A19" s="1271" t="s">
        <v>303</v>
      </c>
      <c r="B19" s="473" t="s">
        <v>363</v>
      </c>
      <c r="C19" s="474">
        <v>241970</v>
      </c>
      <c r="D19" s="475">
        <v>152.1</v>
      </c>
      <c r="E19" s="475">
        <f>D19-F19</f>
        <v>133.88999999999999</v>
      </c>
      <c r="F19" s="475">
        <v>18.21</v>
      </c>
      <c r="G19" s="476">
        <v>654</v>
      </c>
      <c r="H19" s="476">
        <v>10</v>
      </c>
      <c r="I19" s="476"/>
      <c r="J19" s="477"/>
      <c r="K19" s="708">
        <f t="shared" si="1"/>
        <v>3570810.8108108109</v>
      </c>
      <c r="L19" s="663">
        <f>+M19/9.25</f>
        <v>3967567.5675675673</v>
      </c>
      <c r="M19" s="641">
        <f>22800000+2300000+1300000+1400000+8900000</f>
        <v>36700000</v>
      </c>
    </row>
    <row r="20" spans="1:16" x14ac:dyDescent="0.25">
      <c r="A20" s="1280"/>
      <c r="B20" s="473" t="s">
        <v>364</v>
      </c>
      <c r="C20" s="474"/>
      <c r="D20" s="475"/>
      <c r="E20" s="475"/>
      <c r="F20" s="475"/>
      <c r="G20" s="476"/>
      <c r="H20" s="476"/>
      <c r="I20" s="476"/>
      <c r="J20" s="477"/>
      <c r="K20" s="705">
        <f t="shared" si="1"/>
        <v>862054.05405405408</v>
      </c>
      <c r="L20" s="657">
        <f>+M20/9.25</f>
        <v>957837.83783783787</v>
      </c>
      <c r="M20" s="641">
        <f>8860000</f>
        <v>8860000</v>
      </c>
    </row>
    <row r="21" spans="1:16" ht="13.8" thickBot="1" x14ac:dyDescent="0.3">
      <c r="A21" s="1280"/>
      <c r="B21" s="578" t="s">
        <v>365</v>
      </c>
      <c r="C21" s="676"/>
      <c r="D21" s="677"/>
      <c r="E21" s="677"/>
      <c r="F21" s="677"/>
      <c r="G21" s="678"/>
      <c r="H21" s="678"/>
      <c r="I21" s="678">
        <v>2</v>
      </c>
      <c r="J21" s="631"/>
      <c r="K21" s="709">
        <f t="shared" si="1"/>
        <v>729729.7297297297</v>
      </c>
      <c r="L21" s="679">
        <f>+M21/9.25</f>
        <v>810810.81081081077</v>
      </c>
      <c r="M21" s="652">
        <f>7500000</f>
        <v>7500000</v>
      </c>
      <c r="O21" s="535"/>
    </row>
    <row r="22" spans="1:16" s="596" customFormat="1" ht="13.8" thickBot="1" x14ac:dyDescent="0.3">
      <c r="A22" s="1280"/>
      <c r="B22" s="680" t="s">
        <v>445</v>
      </c>
      <c r="C22" s="681"/>
      <c r="D22" s="682"/>
      <c r="E22" s="682"/>
      <c r="F22" s="682"/>
      <c r="G22" s="683"/>
      <c r="H22" s="683"/>
      <c r="I22" s="683"/>
      <c r="J22" s="684"/>
      <c r="K22" s="707">
        <f t="shared" si="1"/>
        <v>660601.26486486488</v>
      </c>
      <c r="L22" s="672">
        <f>M22/9.25</f>
        <v>734001.40540540544</v>
      </c>
      <c r="M22" s="685">
        <v>6789513</v>
      </c>
      <c r="O22" s="630"/>
    </row>
    <row r="23" spans="1:16" s="576" customFormat="1" x14ac:dyDescent="0.25">
      <c r="A23" s="1272"/>
      <c r="B23" s="611" t="s">
        <v>305</v>
      </c>
      <c r="C23" s="612">
        <v>22866</v>
      </c>
      <c r="D23" s="613">
        <v>9.6999999999999993</v>
      </c>
      <c r="E23" s="613">
        <v>9.11</v>
      </c>
      <c r="F23" s="613">
        <v>0.59</v>
      </c>
      <c r="G23" s="614">
        <v>72</v>
      </c>
      <c r="H23" s="614">
        <v>2</v>
      </c>
      <c r="I23" s="614">
        <v>1</v>
      </c>
      <c r="J23" s="617">
        <v>0</v>
      </c>
      <c r="K23" s="704">
        <f t="shared" si="1"/>
        <v>2880000</v>
      </c>
      <c r="L23" s="695">
        <v>3200000</v>
      </c>
      <c r="M23" s="642">
        <v>3200000</v>
      </c>
      <c r="N23" s="576" t="s">
        <v>358</v>
      </c>
    </row>
    <row r="24" spans="1:16" s="576" customFormat="1" x14ac:dyDescent="0.25">
      <c r="A24" s="1272"/>
      <c r="B24" s="610" t="s">
        <v>306</v>
      </c>
      <c r="C24" s="599">
        <v>26579</v>
      </c>
      <c r="D24" s="600">
        <v>10.199999999999999</v>
      </c>
      <c r="E24" s="600">
        <v>9.82</v>
      </c>
      <c r="F24" s="600">
        <f>D24-E24</f>
        <v>0.37999999999999901</v>
      </c>
      <c r="G24" s="601">
        <v>102</v>
      </c>
      <c r="H24" s="601">
        <v>3</v>
      </c>
      <c r="I24" s="601">
        <v>4</v>
      </c>
      <c r="J24" s="602">
        <v>0</v>
      </c>
      <c r="K24" s="705">
        <f t="shared" si="1"/>
        <v>1980000</v>
      </c>
      <c r="L24" s="696">
        <v>2200000</v>
      </c>
      <c r="M24" s="640">
        <v>2200000</v>
      </c>
      <c r="N24" s="576" t="s">
        <v>358</v>
      </c>
    </row>
    <row r="25" spans="1:16" s="576" customFormat="1" ht="13.8" thickBot="1" x14ac:dyDescent="0.3">
      <c r="A25" s="1273"/>
      <c r="B25" s="615" t="s">
        <v>307</v>
      </c>
      <c r="C25" s="618">
        <v>3052</v>
      </c>
      <c r="D25" s="619">
        <v>0.92</v>
      </c>
      <c r="E25" s="619">
        <v>0.92</v>
      </c>
      <c r="F25" s="619">
        <v>0</v>
      </c>
      <c r="G25" s="620">
        <v>24</v>
      </c>
      <c r="H25" s="620">
        <v>1</v>
      </c>
      <c r="I25" s="620">
        <v>1</v>
      </c>
      <c r="J25" s="621">
        <v>0</v>
      </c>
      <c r="K25" s="706">
        <f t="shared" si="1"/>
        <v>720000</v>
      </c>
      <c r="L25" s="697">
        <v>800000</v>
      </c>
      <c r="M25" s="643">
        <v>800000</v>
      </c>
      <c r="N25" s="576" t="s">
        <v>358</v>
      </c>
    </row>
    <row r="26" spans="1:16" x14ac:dyDescent="0.25">
      <c r="A26" s="1271" t="s">
        <v>308</v>
      </c>
      <c r="B26" s="579" t="s">
        <v>309</v>
      </c>
      <c r="C26" s="468">
        <f>58671+643</f>
        <v>59314</v>
      </c>
      <c r="D26" s="469">
        <v>49.51</v>
      </c>
      <c r="E26" s="470">
        <v>48.47</v>
      </c>
      <c r="F26" s="469">
        <f>+D26-E26</f>
        <v>1.0399999999999991</v>
      </c>
      <c r="G26" s="537">
        <v>3</v>
      </c>
      <c r="H26" s="470">
        <v>1</v>
      </c>
      <c r="I26" s="470">
        <v>0</v>
      </c>
      <c r="J26" s="471">
        <v>0</v>
      </c>
      <c r="K26" s="704">
        <f t="shared" si="1"/>
        <v>802507.85440778406</v>
      </c>
      <c r="L26" s="664">
        <f t="shared" ref="L26:L31" si="2">+M26/9.25</f>
        <v>891675.39378642675</v>
      </c>
      <c r="M26" s="644">
        <f>+SUM(M27:M31)/9.25</f>
        <v>8247997.3925244473</v>
      </c>
      <c r="N26" s="580" t="s">
        <v>358</v>
      </c>
    </row>
    <row r="27" spans="1:16" x14ac:dyDescent="0.25">
      <c r="A27" s="1280"/>
      <c r="B27" s="473" t="s">
        <v>424</v>
      </c>
      <c r="C27" s="474"/>
      <c r="D27" s="475"/>
      <c r="E27" s="476"/>
      <c r="F27" s="475"/>
      <c r="G27" s="581"/>
      <c r="H27" s="476"/>
      <c r="I27" s="476"/>
      <c r="J27" s="477"/>
      <c r="K27" s="705">
        <f t="shared" si="1"/>
        <v>4648503.3788246559</v>
      </c>
      <c r="L27" s="657">
        <f t="shared" si="2"/>
        <v>5165003.7542496175</v>
      </c>
      <c r="M27" s="641">
        <f>(57496159.1+10755676.2240128)*0.7</f>
        <v>47776284.726808958</v>
      </c>
      <c r="N27" s="461" t="s">
        <v>425</v>
      </c>
    </row>
    <row r="28" spans="1:16" x14ac:dyDescent="0.25">
      <c r="A28" s="1280"/>
      <c r="B28" s="473" t="s">
        <v>426</v>
      </c>
      <c r="C28" s="474"/>
      <c r="D28" s="475"/>
      <c r="E28" s="476"/>
      <c r="F28" s="475"/>
      <c r="G28" s="581"/>
      <c r="H28" s="476"/>
      <c r="I28" s="476"/>
      <c r="J28" s="477"/>
      <c r="K28" s="705">
        <f t="shared" si="1"/>
        <v>496050.23496530333</v>
      </c>
      <c r="L28" s="657">
        <f t="shared" si="2"/>
        <v>551166.92773922591</v>
      </c>
      <c r="M28" s="641">
        <f>(6668459.46+614817.7994112)*0.7</f>
        <v>5098294.0815878399</v>
      </c>
      <c r="N28" s="461" t="s">
        <v>425</v>
      </c>
    </row>
    <row r="29" spans="1:16" x14ac:dyDescent="0.25">
      <c r="A29" s="1280"/>
      <c r="B29" s="473" t="s">
        <v>427</v>
      </c>
      <c r="C29" s="474"/>
      <c r="D29" s="475"/>
      <c r="E29" s="476"/>
      <c r="F29" s="475"/>
      <c r="G29" s="581"/>
      <c r="H29" s="476"/>
      <c r="I29" s="476"/>
      <c r="J29" s="477"/>
      <c r="K29" s="705">
        <f t="shared" si="1"/>
        <v>1337547.7708041149</v>
      </c>
      <c r="L29" s="657">
        <f t="shared" si="2"/>
        <v>1486164.1897823499</v>
      </c>
      <c r="M29" s="641">
        <f>(13651900.6751873+5986697.54693661)*0.7</f>
        <v>13747018.755486736</v>
      </c>
      <c r="N29" s="461" t="s">
        <v>425</v>
      </c>
    </row>
    <row r="30" spans="1:16" x14ac:dyDescent="0.25">
      <c r="A30" s="1280"/>
      <c r="B30" s="473" t="s">
        <v>428</v>
      </c>
      <c r="C30" s="474"/>
      <c r="D30" s="475"/>
      <c r="E30" s="476"/>
      <c r="F30" s="475"/>
      <c r="G30" s="581"/>
      <c r="H30" s="476"/>
      <c r="I30" s="476">
        <v>2</v>
      </c>
      <c r="J30" s="477"/>
      <c r="K30" s="705">
        <f t="shared" si="1"/>
        <v>744692.26120486227</v>
      </c>
      <c r="L30" s="657">
        <f t="shared" si="2"/>
        <v>827435.84578318032</v>
      </c>
      <c r="M30" s="641">
        <f>10933973.6764206*0.7</f>
        <v>7653781.5734944185</v>
      </c>
      <c r="N30" s="461" t="s">
        <v>425</v>
      </c>
    </row>
    <row r="31" spans="1:16" s="596" customFormat="1" ht="13.8" thickBot="1" x14ac:dyDescent="0.3">
      <c r="A31" s="1280"/>
      <c r="B31" s="624" t="s">
        <v>429</v>
      </c>
      <c r="C31" s="625"/>
      <c r="D31" s="626"/>
      <c r="E31" s="627"/>
      <c r="F31" s="626"/>
      <c r="G31" s="687"/>
      <c r="H31" s="627"/>
      <c r="I31" s="627"/>
      <c r="J31" s="628"/>
      <c r="K31" s="706">
        <f t="shared" si="1"/>
        <v>196404.00747306657</v>
      </c>
      <c r="L31" s="665">
        <f t="shared" si="2"/>
        <v>218226.67497007395</v>
      </c>
      <c r="M31" s="688">
        <f>2883709.63353312*0.7</f>
        <v>2018596.7434731841</v>
      </c>
      <c r="N31" s="596" t="s">
        <v>425</v>
      </c>
    </row>
    <row r="32" spans="1:16" s="576" customFormat="1" x14ac:dyDescent="0.25">
      <c r="A32" s="1272"/>
      <c r="B32" s="689" t="s">
        <v>310</v>
      </c>
      <c r="C32" s="612">
        <v>167819</v>
      </c>
      <c r="D32" s="613">
        <v>112.89</v>
      </c>
      <c r="E32" s="614">
        <v>90.1</v>
      </c>
      <c r="F32" s="614">
        <v>22.8</v>
      </c>
      <c r="G32" s="690">
        <v>738</v>
      </c>
      <c r="H32" s="614">
        <v>5</v>
      </c>
      <c r="I32" s="614">
        <v>5</v>
      </c>
      <c r="J32" s="617">
        <v>0</v>
      </c>
      <c r="K32" s="704">
        <f t="shared" si="1"/>
        <v>23997849.428271249</v>
      </c>
      <c r="L32" s="664">
        <f>+M32</f>
        <v>26664277.142523609</v>
      </c>
      <c r="M32" s="691">
        <f>+SUM(M33:M36)/9.25</f>
        <v>26664277.142523609</v>
      </c>
      <c r="N32" s="603" t="s">
        <v>358</v>
      </c>
    </row>
    <row r="33" spans="1:15" s="576" customFormat="1" x14ac:dyDescent="0.25">
      <c r="A33" s="1281"/>
      <c r="B33" s="604" t="s">
        <v>424</v>
      </c>
      <c r="C33" s="605"/>
      <c r="D33" s="606"/>
      <c r="E33" s="607"/>
      <c r="F33" s="607"/>
      <c r="G33" s="608"/>
      <c r="H33" s="607"/>
      <c r="I33" s="607"/>
      <c r="J33" s="609"/>
      <c r="K33" s="705">
        <f t="shared" si="1"/>
        <v>9716049.5838466566</v>
      </c>
      <c r="L33" s="657">
        <f>+M33/9.25</f>
        <v>10795610.648718508</v>
      </c>
      <c r="M33" s="646">
        <f>89075988.0892806+10783410.4113656</f>
        <v>99859398.500646204</v>
      </c>
      <c r="N33" s="576" t="s">
        <v>425</v>
      </c>
    </row>
    <row r="34" spans="1:15" s="576" customFormat="1" x14ac:dyDescent="0.25">
      <c r="A34" s="1281"/>
      <c r="B34" s="604" t="s">
        <v>430</v>
      </c>
      <c r="C34" s="605"/>
      <c r="D34" s="606"/>
      <c r="E34" s="607"/>
      <c r="F34" s="607"/>
      <c r="G34" s="608"/>
      <c r="H34" s="607"/>
      <c r="I34" s="607"/>
      <c r="J34" s="609"/>
      <c r="K34" s="705">
        <f t="shared" si="1"/>
        <v>3394872.9138796241</v>
      </c>
      <c r="L34" s="657">
        <f>+M34/9.25</f>
        <v>3772081.0154218045</v>
      </c>
      <c r="M34" s="646">
        <f>23974363.1465934+9679381.03453829+1238005.21152</f>
        <v>34891749.392651692</v>
      </c>
      <c r="N34" s="576" t="s">
        <v>425</v>
      </c>
    </row>
    <row r="35" spans="1:15" s="576" customFormat="1" x14ac:dyDescent="0.25">
      <c r="A35" s="1281"/>
      <c r="B35" s="604" t="s">
        <v>431</v>
      </c>
      <c r="C35" s="605"/>
      <c r="D35" s="606"/>
      <c r="E35" s="607"/>
      <c r="F35" s="607"/>
      <c r="G35" s="608"/>
      <c r="H35" s="607"/>
      <c r="I35" s="607"/>
      <c r="J35" s="609"/>
      <c r="K35" s="705">
        <f t="shared" si="1"/>
        <v>8745342.8429189194</v>
      </c>
      <c r="L35" s="657">
        <f>+M35/9.25</f>
        <v>9717047.6032432429</v>
      </c>
      <c r="M35" s="647">
        <v>89882690.329999998</v>
      </c>
      <c r="N35" s="576" t="s">
        <v>425</v>
      </c>
    </row>
    <row r="36" spans="1:15" s="576" customFormat="1" ht="13.8" thickBot="1" x14ac:dyDescent="0.3">
      <c r="A36" s="1281"/>
      <c r="B36" s="622" t="s">
        <v>429</v>
      </c>
      <c r="C36" s="618"/>
      <c r="D36" s="619"/>
      <c r="E36" s="620"/>
      <c r="F36" s="620"/>
      <c r="G36" s="692"/>
      <c r="H36" s="620"/>
      <c r="I36" s="620"/>
      <c r="J36" s="621"/>
      <c r="K36" s="706">
        <f t="shared" si="1"/>
        <v>2141584.0876260493</v>
      </c>
      <c r="L36" s="665">
        <f>+M36/9.25</f>
        <v>2379537.8751400546</v>
      </c>
      <c r="M36" s="643">
        <v>22010725.345045507</v>
      </c>
      <c r="N36" s="576" t="s">
        <v>425</v>
      </c>
    </row>
    <row r="37" spans="1:15" s="576" customFormat="1" x14ac:dyDescent="0.25">
      <c r="A37" s="1281"/>
      <c r="B37" s="689" t="s">
        <v>311</v>
      </c>
      <c r="C37" s="572">
        <v>16946</v>
      </c>
      <c r="D37" s="573">
        <v>11.07</v>
      </c>
      <c r="E37" s="574">
        <v>10.7</v>
      </c>
      <c r="F37" s="573">
        <f>+D37-E37</f>
        <v>0.37000000000000099</v>
      </c>
      <c r="G37" s="693">
        <v>9</v>
      </c>
      <c r="H37" s="574">
        <v>3</v>
      </c>
      <c r="I37" s="574">
        <v>3</v>
      </c>
      <c r="J37" s="575">
        <v>0</v>
      </c>
      <c r="K37" s="704">
        <f t="shared" si="1"/>
        <v>5501912.6680806661</v>
      </c>
      <c r="L37" s="664">
        <f>+M37</f>
        <v>6113236.2978674071</v>
      </c>
      <c r="M37" s="694">
        <f>+SUM(M38:M41)/9.25</f>
        <v>6113236.2978674071</v>
      </c>
      <c r="N37" s="629" t="s">
        <v>358</v>
      </c>
    </row>
    <row r="38" spans="1:15" s="576" customFormat="1" x14ac:dyDescent="0.25">
      <c r="A38" s="1281"/>
      <c r="B38" s="604" t="s">
        <v>432</v>
      </c>
      <c r="C38" s="605"/>
      <c r="D38" s="606"/>
      <c r="E38" s="607"/>
      <c r="F38" s="607"/>
      <c r="G38" s="608"/>
      <c r="H38" s="607"/>
      <c r="I38" s="607"/>
      <c r="J38" s="609"/>
      <c r="K38" s="705">
        <f t="shared" si="1"/>
        <v>2181879.6753853117</v>
      </c>
      <c r="L38" s="657">
        <f>+M38/9.25</f>
        <v>2424310.7504281239</v>
      </c>
      <c r="M38" s="646">
        <f>12562904.5919392+9861969.84952095</f>
        <v>22424874.441460148</v>
      </c>
      <c r="N38" s="576" t="s">
        <v>425</v>
      </c>
    </row>
    <row r="39" spans="1:15" s="576" customFormat="1" x14ac:dyDescent="0.25">
      <c r="A39" s="1281"/>
      <c r="B39" s="604" t="s">
        <v>433</v>
      </c>
      <c r="C39" s="605"/>
      <c r="D39" s="606"/>
      <c r="E39" s="607"/>
      <c r="F39" s="607"/>
      <c r="G39" s="608"/>
      <c r="H39" s="607"/>
      <c r="I39" s="607"/>
      <c r="J39" s="609"/>
      <c r="K39" s="705">
        <f t="shared" si="1"/>
        <v>1737541.1501872083</v>
      </c>
      <c r="L39" s="657">
        <f>+M39/9.25</f>
        <v>1930601.277985787</v>
      </c>
      <c r="M39" s="646">
        <f>14030315.4178534+2938475.05439513+889271.34912</f>
        <v>17858061.82136853</v>
      </c>
      <c r="N39" s="576" t="s">
        <v>425</v>
      </c>
    </row>
    <row r="40" spans="1:15" s="576" customFormat="1" x14ac:dyDescent="0.25">
      <c r="A40" s="1281"/>
      <c r="B40" s="604" t="s">
        <v>434</v>
      </c>
      <c r="C40" s="605"/>
      <c r="D40" s="606"/>
      <c r="E40" s="607"/>
      <c r="F40" s="607"/>
      <c r="G40" s="608"/>
      <c r="H40" s="607"/>
      <c r="I40" s="607"/>
      <c r="J40" s="609"/>
      <c r="K40" s="705">
        <f t="shared" si="1"/>
        <v>1075771.9309808314</v>
      </c>
      <c r="L40" s="657">
        <f>+M40/9.25</f>
        <v>1195302.1455342569</v>
      </c>
      <c r="M40" s="646">
        <v>11056544.846191877</v>
      </c>
      <c r="N40" s="576" t="s">
        <v>425</v>
      </c>
    </row>
    <row r="41" spans="1:15" s="576" customFormat="1" ht="13.8" thickBot="1" x14ac:dyDescent="0.3">
      <c r="A41" s="1281"/>
      <c r="B41" s="622" t="s">
        <v>429</v>
      </c>
      <c r="C41" s="618"/>
      <c r="D41" s="619"/>
      <c r="E41" s="620"/>
      <c r="F41" s="620"/>
      <c r="G41" s="692"/>
      <c r="H41" s="620"/>
      <c r="I41" s="620"/>
      <c r="J41" s="621"/>
      <c r="K41" s="706">
        <f t="shared" si="1"/>
        <v>506719.91152731515</v>
      </c>
      <c r="L41" s="665">
        <f>+M41/9.25</f>
        <v>563022.12391923903</v>
      </c>
      <c r="M41" s="643">
        <v>5207954.6462529609</v>
      </c>
      <c r="N41" s="576" t="s">
        <v>425</v>
      </c>
    </row>
    <row r="42" spans="1:15" x14ac:dyDescent="0.25">
      <c r="A42" s="1282" t="s">
        <v>312</v>
      </c>
      <c r="B42" s="473" t="s">
        <v>366</v>
      </c>
      <c r="C42" s="474">
        <v>249394</v>
      </c>
      <c r="D42" s="475">
        <f>E42+F42</f>
        <v>175</v>
      </c>
      <c r="E42" s="475">
        <v>168</v>
      </c>
      <c r="F42" s="475">
        <v>7</v>
      </c>
      <c r="G42" s="560"/>
      <c r="H42" s="476">
        <v>1</v>
      </c>
      <c r="I42" s="476"/>
      <c r="J42" s="477"/>
      <c r="K42" s="708">
        <f t="shared" si="1"/>
        <v>4177615.8258274281</v>
      </c>
      <c r="L42" s="663">
        <f>+(M42/9.25)</f>
        <v>4641795.3620304754</v>
      </c>
      <c r="M42" s="686">
        <f>61338010.141117*0.7</f>
        <v>42936607.098781899</v>
      </c>
    </row>
    <row r="43" spans="1:15" x14ac:dyDescent="0.25">
      <c r="A43" s="1283"/>
      <c r="B43" s="518" t="s">
        <v>435</v>
      </c>
      <c r="C43" s="536"/>
      <c r="D43" s="491"/>
      <c r="E43" s="491"/>
      <c r="F43" s="491"/>
      <c r="G43" s="520"/>
      <c r="H43" s="521"/>
      <c r="I43" s="521"/>
      <c r="J43" s="523"/>
      <c r="K43" s="705">
        <f t="shared" si="1"/>
        <v>2302348.4177202419</v>
      </c>
      <c r="L43" s="657">
        <f>+(M43/9.25)</f>
        <v>2558164.9085780466</v>
      </c>
      <c r="M43" s="648">
        <f>33804322.0062099*0.7</f>
        <v>23663025.404346932</v>
      </c>
    </row>
    <row r="44" spans="1:15" x14ac:dyDescent="0.25">
      <c r="A44" s="1283"/>
      <c r="B44" s="518" t="s">
        <v>368</v>
      </c>
      <c r="C44" s="536"/>
      <c r="D44" s="491"/>
      <c r="E44" s="491"/>
      <c r="F44" s="491"/>
      <c r="G44" s="520"/>
      <c r="H44" s="521"/>
      <c r="I44" s="521">
        <v>1</v>
      </c>
      <c r="J44" s="523"/>
      <c r="K44" s="705">
        <f t="shared" si="1"/>
        <v>1253578.2482912187</v>
      </c>
      <c r="L44" s="657">
        <f>+(M44/9.25)</f>
        <v>1392864.7203235761</v>
      </c>
      <c r="M44" s="648">
        <f>18405712.3757044*0.7</f>
        <v>12883998.662993079</v>
      </c>
      <c r="O44" s="535"/>
    </row>
    <row r="45" spans="1:15" ht="13.8" thickBot="1" x14ac:dyDescent="0.3">
      <c r="A45" s="1283"/>
      <c r="B45" s="586" t="s">
        <v>436</v>
      </c>
      <c r="C45" s="582"/>
      <c r="D45" s="583"/>
      <c r="E45" s="583"/>
      <c r="F45" s="583"/>
      <c r="G45" s="587">
        <v>368</v>
      </c>
      <c r="H45" s="584"/>
      <c r="I45" s="584"/>
      <c r="J45" s="585"/>
      <c r="K45" s="709">
        <f t="shared" si="1"/>
        <v>1128153.4606062544</v>
      </c>
      <c r="L45" s="679">
        <f>+(M45/9.25)</f>
        <v>1253503.8451180605</v>
      </c>
      <c r="M45" s="698">
        <f>38649701.8911402*0.3</f>
        <v>11594910.56734206</v>
      </c>
      <c r="O45" s="535"/>
    </row>
    <row r="46" spans="1:15" s="576" customFormat="1" x14ac:dyDescent="0.25">
      <c r="A46" s="1284"/>
      <c r="B46" s="611" t="s">
        <v>437</v>
      </c>
      <c r="C46" s="612">
        <v>29161</v>
      </c>
      <c r="D46" s="613">
        <f>+E46+F46</f>
        <v>31.45</v>
      </c>
      <c r="E46" s="613">
        <v>30.9</v>
      </c>
      <c r="F46" s="613">
        <v>0.55000000000000004</v>
      </c>
      <c r="G46" s="614">
        <v>14</v>
      </c>
      <c r="H46" s="614">
        <v>2</v>
      </c>
      <c r="I46" s="614"/>
      <c r="J46" s="617">
        <v>0</v>
      </c>
      <c r="K46" s="704">
        <f t="shared" si="1"/>
        <v>2973147.5690343804</v>
      </c>
      <c r="L46" s="664">
        <f t="shared" ref="L46:L53" si="3">+M46/9.25</f>
        <v>3303497.2989270892</v>
      </c>
      <c r="M46" s="691">
        <v>30557350.015075576</v>
      </c>
    </row>
    <row r="47" spans="1:15" s="576" customFormat="1" x14ac:dyDescent="0.25">
      <c r="A47" s="1285"/>
      <c r="B47" s="610" t="s">
        <v>438</v>
      </c>
      <c r="C47" s="599"/>
      <c r="D47" s="600"/>
      <c r="E47" s="600"/>
      <c r="F47" s="600"/>
      <c r="G47" s="601"/>
      <c r="H47" s="601"/>
      <c r="I47" s="601"/>
      <c r="J47" s="602"/>
      <c r="K47" s="705">
        <f t="shared" si="1"/>
        <v>2319764.6442059469</v>
      </c>
      <c r="L47" s="657">
        <f t="shared" si="3"/>
        <v>2577516.2713399408</v>
      </c>
      <c r="M47" s="645">
        <v>23842025.509894453</v>
      </c>
    </row>
    <row r="48" spans="1:15" s="576" customFormat="1" x14ac:dyDescent="0.25">
      <c r="A48" s="1285"/>
      <c r="B48" s="610" t="s">
        <v>439</v>
      </c>
      <c r="C48" s="599"/>
      <c r="D48" s="600"/>
      <c r="E48" s="600"/>
      <c r="F48" s="600"/>
      <c r="G48" s="601"/>
      <c r="H48" s="601"/>
      <c r="I48" s="601">
        <v>2</v>
      </c>
      <c r="J48" s="602"/>
      <c r="K48" s="705">
        <f t="shared" si="1"/>
        <v>1041642.397230933</v>
      </c>
      <c r="L48" s="657">
        <f t="shared" si="3"/>
        <v>1157380.4413677033</v>
      </c>
      <c r="M48" s="645">
        <v>10705769.082651256</v>
      </c>
    </row>
    <row r="49" spans="1:14" s="576" customFormat="1" ht="13.8" thickBot="1" x14ac:dyDescent="0.3">
      <c r="A49" s="1285"/>
      <c r="B49" s="615" t="s">
        <v>440</v>
      </c>
      <c r="C49" s="618"/>
      <c r="D49" s="619"/>
      <c r="E49" s="619"/>
      <c r="F49" s="619"/>
      <c r="G49" s="620"/>
      <c r="H49" s="620"/>
      <c r="I49" s="620"/>
      <c r="J49" s="621"/>
      <c r="K49" s="706">
        <f t="shared" si="1"/>
        <v>587856.52688438934</v>
      </c>
      <c r="L49" s="665">
        <f t="shared" si="3"/>
        <v>653173.91876043263</v>
      </c>
      <c r="M49" s="699">
        <v>6041858.7485340014</v>
      </c>
    </row>
    <row r="50" spans="1:14" s="576" customFormat="1" x14ac:dyDescent="0.25">
      <c r="A50" s="1285"/>
      <c r="B50" s="611" t="s">
        <v>441</v>
      </c>
      <c r="C50" s="612">
        <v>20167</v>
      </c>
      <c r="D50" s="613">
        <v>22.05</v>
      </c>
      <c r="E50" s="613">
        <v>21.72</v>
      </c>
      <c r="F50" s="613">
        <f>+D50-E50</f>
        <v>0.33000000000000185</v>
      </c>
      <c r="G50" s="614">
        <v>14</v>
      </c>
      <c r="H50" s="614">
        <v>2</v>
      </c>
      <c r="I50" s="614"/>
      <c r="J50" s="617">
        <v>0</v>
      </c>
      <c r="K50" s="704">
        <f t="shared" si="1"/>
        <v>2554416.4457444143</v>
      </c>
      <c r="L50" s="664">
        <f t="shared" si="3"/>
        <v>2838240.4952715714</v>
      </c>
      <c r="M50" s="649">
        <v>26253724.581262037</v>
      </c>
    </row>
    <row r="51" spans="1:14" s="576" customFormat="1" x14ac:dyDescent="0.25">
      <c r="A51" s="1285"/>
      <c r="B51" s="610" t="s">
        <v>442</v>
      </c>
      <c r="C51" s="599"/>
      <c r="D51" s="600"/>
      <c r="E51" s="600"/>
      <c r="F51" s="600"/>
      <c r="G51" s="601"/>
      <c r="H51" s="601"/>
      <c r="I51" s="601"/>
      <c r="J51" s="602"/>
      <c r="K51" s="705">
        <f t="shared" si="1"/>
        <v>1951433.0213172708</v>
      </c>
      <c r="L51" s="657">
        <f t="shared" si="3"/>
        <v>2168258.9125747452</v>
      </c>
      <c r="M51" s="650">
        <v>20056394.941316392</v>
      </c>
    </row>
    <row r="52" spans="1:14" s="576" customFormat="1" x14ac:dyDescent="0.25">
      <c r="A52" s="1285"/>
      <c r="B52" s="610" t="s">
        <v>443</v>
      </c>
      <c r="C52" s="599"/>
      <c r="D52" s="600"/>
      <c r="E52" s="600"/>
      <c r="F52" s="600"/>
      <c r="G52" s="601"/>
      <c r="H52" s="601"/>
      <c r="I52" s="601">
        <v>2</v>
      </c>
      <c r="J52" s="602"/>
      <c r="K52" s="705">
        <f t="shared" si="1"/>
        <v>719477.48278079811</v>
      </c>
      <c r="L52" s="657">
        <f t="shared" si="3"/>
        <v>799419.42531199788</v>
      </c>
      <c r="M52" s="650">
        <v>7394629.6841359809</v>
      </c>
    </row>
    <row r="53" spans="1:14" s="576" customFormat="1" ht="13.8" thickBot="1" x14ac:dyDescent="0.3">
      <c r="A53" s="1286"/>
      <c r="B53" s="615" t="s">
        <v>444</v>
      </c>
      <c r="C53" s="616"/>
      <c r="D53" s="616"/>
      <c r="E53" s="616"/>
      <c r="F53" s="616"/>
      <c r="G53" s="616"/>
      <c r="H53" s="616"/>
      <c r="I53" s="616"/>
      <c r="J53" s="632"/>
      <c r="K53" s="706">
        <f t="shared" si="1"/>
        <v>556360.10757145961</v>
      </c>
      <c r="L53" s="665">
        <f t="shared" si="3"/>
        <v>618177.89730162174</v>
      </c>
      <c r="M53" s="651">
        <v>5718145.550040001</v>
      </c>
    </row>
    <row r="54" spans="1:14" ht="12.75" customHeight="1" x14ac:dyDescent="0.25">
      <c r="A54" s="1275" t="s">
        <v>322</v>
      </c>
      <c r="B54" s="551" t="s">
        <v>369</v>
      </c>
      <c r="C54" s="552">
        <v>208000</v>
      </c>
      <c r="D54" s="553">
        <v>200</v>
      </c>
      <c r="E54" s="554">
        <v>180</v>
      </c>
      <c r="F54" s="553">
        <v>20</v>
      </c>
      <c r="G54" s="553"/>
      <c r="H54" s="554">
        <v>2</v>
      </c>
      <c r="I54" s="554"/>
      <c r="J54" s="633"/>
      <c r="K54" s="704">
        <f t="shared" si="1"/>
        <v>4158000</v>
      </c>
      <c r="L54" s="700">
        <f t="shared" ref="L54:L59" si="4">+M54/9.25</f>
        <v>4620000</v>
      </c>
      <c r="M54" s="567">
        <f>4620000*9.25</f>
        <v>42735000</v>
      </c>
      <c r="N54" s="461" t="s">
        <v>358</v>
      </c>
    </row>
    <row r="55" spans="1:14" ht="12.75" customHeight="1" thickBot="1" x14ac:dyDescent="0.3">
      <c r="A55" s="1275"/>
      <c r="B55" s="555" t="s">
        <v>370</v>
      </c>
      <c r="C55" s="556"/>
      <c r="D55" s="557"/>
      <c r="E55" s="496"/>
      <c r="F55" s="557"/>
      <c r="G55" s="557"/>
      <c r="H55" s="496"/>
      <c r="I55" s="496">
        <v>1</v>
      </c>
      <c r="J55" s="634"/>
      <c r="K55" s="706">
        <f t="shared" si="1"/>
        <v>531000</v>
      </c>
      <c r="L55" s="658">
        <f t="shared" si="4"/>
        <v>590000</v>
      </c>
      <c r="M55" s="636">
        <f>590000*9.25</f>
        <v>5457500</v>
      </c>
      <c r="N55" s="461" t="s">
        <v>358</v>
      </c>
    </row>
    <row r="56" spans="1:14" ht="12.75" customHeight="1" x14ac:dyDescent="0.25">
      <c r="A56" s="1275"/>
      <c r="B56" s="701" t="s">
        <v>371</v>
      </c>
      <c r="C56" s="552">
        <v>150350</v>
      </c>
      <c r="D56" s="553">
        <v>233</v>
      </c>
      <c r="E56" s="554"/>
      <c r="F56" s="554"/>
      <c r="G56" s="554"/>
      <c r="H56" s="554">
        <v>5</v>
      </c>
      <c r="I56" s="554"/>
      <c r="J56" s="633"/>
      <c r="K56" s="704">
        <f t="shared" si="1"/>
        <v>11790000</v>
      </c>
      <c r="L56" s="700">
        <f t="shared" si="4"/>
        <v>13100000</v>
      </c>
      <c r="M56" s="653">
        <f>13100000*9.25</f>
        <v>121175000</v>
      </c>
      <c r="N56" s="461" t="s">
        <v>358</v>
      </c>
    </row>
    <row r="57" spans="1:14" ht="12.75" customHeight="1" thickBot="1" x14ac:dyDescent="0.3">
      <c r="A57" s="1276"/>
      <c r="B57" s="495" t="s">
        <v>372</v>
      </c>
      <c r="C57" s="556"/>
      <c r="D57" s="557"/>
      <c r="E57" s="496"/>
      <c r="F57" s="496"/>
      <c r="G57" s="496"/>
      <c r="H57" s="496"/>
      <c r="I57" s="496">
        <v>2</v>
      </c>
      <c r="J57" s="634"/>
      <c r="K57" s="706">
        <f t="shared" si="1"/>
        <v>810000</v>
      </c>
      <c r="L57" s="658">
        <f t="shared" si="4"/>
        <v>900000</v>
      </c>
      <c r="M57" s="570">
        <f>900000*9.25</f>
        <v>8325000</v>
      </c>
      <c r="N57" s="461" t="s">
        <v>358</v>
      </c>
    </row>
    <row r="58" spans="1:14" ht="15.6" thickBot="1" x14ac:dyDescent="0.3">
      <c r="A58" s="502" t="s">
        <v>326</v>
      </c>
      <c r="B58" s="503" t="s">
        <v>373</v>
      </c>
      <c r="C58" s="552">
        <v>338000</v>
      </c>
      <c r="D58" s="554">
        <v>310</v>
      </c>
      <c r="E58" s="554">
        <v>295</v>
      </c>
      <c r="F58" s="554">
        <v>15</v>
      </c>
      <c r="G58" s="554">
        <v>0</v>
      </c>
      <c r="H58" s="554">
        <v>5</v>
      </c>
      <c r="I58" s="554">
        <v>0</v>
      </c>
      <c r="J58" s="633">
        <v>0</v>
      </c>
      <c r="K58" s="704">
        <f t="shared" si="1"/>
        <v>2592000</v>
      </c>
      <c r="L58" s="700">
        <f t="shared" si="4"/>
        <v>2880000</v>
      </c>
      <c r="M58" s="653">
        <f>2880000*9.25</f>
        <v>26640000</v>
      </c>
      <c r="N58" s="461" t="s">
        <v>358</v>
      </c>
    </row>
    <row r="59" spans="1:14" ht="15.6" thickBot="1" x14ac:dyDescent="0.3">
      <c r="A59" s="563" t="s">
        <v>374</v>
      </c>
      <c r="B59" s="544" t="s">
        <v>375</v>
      </c>
      <c r="C59" s="564">
        <v>56956</v>
      </c>
      <c r="D59" s="564"/>
      <c r="E59" s="564"/>
      <c r="F59" s="564"/>
      <c r="G59" s="564"/>
      <c r="H59" s="564">
        <v>1</v>
      </c>
      <c r="I59" s="564"/>
      <c r="J59" s="635"/>
      <c r="K59" s="706">
        <f t="shared" si="1"/>
        <v>540000</v>
      </c>
      <c r="L59" s="658">
        <f t="shared" si="4"/>
        <v>600000</v>
      </c>
      <c r="M59" s="654">
        <f>600000*9.25</f>
        <v>5550000</v>
      </c>
      <c r="N59" s="461" t="s">
        <v>358</v>
      </c>
    </row>
    <row r="60" spans="1:14" ht="13.8" thickBot="1" x14ac:dyDescent="0.3">
      <c r="L60" s="655">
        <f>+SUM(L4:L59)</f>
        <v>190889683.38021436</v>
      </c>
    </row>
    <row r="62" spans="1:14" ht="13.8" thickBot="1" x14ac:dyDescent="0.3">
      <c r="L62" s="598">
        <f>+SUM(L46:L53)+SUM(L32:L36)+SUM(L23:L25)+L18+L10+L37</f>
        <v>92707103.24376972</v>
      </c>
    </row>
    <row r="63" spans="1:14" ht="13.8" thickBot="1" x14ac:dyDescent="0.3">
      <c r="L63" s="623">
        <f>+L60-L62</f>
        <v>98182580.136444643</v>
      </c>
    </row>
  </sheetData>
  <mergeCells count="7">
    <mergeCell ref="A54:A57"/>
    <mergeCell ref="A4:A6"/>
    <mergeCell ref="A7:A9"/>
    <mergeCell ref="A11:A18"/>
    <mergeCell ref="A19:A25"/>
    <mergeCell ref="A26:A41"/>
    <mergeCell ref="A42:A53"/>
  </mergeCells>
  <pageMargins left="0.7" right="0.7" top="0.75" bottom="0.75" header="0.3" footer="0.3"/>
  <pageSetup scale="7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V22"/>
  <sheetViews>
    <sheetView showGridLines="0" workbookViewId="0">
      <pane xSplit="1" topLeftCell="B1" activePane="topRight" state="frozen"/>
      <selection pane="topRight" activeCell="AB18" sqref="AB18:AB19"/>
    </sheetView>
  </sheetViews>
  <sheetFormatPr defaultColWidth="11.44140625" defaultRowHeight="14.4" x14ac:dyDescent="0.3"/>
  <cols>
    <col min="1" max="1" width="40.5546875" style="710" bestFit="1" customWidth="1"/>
    <col min="2" max="2" width="23.6640625" style="710" customWidth="1"/>
    <col min="3" max="4" width="11.44140625" style="710"/>
    <col min="5" max="5" width="14" style="710" bestFit="1" customWidth="1"/>
    <col min="6" max="6" width="15" style="710" bestFit="1" customWidth="1"/>
    <col min="7" max="7" width="14.44140625" style="710" bestFit="1" customWidth="1"/>
    <col min="8" max="8" width="15.44140625" style="710" bestFit="1" customWidth="1"/>
    <col min="9" max="11" width="14.44140625" style="710" bestFit="1" customWidth="1"/>
    <col min="12" max="12" width="15" style="710" bestFit="1" customWidth="1"/>
    <col min="13" max="13" width="14.44140625" style="710" bestFit="1" customWidth="1"/>
    <col min="14" max="14" width="15" style="710" bestFit="1" customWidth="1"/>
    <col min="15" max="15" width="14.44140625" style="710" bestFit="1" customWidth="1"/>
    <col min="16" max="16" width="15.44140625" style="710" bestFit="1" customWidth="1"/>
    <col min="17" max="17" width="14.44140625" style="710" bestFit="1" customWidth="1"/>
    <col min="18" max="18" width="15.44140625" style="710" bestFit="1" customWidth="1"/>
    <col min="19" max="19" width="14.44140625" style="710" bestFit="1" customWidth="1"/>
    <col min="20" max="20" width="15.44140625" style="710" bestFit="1" customWidth="1"/>
    <col min="21" max="21" width="14.44140625" style="710" bestFit="1" customWidth="1"/>
    <col min="22" max="22" width="15.44140625" style="710" bestFit="1" customWidth="1"/>
    <col min="23" max="23" width="14.44140625" style="710" bestFit="1" customWidth="1"/>
    <col min="24" max="24" width="15.44140625" style="710" bestFit="1" customWidth="1"/>
    <col min="25" max="25" width="14.44140625" style="710" bestFit="1" customWidth="1"/>
    <col min="26" max="26" width="15" style="710" bestFit="1" customWidth="1"/>
    <col min="27" max="27" width="16.109375" style="710" bestFit="1" customWidth="1"/>
    <col min="28" max="28" width="19.33203125" style="710" bestFit="1" customWidth="1"/>
    <col min="29" max="29" width="12.88671875" style="710" customWidth="1"/>
    <col min="30" max="30" width="13.88671875" style="758" customWidth="1"/>
    <col min="31" max="178" width="11.44140625" style="758"/>
    <col min="179" max="16384" width="11.44140625" style="710"/>
  </cols>
  <sheetData>
    <row r="1" spans="1:178" ht="15" thickBot="1" x14ac:dyDescent="0.35"/>
    <row r="2" spans="1:178" s="712" customFormat="1" x14ac:dyDescent="0.3">
      <c r="A2" s="711" t="s">
        <v>453</v>
      </c>
      <c r="B2" s="1288"/>
      <c r="C2" s="1289"/>
      <c r="D2" s="1289"/>
      <c r="E2" s="1289"/>
      <c r="F2" s="1290"/>
      <c r="G2" s="1287">
        <v>0.05</v>
      </c>
      <c r="H2" s="1287"/>
      <c r="I2" s="1287">
        <v>7.0000000000000007E-2</v>
      </c>
      <c r="J2" s="1287"/>
      <c r="K2" s="1287">
        <v>0.09</v>
      </c>
      <c r="L2" s="1287"/>
      <c r="M2" s="1287">
        <v>0.11</v>
      </c>
      <c r="N2" s="1287"/>
      <c r="O2" s="1287">
        <v>0.14000000000000001</v>
      </c>
      <c r="P2" s="1287"/>
      <c r="Q2" s="1287">
        <v>0.1</v>
      </c>
      <c r="R2" s="1287"/>
      <c r="S2" s="1287">
        <v>0.1</v>
      </c>
      <c r="T2" s="1287"/>
      <c r="U2" s="1287">
        <v>0.1</v>
      </c>
      <c r="V2" s="1287"/>
      <c r="W2" s="1287">
        <v>0.09</v>
      </c>
      <c r="X2" s="1287"/>
      <c r="Y2" s="1287">
        <v>8.5000000000000006E-2</v>
      </c>
      <c r="Z2" s="1295"/>
      <c r="AD2" s="759"/>
      <c r="AE2" s="759"/>
      <c r="AF2" s="759"/>
      <c r="AG2" s="759"/>
      <c r="AH2" s="759"/>
      <c r="AI2" s="759"/>
      <c r="AJ2" s="759"/>
      <c r="AK2" s="759"/>
      <c r="AL2" s="759"/>
      <c r="AM2" s="759"/>
      <c r="AN2" s="759"/>
      <c r="AO2" s="759"/>
      <c r="AP2" s="759"/>
      <c r="AQ2" s="759"/>
      <c r="AR2" s="759"/>
      <c r="AS2" s="759"/>
      <c r="AT2" s="759"/>
      <c r="AU2" s="759"/>
      <c r="AV2" s="759"/>
      <c r="AW2" s="759"/>
      <c r="AX2" s="759"/>
      <c r="AY2" s="759"/>
      <c r="AZ2" s="759"/>
      <c r="BA2" s="759"/>
      <c r="BB2" s="759"/>
      <c r="BC2" s="759"/>
      <c r="BD2" s="759"/>
      <c r="BE2" s="759"/>
      <c r="BF2" s="759"/>
      <c r="BG2" s="759"/>
      <c r="BH2" s="759"/>
      <c r="BI2" s="759"/>
      <c r="BJ2" s="759"/>
      <c r="BK2" s="759"/>
      <c r="BL2" s="759"/>
      <c r="BM2" s="759"/>
      <c r="BN2" s="759"/>
      <c r="BO2" s="759"/>
      <c r="BP2" s="759"/>
      <c r="BQ2" s="759"/>
      <c r="BR2" s="759"/>
      <c r="BS2" s="759"/>
      <c r="BT2" s="759"/>
      <c r="BU2" s="759"/>
      <c r="BV2" s="759"/>
      <c r="BW2" s="759"/>
      <c r="BX2" s="759"/>
      <c r="BY2" s="759"/>
      <c r="BZ2" s="759"/>
      <c r="CA2" s="759"/>
      <c r="CB2" s="759"/>
      <c r="CC2" s="759"/>
      <c r="CD2" s="759"/>
      <c r="CE2" s="759"/>
      <c r="CF2" s="759"/>
      <c r="CG2" s="759"/>
      <c r="CH2" s="759"/>
      <c r="CI2" s="759"/>
      <c r="CJ2" s="759"/>
      <c r="CK2" s="759"/>
      <c r="CL2" s="759"/>
      <c r="CM2" s="759"/>
      <c r="CN2" s="759"/>
      <c r="CO2" s="759"/>
      <c r="CP2" s="759"/>
      <c r="CQ2" s="759"/>
      <c r="CR2" s="759"/>
      <c r="CS2" s="759"/>
      <c r="CT2" s="759"/>
      <c r="CU2" s="759"/>
      <c r="CV2" s="759"/>
      <c r="CW2" s="759"/>
      <c r="CX2" s="759"/>
      <c r="CY2" s="759"/>
      <c r="CZ2" s="759"/>
      <c r="DA2" s="759"/>
      <c r="DB2" s="759"/>
      <c r="DC2" s="759"/>
      <c r="DD2" s="759"/>
      <c r="DE2" s="759"/>
      <c r="DF2" s="759"/>
      <c r="DG2" s="759"/>
      <c r="DH2" s="759"/>
      <c r="DI2" s="759"/>
      <c r="DJ2" s="759"/>
      <c r="DK2" s="759"/>
      <c r="DL2" s="759"/>
      <c r="DM2" s="759"/>
      <c r="DN2" s="759"/>
      <c r="DO2" s="759"/>
      <c r="DP2" s="759"/>
      <c r="DQ2" s="759"/>
      <c r="DR2" s="759"/>
      <c r="DS2" s="759"/>
      <c r="DT2" s="759"/>
      <c r="DU2" s="759"/>
      <c r="DV2" s="759"/>
      <c r="DW2" s="759"/>
      <c r="DX2" s="759"/>
      <c r="DY2" s="759"/>
      <c r="DZ2" s="759"/>
      <c r="EA2" s="759"/>
      <c r="EB2" s="759"/>
      <c r="EC2" s="759"/>
      <c r="ED2" s="759"/>
      <c r="EE2" s="759"/>
      <c r="EF2" s="759"/>
      <c r="EG2" s="759"/>
      <c r="EH2" s="759"/>
      <c r="EI2" s="759"/>
      <c r="EJ2" s="759"/>
      <c r="EK2" s="759"/>
      <c r="EL2" s="759"/>
      <c r="EM2" s="759"/>
      <c r="EN2" s="759"/>
      <c r="EO2" s="759"/>
      <c r="EP2" s="759"/>
      <c r="EQ2" s="759"/>
      <c r="ER2" s="759"/>
      <c r="ES2" s="759"/>
      <c r="ET2" s="759"/>
      <c r="EU2" s="759"/>
      <c r="EV2" s="759"/>
      <c r="EW2" s="759"/>
      <c r="EX2" s="759"/>
      <c r="EY2" s="759"/>
      <c r="EZ2" s="759"/>
      <c r="FA2" s="759"/>
      <c r="FB2" s="759"/>
      <c r="FC2" s="759"/>
      <c r="FD2" s="759"/>
      <c r="FE2" s="759"/>
      <c r="FF2" s="759"/>
      <c r="FG2" s="759"/>
      <c r="FH2" s="759"/>
      <c r="FI2" s="759"/>
      <c r="FJ2" s="759"/>
      <c r="FK2" s="759"/>
      <c r="FL2" s="759"/>
      <c r="FM2" s="759"/>
      <c r="FN2" s="759"/>
      <c r="FO2" s="759"/>
      <c r="FP2" s="759"/>
      <c r="FQ2" s="759"/>
      <c r="FR2" s="759"/>
      <c r="FS2" s="759"/>
      <c r="FT2" s="759"/>
      <c r="FU2" s="759"/>
      <c r="FV2" s="759"/>
    </row>
    <row r="3" spans="1:178" s="712" customFormat="1" ht="15" thickBot="1" x14ac:dyDescent="0.35">
      <c r="A3" s="713" t="s">
        <v>454</v>
      </c>
      <c r="B3" s="1291"/>
      <c r="C3" s="1292"/>
      <c r="D3" s="1293"/>
      <c r="E3" s="1294">
        <v>0.1</v>
      </c>
      <c r="F3" s="1294"/>
      <c r="G3" s="1294">
        <f>0.8*G2</f>
        <v>4.0000000000000008E-2</v>
      </c>
      <c r="H3" s="1294"/>
      <c r="I3" s="1294">
        <f t="shared" ref="I3:Y3" si="0">0.8*I2</f>
        <v>5.6000000000000008E-2</v>
      </c>
      <c r="J3" s="1294"/>
      <c r="K3" s="1294">
        <f t="shared" si="0"/>
        <v>7.1999999999999995E-2</v>
      </c>
      <c r="L3" s="1294"/>
      <c r="M3" s="1294">
        <f t="shared" si="0"/>
        <v>8.8000000000000009E-2</v>
      </c>
      <c r="N3" s="1294"/>
      <c r="O3" s="1294">
        <f t="shared" si="0"/>
        <v>0.11200000000000002</v>
      </c>
      <c r="P3" s="1294"/>
      <c r="Q3" s="1294">
        <f t="shared" si="0"/>
        <v>8.0000000000000016E-2</v>
      </c>
      <c r="R3" s="1294"/>
      <c r="S3" s="1294">
        <f t="shared" si="0"/>
        <v>8.0000000000000016E-2</v>
      </c>
      <c r="T3" s="1294"/>
      <c r="U3" s="1294">
        <f t="shared" si="0"/>
        <v>8.0000000000000016E-2</v>
      </c>
      <c r="V3" s="1294"/>
      <c r="W3" s="1294">
        <f t="shared" si="0"/>
        <v>7.1999999999999995E-2</v>
      </c>
      <c r="X3" s="1294"/>
      <c r="Y3" s="1294">
        <f t="shared" si="0"/>
        <v>6.8000000000000005E-2</v>
      </c>
      <c r="Z3" s="1296"/>
      <c r="AD3" s="759"/>
      <c r="AE3" s="759"/>
      <c r="AF3" s="759"/>
      <c r="AG3" s="759"/>
      <c r="AH3" s="759"/>
      <c r="AI3" s="759"/>
      <c r="AJ3" s="759"/>
      <c r="AK3" s="759"/>
      <c r="AL3" s="759"/>
      <c r="AM3" s="759"/>
      <c r="AN3" s="759"/>
      <c r="AO3" s="759"/>
      <c r="AP3" s="759"/>
      <c r="AQ3" s="759"/>
      <c r="AR3" s="759"/>
      <c r="AS3" s="759"/>
      <c r="AT3" s="759"/>
      <c r="AU3" s="759"/>
      <c r="AV3" s="759"/>
      <c r="AW3" s="759"/>
      <c r="AX3" s="759"/>
      <c r="AY3" s="759"/>
      <c r="AZ3" s="759"/>
      <c r="BA3" s="759"/>
      <c r="BB3" s="759"/>
      <c r="BC3" s="759"/>
      <c r="BD3" s="759"/>
      <c r="BE3" s="759"/>
      <c r="BF3" s="759"/>
      <c r="BG3" s="759"/>
      <c r="BH3" s="759"/>
      <c r="BI3" s="759"/>
      <c r="BJ3" s="759"/>
      <c r="BK3" s="759"/>
      <c r="BL3" s="759"/>
      <c r="BM3" s="759"/>
      <c r="BN3" s="759"/>
      <c r="BO3" s="759"/>
      <c r="BP3" s="759"/>
      <c r="BQ3" s="759"/>
      <c r="BR3" s="759"/>
      <c r="BS3" s="759"/>
      <c r="BT3" s="759"/>
      <c r="BU3" s="759"/>
      <c r="BV3" s="759"/>
      <c r="BW3" s="759"/>
      <c r="BX3" s="759"/>
      <c r="BY3" s="759"/>
      <c r="BZ3" s="759"/>
      <c r="CA3" s="759"/>
      <c r="CB3" s="759"/>
      <c r="CC3" s="759"/>
      <c r="CD3" s="759"/>
      <c r="CE3" s="759"/>
      <c r="CF3" s="759"/>
      <c r="CG3" s="759"/>
      <c r="CH3" s="759"/>
      <c r="CI3" s="759"/>
      <c r="CJ3" s="759"/>
      <c r="CK3" s="759"/>
      <c r="CL3" s="759"/>
      <c r="CM3" s="759"/>
      <c r="CN3" s="759"/>
      <c r="CO3" s="759"/>
      <c r="CP3" s="759"/>
      <c r="CQ3" s="759"/>
      <c r="CR3" s="759"/>
      <c r="CS3" s="759"/>
      <c r="CT3" s="759"/>
      <c r="CU3" s="759"/>
      <c r="CV3" s="759"/>
      <c r="CW3" s="759"/>
      <c r="CX3" s="759"/>
      <c r="CY3" s="759"/>
      <c r="CZ3" s="759"/>
      <c r="DA3" s="759"/>
      <c r="DB3" s="759"/>
      <c r="DC3" s="759"/>
      <c r="DD3" s="759"/>
      <c r="DE3" s="759"/>
      <c r="DF3" s="759"/>
      <c r="DG3" s="759"/>
      <c r="DH3" s="759"/>
      <c r="DI3" s="759"/>
      <c r="DJ3" s="759"/>
      <c r="DK3" s="759"/>
      <c r="DL3" s="759"/>
      <c r="DM3" s="759"/>
      <c r="DN3" s="759"/>
      <c r="DO3" s="759"/>
      <c r="DP3" s="759"/>
      <c r="DQ3" s="759"/>
      <c r="DR3" s="759"/>
      <c r="DS3" s="759"/>
      <c r="DT3" s="759"/>
      <c r="DU3" s="759"/>
      <c r="DV3" s="759"/>
      <c r="DW3" s="759"/>
      <c r="DX3" s="759"/>
      <c r="DY3" s="759"/>
      <c r="DZ3" s="759"/>
      <c r="EA3" s="759"/>
      <c r="EB3" s="759"/>
      <c r="EC3" s="759"/>
      <c r="ED3" s="759"/>
      <c r="EE3" s="759"/>
      <c r="EF3" s="759"/>
      <c r="EG3" s="759"/>
      <c r="EH3" s="759"/>
      <c r="EI3" s="759"/>
      <c r="EJ3" s="759"/>
      <c r="EK3" s="759"/>
      <c r="EL3" s="759"/>
      <c r="EM3" s="759"/>
      <c r="EN3" s="759"/>
      <c r="EO3" s="759"/>
      <c r="EP3" s="759"/>
      <c r="EQ3" s="759"/>
      <c r="ER3" s="759"/>
      <c r="ES3" s="759"/>
      <c r="ET3" s="759"/>
      <c r="EU3" s="759"/>
      <c r="EV3" s="759"/>
      <c r="EW3" s="759"/>
      <c r="EX3" s="759"/>
      <c r="EY3" s="759"/>
      <c r="EZ3" s="759"/>
      <c r="FA3" s="759"/>
      <c r="FB3" s="759"/>
      <c r="FC3" s="759"/>
      <c r="FD3" s="759"/>
      <c r="FE3" s="759"/>
      <c r="FF3" s="759"/>
      <c r="FG3" s="759"/>
      <c r="FH3" s="759"/>
      <c r="FI3" s="759"/>
      <c r="FJ3" s="759"/>
      <c r="FK3" s="759"/>
      <c r="FL3" s="759"/>
      <c r="FM3" s="759"/>
      <c r="FN3" s="759"/>
      <c r="FO3" s="759"/>
      <c r="FP3" s="759"/>
      <c r="FQ3" s="759"/>
      <c r="FR3" s="759"/>
      <c r="FS3" s="759"/>
      <c r="FT3" s="759"/>
      <c r="FU3" s="759"/>
      <c r="FV3" s="759"/>
    </row>
    <row r="4" spans="1:178" s="712" customFormat="1" ht="15" thickBot="1" x14ac:dyDescent="0.35">
      <c r="A4" s="714"/>
      <c r="B4" s="715"/>
      <c r="C4" s="715"/>
      <c r="D4" s="715"/>
      <c r="E4" s="715"/>
      <c r="F4" s="715"/>
      <c r="G4" s="715"/>
      <c r="H4" s="715"/>
      <c r="I4" s="715"/>
      <c r="J4" s="715"/>
      <c r="K4" s="715"/>
      <c r="L4" s="715"/>
      <c r="M4" s="715"/>
      <c r="N4" s="715"/>
      <c r="O4" s="715"/>
      <c r="P4" s="715"/>
      <c r="Q4" s="715"/>
      <c r="R4" s="715"/>
      <c r="S4" s="715"/>
      <c r="T4" s="715"/>
      <c r="U4" s="715"/>
      <c r="V4" s="715"/>
      <c r="W4" s="715"/>
      <c r="X4" s="715"/>
      <c r="Y4" s="715"/>
      <c r="Z4" s="715"/>
      <c r="AD4" s="759"/>
      <c r="AE4" s="759"/>
      <c r="AF4" s="759"/>
      <c r="AG4" s="759"/>
      <c r="AH4" s="759"/>
      <c r="AI4" s="759"/>
      <c r="AJ4" s="759"/>
      <c r="AK4" s="759"/>
      <c r="AL4" s="759"/>
      <c r="AM4" s="759"/>
      <c r="AN4" s="759"/>
      <c r="AO4" s="759"/>
      <c r="AP4" s="759"/>
      <c r="AQ4" s="759"/>
      <c r="AR4" s="759"/>
      <c r="AS4" s="759"/>
      <c r="AT4" s="759"/>
      <c r="AU4" s="759"/>
      <c r="AV4" s="759"/>
      <c r="AW4" s="759"/>
      <c r="AX4" s="759"/>
      <c r="AY4" s="759"/>
      <c r="AZ4" s="759"/>
      <c r="BA4" s="759"/>
      <c r="BB4" s="759"/>
      <c r="BC4" s="759"/>
      <c r="BD4" s="759"/>
      <c r="BE4" s="759"/>
      <c r="BF4" s="759"/>
      <c r="BG4" s="759"/>
      <c r="BH4" s="759"/>
      <c r="BI4" s="759"/>
      <c r="BJ4" s="759"/>
      <c r="BK4" s="759"/>
      <c r="BL4" s="759"/>
      <c r="BM4" s="759"/>
      <c r="BN4" s="759"/>
      <c r="BO4" s="759"/>
      <c r="BP4" s="759"/>
      <c r="BQ4" s="759"/>
      <c r="BR4" s="759"/>
      <c r="BS4" s="759"/>
      <c r="BT4" s="759"/>
      <c r="BU4" s="759"/>
      <c r="BV4" s="759"/>
      <c r="BW4" s="759"/>
      <c r="BX4" s="759"/>
      <c r="BY4" s="759"/>
      <c r="BZ4" s="759"/>
      <c r="CA4" s="759"/>
      <c r="CB4" s="759"/>
      <c r="CC4" s="759"/>
      <c r="CD4" s="759"/>
      <c r="CE4" s="759"/>
      <c r="CF4" s="759"/>
      <c r="CG4" s="759"/>
      <c r="CH4" s="759"/>
      <c r="CI4" s="759"/>
      <c r="CJ4" s="759"/>
      <c r="CK4" s="759"/>
      <c r="CL4" s="759"/>
      <c r="CM4" s="759"/>
      <c r="CN4" s="759"/>
      <c r="CO4" s="759"/>
      <c r="CP4" s="759"/>
      <c r="CQ4" s="759"/>
      <c r="CR4" s="759"/>
      <c r="CS4" s="759"/>
      <c r="CT4" s="759"/>
      <c r="CU4" s="759"/>
      <c r="CV4" s="759"/>
      <c r="CW4" s="759"/>
      <c r="CX4" s="759"/>
      <c r="CY4" s="759"/>
      <c r="CZ4" s="759"/>
      <c r="DA4" s="759"/>
      <c r="DB4" s="759"/>
      <c r="DC4" s="759"/>
      <c r="DD4" s="759"/>
      <c r="DE4" s="759"/>
      <c r="DF4" s="759"/>
      <c r="DG4" s="759"/>
      <c r="DH4" s="759"/>
      <c r="DI4" s="759"/>
      <c r="DJ4" s="759"/>
      <c r="DK4" s="759"/>
      <c r="DL4" s="759"/>
      <c r="DM4" s="759"/>
      <c r="DN4" s="759"/>
      <c r="DO4" s="759"/>
      <c r="DP4" s="759"/>
      <c r="DQ4" s="759"/>
      <c r="DR4" s="759"/>
      <c r="DS4" s="759"/>
      <c r="DT4" s="759"/>
      <c r="DU4" s="759"/>
      <c r="DV4" s="759"/>
      <c r="DW4" s="759"/>
      <c r="DX4" s="759"/>
      <c r="DY4" s="759"/>
      <c r="DZ4" s="759"/>
      <c r="EA4" s="759"/>
      <c r="EB4" s="759"/>
      <c r="EC4" s="759"/>
      <c r="ED4" s="759"/>
      <c r="EE4" s="759"/>
      <c r="EF4" s="759"/>
      <c r="EG4" s="759"/>
      <c r="EH4" s="759"/>
      <c r="EI4" s="759"/>
      <c r="EJ4" s="759"/>
      <c r="EK4" s="759"/>
      <c r="EL4" s="759"/>
      <c r="EM4" s="759"/>
      <c r="EN4" s="759"/>
      <c r="EO4" s="759"/>
      <c r="EP4" s="759"/>
      <c r="EQ4" s="759"/>
      <c r="ER4" s="759"/>
      <c r="ES4" s="759"/>
      <c r="ET4" s="759"/>
      <c r="EU4" s="759"/>
      <c r="EV4" s="759"/>
      <c r="EW4" s="759"/>
      <c r="EX4" s="759"/>
      <c r="EY4" s="759"/>
      <c r="EZ4" s="759"/>
      <c r="FA4" s="759"/>
      <c r="FB4" s="759"/>
      <c r="FC4" s="759"/>
      <c r="FD4" s="759"/>
      <c r="FE4" s="759"/>
      <c r="FF4" s="759"/>
      <c r="FG4" s="759"/>
      <c r="FH4" s="759"/>
      <c r="FI4" s="759"/>
      <c r="FJ4" s="759"/>
      <c r="FK4" s="759"/>
      <c r="FL4" s="759"/>
      <c r="FM4" s="759"/>
      <c r="FN4" s="759"/>
      <c r="FO4" s="759"/>
      <c r="FP4" s="759"/>
      <c r="FQ4" s="759"/>
      <c r="FR4" s="759"/>
      <c r="FS4" s="759"/>
      <c r="FT4" s="759"/>
      <c r="FU4" s="759"/>
      <c r="FV4" s="759"/>
    </row>
    <row r="5" spans="1:178" s="712" customFormat="1" ht="24.75" customHeight="1" x14ac:dyDescent="0.3">
      <c r="A5" s="1297"/>
      <c r="B5" s="1297"/>
      <c r="C5" s="1299" t="s">
        <v>396</v>
      </c>
      <c r="D5" s="1300"/>
      <c r="E5" s="1301" t="s">
        <v>397</v>
      </c>
      <c r="F5" s="1300"/>
      <c r="G5" s="1301" t="s">
        <v>398</v>
      </c>
      <c r="H5" s="1300"/>
      <c r="I5" s="1301" t="s">
        <v>399</v>
      </c>
      <c r="J5" s="1300"/>
      <c r="K5" s="1302" t="s">
        <v>400</v>
      </c>
      <c r="L5" s="1302"/>
      <c r="M5" s="1302" t="s">
        <v>401</v>
      </c>
      <c r="N5" s="1302"/>
      <c r="O5" s="1302" t="s">
        <v>402</v>
      </c>
      <c r="P5" s="1302"/>
      <c r="Q5" s="1302" t="s">
        <v>403</v>
      </c>
      <c r="R5" s="1302"/>
      <c r="S5" s="1302" t="s">
        <v>404</v>
      </c>
      <c r="T5" s="1302"/>
      <c r="U5" s="1302" t="s">
        <v>405</v>
      </c>
      <c r="V5" s="1302"/>
      <c r="W5" s="1302" t="s">
        <v>406</v>
      </c>
      <c r="X5" s="1302"/>
      <c r="Y5" s="1302" t="s">
        <v>407</v>
      </c>
      <c r="Z5" s="1305"/>
      <c r="AA5" s="1306" t="s">
        <v>455</v>
      </c>
      <c r="AB5" s="1303" t="s">
        <v>464</v>
      </c>
      <c r="AC5" s="1308" t="s">
        <v>456</v>
      </c>
      <c r="AD5" s="1303" t="s">
        <v>467</v>
      </c>
      <c r="AE5" s="759"/>
      <c r="AF5" s="759"/>
      <c r="AG5" s="759"/>
      <c r="AH5" s="759"/>
      <c r="AI5" s="759"/>
      <c r="AJ5" s="759"/>
      <c r="AK5" s="759"/>
      <c r="AL5" s="759"/>
      <c r="AM5" s="759"/>
      <c r="AN5" s="759"/>
      <c r="AO5" s="759"/>
      <c r="AP5" s="759"/>
      <c r="AQ5" s="759"/>
      <c r="AR5" s="759"/>
      <c r="AS5" s="759"/>
      <c r="AT5" s="759"/>
      <c r="AU5" s="759"/>
      <c r="AV5" s="759"/>
      <c r="AW5" s="759"/>
      <c r="AX5" s="759"/>
      <c r="AY5" s="759"/>
      <c r="AZ5" s="759"/>
      <c r="BA5" s="759"/>
      <c r="BB5" s="759"/>
      <c r="BC5" s="759"/>
      <c r="BD5" s="759"/>
      <c r="BE5" s="759"/>
      <c r="BF5" s="759"/>
      <c r="BG5" s="759"/>
      <c r="BH5" s="759"/>
      <c r="BI5" s="759"/>
      <c r="BJ5" s="759"/>
      <c r="BK5" s="759"/>
      <c r="BL5" s="759"/>
      <c r="BM5" s="759"/>
      <c r="BN5" s="759"/>
      <c r="BO5" s="759"/>
      <c r="BP5" s="759"/>
      <c r="BQ5" s="759"/>
      <c r="BR5" s="759"/>
      <c r="BS5" s="759"/>
      <c r="BT5" s="759"/>
      <c r="BU5" s="759"/>
      <c r="BV5" s="759"/>
      <c r="BW5" s="759"/>
      <c r="BX5" s="759"/>
      <c r="BY5" s="759"/>
      <c r="BZ5" s="759"/>
      <c r="CA5" s="759"/>
      <c r="CB5" s="759"/>
      <c r="CC5" s="759"/>
      <c r="CD5" s="759"/>
      <c r="CE5" s="759"/>
      <c r="CF5" s="759"/>
      <c r="CG5" s="759"/>
      <c r="CH5" s="759"/>
      <c r="CI5" s="759"/>
      <c r="CJ5" s="759"/>
      <c r="CK5" s="759"/>
      <c r="CL5" s="759"/>
      <c r="CM5" s="759"/>
      <c r="CN5" s="759"/>
      <c r="CO5" s="759"/>
      <c r="CP5" s="759"/>
      <c r="CQ5" s="759"/>
      <c r="CR5" s="759"/>
      <c r="CS5" s="759"/>
      <c r="CT5" s="759"/>
      <c r="CU5" s="759"/>
      <c r="CV5" s="759"/>
      <c r="CW5" s="759"/>
      <c r="CX5" s="759"/>
      <c r="CY5" s="759"/>
      <c r="CZ5" s="759"/>
      <c r="DA5" s="759"/>
      <c r="DB5" s="759"/>
      <c r="DC5" s="759"/>
      <c r="DD5" s="759"/>
      <c r="DE5" s="759"/>
      <c r="DF5" s="759"/>
      <c r="DG5" s="759"/>
      <c r="DH5" s="759"/>
      <c r="DI5" s="759"/>
      <c r="DJ5" s="759"/>
      <c r="DK5" s="759"/>
      <c r="DL5" s="759"/>
      <c r="DM5" s="759"/>
      <c r="DN5" s="759"/>
      <c r="DO5" s="759"/>
      <c r="DP5" s="759"/>
      <c r="DQ5" s="759"/>
      <c r="DR5" s="759"/>
      <c r="DS5" s="759"/>
      <c r="DT5" s="759"/>
      <c r="DU5" s="759"/>
      <c r="DV5" s="759"/>
      <c r="DW5" s="759"/>
      <c r="DX5" s="759"/>
      <c r="DY5" s="759"/>
      <c r="DZ5" s="759"/>
      <c r="EA5" s="759"/>
      <c r="EB5" s="759"/>
      <c r="EC5" s="759"/>
      <c r="ED5" s="759"/>
      <c r="EE5" s="759"/>
      <c r="EF5" s="759"/>
      <c r="EG5" s="759"/>
      <c r="EH5" s="759"/>
      <c r="EI5" s="759"/>
      <c r="EJ5" s="759"/>
      <c r="EK5" s="759"/>
      <c r="EL5" s="759"/>
      <c r="EM5" s="759"/>
      <c r="EN5" s="759"/>
      <c r="EO5" s="759"/>
      <c r="EP5" s="759"/>
      <c r="EQ5" s="759"/>
      <c r="ER5" s="759"/>
      <c r="ES5" s="759"/>
      <c r="ET5" s="759"/>
      <c r="EU5" s="759"/>
      <c r="EV5" s="759"/>
      <c r="EW5" s="759"/>
      <c r="EX5" s="759"/>
      <c r="EY5" s="759"/>
      <c r="EZ5" s="759"/>
      <c r="FA5" s="759"/>
      <c r="FB5" s="759"/>
      <c r="FC5" s="759"/>
      <c r="FD5" s="759"/>
      <c r="FE5" s="759"/>
      <c r="FF5" s="759"/>
      <c r="FG5" s="759"/>
      <c r="FH5" s="759"/>
      <c r="FI5" s="759"/>
      <c r="FJ5" s="759"/>
      <c r="FK5" s="759"/>
      <c r="FL5" s="759"/>
      <c r="FM5" s="759"/>
      <c r="FN5" s="759"/>
      <c r="FO5" s="759"/>
      <c r="FP5" s="759"/>
      <c r="FQ5" s="759"/>
      <c r="FR5" s="759"/>
      <c r="FS5" s="759"/>
      <c r="FT5" s="759"/>
      <c r="FU5" s="759"/>
      <c r="FV5" s="759"/>
    </row>
    <row r="6" spans="1:178" ht="20.25" customHeight="1" thickBot="1" x14ac:dyDescent="0.35">
      <c r="A6" s="1298"/>
      <c r="B6" s="1298"/>
      <c r="C6" s="716" t="s">
        <v>408</v>
      </c>
      <c r="D6" s="717" t="s">
        <v>409</v>
      </c>
      <c r="E6" s="718" t="s">
        <v>408</v>
      </c>
      <c r="F6" s="717" t="s">
        <v>409</v>
      </c>
      <c r="G6" s="718" t="s">
        <v>408</v>
      </c>
      <c r="H6" s="717" t="s">
        <v>409</v>
      </c>
      <c r="I6" s="718" t="s">
        <v>408</v>
      </c>
      <c r="J6" s="717" t="s">
        <v>409</v>
      </c>
      <c r="K6" s="718" t="s">
        <v>408</v>
      </c>
      <c r="L6" s="717" t="s">
        <v>409</v>
      </c>
      <c r="M6" s="718" t="s">
        <v>408</v>
      </c>
      <c r="N6" s="717" t="s">
        <v>409</v>
      </c>
      <c r="O6" s="718" t="s">
        <v>408</v>
      </c>
      <c r="P6" s="717" t="s">
        <v>409</v>
      </c>
      <c r="Q6" s="718" t="s">
        <v>408</v>
      </c>
      <c r="R6" s="717" t="s">
        <v>409</v>
      </c>
      <c r="S6" s="718" t="s">
        <v>408</v>
      </c>
      <c r="T6" s="717" t="s">
        <v>409</v>
      </c>
      <c r="U6" s="718" t="s">
        <v>408</v>
      </c>
      <c r="V6" s="717" t="s">
        <v>409</v>
      </c>
      <c r="W6" s="718" t="s">
        <v>408</v>
      </c>
      <c r="X6" s="717" t="s">
        <v>409</v>
      </c>
      <c r="Y6" s="718" t="s">
        <v>408</v>
      </c>
      <c r="Z6" s="719" t="s">
        <v>409</v>
      </c>
      <c r="AA6" s="1307"/>
      <c r="AB6" s="1304"/>
      <c r="AC6" s="1309"/>
      <c r="AD6" s="1304"/>
    </row>
    <row r="7" spans="1:178" x14ac:dyDescent="0.3">
      <c r="A7" s="720" t="s">
        <v>457</v>
      </c>
      <c r="B7" s="721">
        <f>+('[1]Datos Proyectos (2)'!L4+'[1]Datos Proyectos (2)'!L5+'[1]Datos Proyectos (2)'!L6)*0.9</f>
        <v>161190000</v>
      </c>
      <c r="C7" s="722"/>
      <c r="D7" s="723"/>
      <c r="E7" s="722"/>
      <c r="F7" s="723"/>
      <c r="G7" s="724">
        <f>+$B$7*E3*0.2</f>
        <v>3223800</v>
      </c>
      <c r="H7" s="725">
        <f>+$B$7*E3*0.8</f>
        <v>12895200</v>
      </c>
      <c r="I7" s="724">
        <f>+$B$7*G3*0.2</f>
        <v>1289520.0000000002</v>
      </c>
      <c r="J7" s="725">
        <f>+$B$7*G3*0.8</f>
        <v>5158080.0000000009</v>
      </c>
      <c r="K7" s="724">
        <f>+$B$7*I3*0.2</f>
        <v>1805328.0000000005</v>
      </c>
      <c r="L7" s="725">
        <f>+$B$7*I3*0.8</f>
        <v>7221312.0000000019</v>
      </c>
      <c r="M7" s="724">
        <f>+$B$7*K3*0.2</f>
        <v>2321136</v>
      </c>
      <c r="N7" s="725">
        <f>+$B$7*K3*0.8</f>
        <v>9284544</v>
      </c>
      <c r="O7" s="724">
        <f>+$B$7*M3*0.2</f>
        <v>2836944.0000000005</v>
      </c>
      <c r="P7" s="725">
        <f>+$B$7*M3*0.8</f>
        <v>11347776.000000002</v>
      </c>
      <c r="Q7" s="724">
        <f>+$B$7*O3*0.2</f>
        <v>3610656.0000000009</v>
      </c>
      <c r="R7" s="725">
        <f>+$B$7*O3*0.8</f>
        <v>14442624.000000004</v>
      </c>
      <c r="S7" s="724">
        <f>+$B$7*Q3*0.2</f>
        <v>2579040.0000000005</v>
      </c>
      <c r="T7" s="725">
        <f>+$B$7*Q3*0.8</f>
        <v>10316160.000000002</v>
      </c>
      <c r="U7" s="724">
        <f>+$B$7*S3*0.2</f>
        <v>2579040.0000000005</v>
      </c>
      <c r="V7" s="725">
        <f>+$B$7*S3*0.8</f>
        <v>10316160.000000002</v>
      </c>
      <c r="W7" s="724">
        <f>+$B$7*U3*0.2</f>
        <v>2579040.0000000005</v>
      </c>
      <c r="X7" s="725">
        <f>+$B$7*U3*0.8</f>
        <v>10316160.000000002</v>
      </c>
      <c r="Y7" s="724">
        <f>+$B$7*W3*0.2</f>
        <v>2321136</v>
      </c>
      <c r="Z7" s="725">
        <f>+$B$7*W3*0.8</f>
        <v>9284544</v>
      </c>
      <c r="AA7" s="726">
        <f>SUM(G7:Z7)</f>
        <v>125728200</v>
      </c>
      <c r="AB7" s="748">
        <v>13592237.837837838</v>
      </c>
      <c r="AC7" s="727">
        <f t="shared" ref="AC7:AC19" si="1">+AA7/B7</f>
        <v>0.78</v>
      </c>
      <c r="AD7" s="727">
        <f>100%-AC7</f>
        <v>0.21999999999999997</v>
      </c>
      <c r="AE7" s="758">
        <f>+B7/9.25</f>
        <v>17425945.945945945</v>
      </c>
      <c r="AF7" s="758">
        <f>+AD7*AE7</f>
        <v>3833708.1081081075</v>
      </c>
    </row>
    <row r="8" spans="1:178" x14ac:dyDescent="0.3">
      <c r="A8" s="728" t="s">
        <v>458</v>
      </c>
      <c r="B8" s="729">
        <f>+('[1]Datos Proyectos (2)'!L19+'[1]Datos Proyectos (2)'!L20+'[1]Datos Proyectos (2)'!L21)*0.9</f>
        <v>47754000</v>
      </c>
      <c r="C8" s="730"/>
      <c r="D8" s="731"/>
      <c r="E8" s="730"/>
      <c r="F8" s="731"/>
      <c r="G8" s="732"/>
      <c r="H8" s="731"/>
      <c r="I8" s="733">
        <f>+$B$8*E3*0.2</f>
        <v>955080</v>
      </c>
      <c r="J8" s="734">
        <f>+$B$8*E3*0.8</f>
        <v>3820320</v>
      </c>
      <c r="K8" s="733">
        <f>+$B$8*G3*0.2</f>
        <v>382032.00000000012</v>
      </c>
      <c r="L8" s="734">
        <f>+$B$8*G3*0.8</f>
        <v>1528128.0000000005</v>
      </c>
      <c r="M8" s="733">
        <f>+$B$8*I3*0.2</f>
        <v>534844.80000000016</v>
      </c>
      <c r="N8" s="734">
        <f>+$B$8*I3*0.8</f>
        <v>2139379.2000000007</v>
      </c>
      <c r="O8" s="733">
        <f>+$B$8*K3*0.2</f>
        <v>687657.6</v>
      </c>
      <c r="P8" s="734">
        <f>+$B$8*K3*0.8</f>
        <v>2750630.4</v>
      </c>
      <c r="Q8" s="733">
        <f>+$B$8*M3*0.2</f>
        <v>840470.4</v>
      </c>
      <c r="R8" s="734">
        <f>+$B$8*M3*0.8</f>
        <v>3361881.6</v>
      </c>
      <c r="S8" s="733">
        <f>+$B$8*O3*0.2</f>
        <v>1069689.6000000003</v>
      </c>
      <c r="T8" s="734">
        <f>+$B$8*O3*0.8</f>
        <v>4278758.4000000013</v>
      </c>
      <c r="U8" s="733">
        <f>+$B$8*Q3*0.2</f>
        <v>764064.00000000023</v>
      </c>
      <c r="V8" s="734">
        <f>+$B$8*Q3*0.8</f>
        <v>3056256.0000000009</v>
      </c>
      <c r="W8" s="733">
        <f>+$B$8*S3*0.2</f>
        <v>764064.00000000023</v>
      </c>
      <c r="X8" s="734">
        <f>+$B$8*S3*0.8</f>
        <v>3056256.0000000009</v>
      </c>
      <c r="Y8" s="733">
        <f>+$B$8*U3*0.2</f>
        <v>764064.00000000023</v>
      </c>
      <c r="Z8" s="734">
        <f>+$B$8*U3*0.8</f>
        <v>3056256.0000000009</v>
      </c>
      <c r="AA8" s="735">
        <f t="shared" ref="AA8:AA19" si="2">SUM(I8:Z8)</f>
        <v>33809832.000000007</v>
      </c>
      <c r="AB8" s="748">
        <v>3655116.9729729737</v>
      </c>
      <c r="AC8" s="736">
        <f t="shared" si="1"/>
        <v>0.70800000000000018</v>
      </c>
      <c r="AD8" s="727">
        <f t="shared" ref="AD8:AD19" si="3">100%-AC8</f>
        <v>0.29199999999999982</v>
      </c>
      <c r="AE8" s="758">
        <f t="shared" ref="AE8:AE19" si="4">+B8/9.25</f>
        <v>5162594.594594595</v>
      </c>
      <c r="AF8" s="758">
        <f t="shared" ref="AF8:AF19" si="5">+AD8*AE8</f>
        <v>1507477.6216216208</v>
      </c>
    </row>
    <row r="9" spans="1:178" s="757" customFormat="1" x14ac:dyDescent="0.3">
      <c r="A9" s="751" t="s">
        <v>466</v>
      </c>
      <c r="B9" s="750">
        <f>660601.264864865*9.25</f>
        <v>6110561.7000000011</v>
      </c>
      <c r="C9" s="751"/>
      <c r="D9" s="752"/>
      <c r="E9" s="751"/>
      <c r="F9" s="752"/>
      <c r="G9" s="752"/>
      <c r="H9" s="752"/>
      <c r="I9" s="753"/>
      <c r="J9" s="753"/>
      <c r="K9" s="753"/>
      <c r="L9" s="753"/>
      <c r="M9" s="753"/>
      <c r="N9" s="753"/>
      <c r="O9" s="753">
        <f>+$B$9*0.2</f>
        <v>1222112.3400000003</v>
      </c>
      <c r="P9" s="753">
        <f>+$B$9*0.8</f>
        <v>4888449.3600000013</v>
      </c>
      <c r="Q9" s="753"/>
      <c r="R9" s="753"/>
      <c r="S9" s="753"/>
      <c r="T9" s="753"/>
      <c r="U9" s="753"/>
      <c r="V9" s="753"/>
      <c r="W9" s="753"/>
      <c r="X9" s="753"/>
      <c r="Y9" s="753"/>
      <c r="Z9" s="753"/>
      <c r="AA9" s="754">
        <f t="shared" si="2"/>
        <v>6110561.7000000011</v>
      </c>
      <c r="AB9" s="755">
        <v>660601.26486486499</v>
      </c>
      <c r="AC9" s="756">
        <f t="shared" si="1"/>
        <v>1</v>
      </c>
      <c r="AD9" s="727">
        <f t="shared" si="3"/>
        <v>0</v>
      </c>
      <c r="AE9" s="758">
        <f t="shared" si="4"/>
        <v>660601.26486486499</v>
      </c>
      <c r="AF9" s="758">
        <f t="shared" si="5"/>
        <v>0</v>
      </c>
      <c r="AG9" s="758"/>
      <c r="AH9" s="758"/>
      <c r="AI9" s="758"/>
      <c r="AJ9" s="758"/>
      <c r="AK9" s="758"/>
      <c r="AL9" s="758"/>
      <c r="AM9" s="758"/>
      <c r="AN9" s="758"/>
      <c r="AO9" s="758"/>
      <c r="AP9" s="758"/>
      <c r="AQ9" s="758"/>
      <c r="AR9" s="758"/>
      <c r="AS9" s="758"/>
      <c r="AT9" s="758"/>
      <c r="AU9" s="758"/>
      <c r="AV9" s="758"/>
      <c r="AW9" s="758"/>
      <c r="AX9" s="758"/>
      <c r="AY9" s="758"/>
      <c r="AZ9" s="758"/>
      <c r="BA9" s="758"/>
      <c r="BB9" s="758"/>
      <c r="BC9" s="758"/>
      <c r="BD9" s="758"/>
      <c r="BE9" s="758"/>
      <c r="BF9" s="758"/>
      <c r="BG9" s="758"/>
      <c r="BH9" s="758"/>
      <c r="BI9" s="758"/>
      <c r="BJ9" s="758"/>
      <c r="BK9" s="758"/>
      <c r="BL9" s="758"/>
      <c r="BM9" s="758"/>
      <c r="BN9" s="758"/>
      <c r="BO9" s="758"/>
      <c r="BP9" s="758"/>
      <c r="BQ9" s="758"/>
      <c r="BR9" s="758"/>
      <c r="BS9" s="758"/>
      <c r="BT9" s="758"/>
      <c r="BU9" s="758"/>
      <c r="BV9" s="758"/>
      <c r="BW9" s="758"/>
      <c r="BX9" s="758"/>
      <c r="BY9" s="758"/>
      <c r="BZ9" s="758"/>
      <c r="CA9" s="758"/>
      <c r="CB9" s="758"/>
      <c r="CC9" s="758"/>
      <c r="CD9" s="758"/>
      <c r="CE9" s="758"/>
      <c r="CF9" s="758"/>
      <c r="CG9" s="758"/>
      <c r="CH9" s="758"/>
      <c r="CI9" s="758"/>
      <c r="CJ9" s="758"/>
      <c r="CK9" s="758"/>
      <c r="CL9" s="758"/>
      <c r="CM9" s="758"/>
      <c r="CN9" s="758"/>
      <c r="CO9" s="758"/>
      <c r="CP9" s="758"/>
      <c r="CQ9" s="758"/>
      <c r="CR9" s="758"/>
      <c r="CS9" s="758"/>
      <c r="CT9" s="758"/>
      <c r="CU9" s="758"/>
      <c r="CV9" s="758"/>
      <c r="CW9" s="758"/>
      <c r="CX9" s="758"/>
      <c r="CY9" s="758"/>
      <c r="CZ9" s="758"/>
      <c r="DA9" s="758"/>
      <c r="DB9" s="758"/>
      <c r="DC9" s="758"/>
      <c r="DD9" s="758"/>
      <c r="DE9" s="758"/>
      <c r="DF9" s="758"/>
      <c r="DG9" s="758"/>
      <c r="DH9" s="758"/>
      <c r="DI9" s="758"/>
      <c r="DJ9" s="758"/>
      <c r="DK9" s="758"/>
      <c r="DL9" s="758"/>
      <c r="DM9" s="758"/>
      <c r="DN9" s="758"/>
      <c r="DO9" s="758"/>
      <c r="DP9" s="758"/>
      <c r="DQ9" s="758"/>
      <c r="DR9" s="758"/>
      <c r="DS9" s="758"/>
      <c r="DT9" s="758"/>
      <c r="DU9" s="758"/>
      <c r="DV9" s="758"/>
      <c r="DW9" s="758"/>
      <c r="DX9" s="758"/>
      <c r="DY9" s="758"/>
      <c r="DZ9" s="758"/>
      <c r="EA9" s="758"/>
      <c r="EB9" s="758"/>
      <c r="EC9" s="758"/>
      <c r="ED9" s="758"/>
      <c r="EE9" s="758"/>
      <c r="EF9" s="758"/>
      <c r="EG9" s="758"/>
      <c r="EH9" s="758"/>
      <c r="EI9" s="758"/>
      <c r="EJ9" s="758"/>
      <c r="EK9" s="758"/>
      <c r="EL9" s="758"/>
      <c r="EM9" s="758"/>
      <c r="EN9" s="758"/>
      <c r="EO9" s="758"/>
      <c r="EP9" s="758"/>
      <c r="EQ9" s="758"/>
      <c r="ER9" s="758"/>
      <c r="ES9" s="758"/>
      <c r="ET9" s="758"/>
      <c r="EU9" s="758"/>
      <c r="EV9" s="758"/>
      <c r="EW9" s="758"/>
      <c r="EX9" s="758"/>
      <c r="EY9" s="758"/>
      <c r="EZ9" s="758"/>
      <c r="FA9" s="758"/>
      <c r="FB9" s="758"/>
      <c r="FC9" s="758"/>
      <c r="FD9" s="758"/>
      <c r="FE9" s="758"/>
      <c r="FF9" s="758"/>
      <c r="FG9" s="758"/>
      <c r="FH9" s="758"/>
      <c r="FI9" s="758"/>
      <c r="FJ9" s="758"/>
      <c r="FK9" s="758"/>
      <c r="FL9" s="758"/>
      <c r="FM9" s="758"/>
      <c r="FN9" s="758"/>
      <c r="FO9" s="758"/>
      <c r="FP9" s="758"/>
      <c r="FQ9" s="758"/>
      <c r="FR9" s="758"/>
      <c r="FS9" s="758"/>
      <c r="FT9" s="758"/>
      <c r="FU9" s="758"/>
      <c r="FV9" s="758"/>
    </row>
    <row r="10" spans="1:178" x14ac:dyDescent="0.3">
      <c r="A10" s="728" t="s">
        <v>297</v>
      </c>
      <c r="B10" s="729">
        <f>+('[1]Datos Proyectos (2)'!L11+'[1]Datos Proyectos (2)'!L12+'[1]Datos Proyectos (2)'!L13)*0.9</f>
        <v>68850000</v>
      </c>
      <c r="C10" s="730"/>
      <c r="D10" s="731"/>
      <c r="E10" s="730"/>
      <c r="F10" s="731"/>
      <c r="G10" s="732"/>
      <c r="H10" s="731"/>
      <c r="I10" s="732"/>
      <c r="J10" s="731"/>
      <c r="K10" s="733">
        <f>+$B$10*I3*0.2</f>
        <v>771120.00000000012</v>
      </c>
      <c r="L10" s="734">
        <f>+$B$10*I3*0.8</f>
        <v>3084480.0000000005</v>
      </c>
      <c r="M10" s="733">
        <f>+$B$10*K3*0.2</f>
        <v>991440</v>
      </c>
      <c r="N10" s="734">
        <f>+$B$10*K3*0.8</f>
        <v>3965760</v>
      </c>
      <c r="O10" s="733">
        <f>+$B$10*M3*0.2</f>
        <v>1211760.0000000002</v>
      </c>
      <c r="P10" s="734">
        <f>+$B$10*M3*0.8</f>
        <v>4847040.0000000009</v>
      </c>
      <c r="Q10" s="733">
        <f>+$B$10*O3*0.2</f>
        <v>1542240.0000000002</v>
      </c>
      <c r="R10" s="734">
        <f>+$B$10*O3*0.8</f>
        <v>6168960.0000000009</v>
      </c>
      <c r="S10" s="733">
        <f>+$B$10*Q3*0.2</f>
        <v>1101600.0000000002</v>
      </c>
      <c r="T10" s="734">
        <f>+$B$10*Q3*0.8</f>
        <v>4406400.0000000009</v>
      </c>
      <c r="U10" s="733">
        <f>+$B$10*S3*0.2</f>
        <v>1101600.0000000002</v>
      </c>
      <c r="V10" s="734">
        <f>+$B$10*S3*0.8</f>
        <v>4406400.0000000009</v>
      </c>
      <c r="W10" s="733">
        <f>+$B$10*U3*0.2</f>
        <v>1101600.0000000002</v>
      </c>
      <c r="X10" s="734">
        <f>+$B$10*U3*0.8</f>
        <v>4406400.0000000009</v>
      </c>
      <c r="Y10" s="733">
        <f>+$B$10*W3*0.2</f>
        <v>991440</v>
      </c>
      <c r="Z10" s="734">
        <f>+$B$10*W3*0.8</f>
        <v>3965760</v>
      </c>
      <c r="AA10" s="735">
        <f t="shared" si="2"/>
        <v>44064000</v>
      </c>
      <c r="AB10" s="748">
        <v>4763675.6756756753</v>
      </c>
      <c r="AC10" s="736">
        <f t="shared" si="1"/>
        <v>0.64</v>
      </c>
      <c r="AD10" s="727">
        <f t="shared" si="3"/>
        <v>0.36</v>
      </c>
      <c r="AE10" s="758">
        <f t="shared" si="4"/>
        <v>7443243.2432432435</v>
      </c>
      <c r="AF10" s="758">
        <f t="shared" si="5"/>
        <v>2679567.5675675678</v>
      </c>
    </row>
    <row r="11" spans="1:178" s="757" customFormat="1" x14ac:dyDescent="0.3">
      <c r="A11" s="751" t="s">
        <v>465</v>
      </c>
      <c r="B11" s="750">
        <f>572837.837837838*9.25</f>
        <v>5298750.0000000009</v>
      </c>
      <c r="C11" s="751"/>
      <c r="D11" s="752"/>
      <c r="E11" s="751"/>
      <c r="F11" s="752"/>
      <c r="G11" s="752"/>
      <c r="H11" s="752"/>
      <c r="I11" s="752"/>
      <c r="J11" s="752"/>
      <c r="K11" s="753"/>
      <c r="L11" s="753"/>
      <c r="M11" s="753"/>
      <c r="N11" s="753"/>
      <c r="O11" s="753"/>
      <c r="P11" s="753"/>
      <c r="Q11" s="753">
        <f>+$B$11*0.2</f>
        <v>1059750.0000000002</v>
      </c>
      <c r="R11" s="753">
        <f>+$B$11*0.8</f>
        <v>4239000.0000000009</v>
      </c>
      <c r="S11" s="753"/>
      <c r="T11" s="753"/>
      <c r="U11" s="753"/>
      <c r="V11" s="753"/>
      <c r="W11" s="753"/>
      <c r="X11" s="753"/>
      <c r="Y11" s="753"/>
      <c r="Z11" s="753"/>
      <c r="AA11" s="754">
        <f t="shared" si="2"/>
        <v>5298750.0000000009</v>
      </c>
      <c r="AB11" s="755">
        <v>572837.83783783799</v>
      </c>
      <c r="AC11" s="756">
        <f t="shared" si="1"/>
        <v>1</v>
      </c>
      <c r="AD11" s="727">
        <f t="shared" si="3"/>
        <v>0</v>
      </c>
      <c r="AE11" s="758">
        <f t="shared" si="4"/>
        <v>572837.83783783799</v>
      </c>
      <c r="AF11" s="758">
        <f t="shared" si="5"/>
        <v>0</v>
      </c>
      <c r="AG11" s="758"/>
      <c r="AH11" s="758"/>
      <c r="AI11" s="758"/>
      <c r="AJ11" s="758"/>
      <c r="AK11" s="758"/>
      <c r="AL11" s="758"/>
      <c r="AM11" s="758"/>
      <c r="AN11" s="758"/>
      <c r="AO11" s="758"/>
      <c r="AP11" s="758"/>
      <c r="AQ11" s="758"/>
      <c r="AR11" s="758"/>
      <c r="AS11" s="758"/>
      <c r="AT11" s="758"/>
      <c r="AU11" s="758"/>
      <c r="AV11" s="758"/>
      <c r="AW11" s="758"/>
      <c r="AX11" s="758"/>
      <c r="AY11" s="758"/>
      <c r="AZ11" s="758"/>
      <c r="BA11" s="758"/>
      <c r="BB11" s="758"/>
      <c r="BC11" s="758"/>
      <c r="BD11" s="758"/>
      <c r="BE11" s="758"/>
      <c r="BF11" s="758"/>
      <c r="BG11" s="758"/>
      <c r="BH11" s="758"/>
      <c r="BI11" s="758"/>
      <c r="BJ11" s="758"/>
      <c r="BK11" s="758"/>
      <c r="BL11" s="758"/>
      <c r="BM11" s="758"/>
      <c r="BN11" s="758"/>
      <c r="BO11" s="758"/>
      <c r="BP11" s="758"/>
      <c r="BQ11" s="758"/>
      <c r="BR11" s="758"/>
      <c r="BS11" s="758"/>
      <c r="BT11" s="758"/>
      <c r="BU11" s="758"/>
      <c r="BV11" s="758"/>
      <c r="BW11" s="758"/>
      <c r="BX11" s="758"/>
      <c r="BY11" s="758"/>
      <c r="BZ11" s="758"/>
      <c r="CA11" s="758"/>
      <c r="CB11" s="758"/>
      <c r="CC11" s="758"/>
      <c r="CD11" s="758"/>
      <c r="CE11" s="758"/>
      <c r="CF11" s="758"/>
      <c r="CG11" s="758"/>
      <c r="CH11" s="758"/>
      <c r="CI11" s="758"/>
      <c r="CJ11" s="758"/>
      <c r="CK11" s="758"/>
      <c r="CL11" s="758"/>
      <c r="CM11" s="758"/>
      <c r="CN11" s="758"/>
      <c r="CO11" s="758"/>
      <c r="CP11" s="758"/>
      <c r="CQ11" s="758"/>
      <c r="CR11" s="758"/>
      <c r="CS11" s="758"/>
      <c r="CT11" s="758"/>
      <c r="CU11" s="758"/>
      <c r="CV11" s="758"/>
      <c r="CW11" s="758"/>
      <c r="CX11" s="758"/>
      <c r="CY11" s="758"/>
      <c r="CZ11" s="758"/>
      <c r="DA11" s="758"/>
      <c r="DB11" s="758"/>
      <c r="DC11" s="758"/>
      <c r="DD11" s="758"/>
      <c r="DE11" s="758"/>
      <c r="DF11" s="758"/>
      <c r="DG11" s="758"/>
      <c r="DH11" s="758"/>
      <c r="DI11" s="758"/>
      <c r="DJ11" s="758"/>
      <c r="DK11" s="758"/>
      <c r="DL11" s="758"/>
      <c r="DM11" s="758"/>
      <c r="DN11" s="758"/>
      <c r="DO11" s="758"/>
      <c r="DP11" s="758"/>
      <c r="DQ11" s="758"/>
      <c r="DR11" s="758"/>
      <c r="DS11" s="758"/>
      <c r="DT11" s="758"/>
      <c r="DU11" s="758"/>
      <c r="DV11" s="758"/>
      <c r="DW11" s="758"/>
      <c r="DX11" s="758"/>
      <c r="DY11" s="758"/>
      <c r="DZ11" s="758"/>
      <c r="EA11" s="758"/>
      <c r="EB11" s="758"/>
      <c r="EC11" s="758"/>
      <c r="ED11" s="758"/>
      <c r="EE11" s="758"/>
      <c r="EF11" s="758"/>
      <c r="EG11" s="758"/>
      <c r="EH11" s="758"/>
      <c r="EI11" s="758"/>
      <c r="EJ11" s="758"/>
      <c r="EK11" s="758"/>
      <c r="EL11" s="758"/>
      <c r="EM11" s="758"/>
      <c r="EN11" s="758"/>
      <c r="EO11" s="758"/>
      <c r="EP11" s="758"/>
      <c r="EQ11" s="758"/>
      <c r="ER11" s="758"/>
      <c r="ES11" s="758"/>
      <c r="ET11" s="758"/>
      <c r="EU11" s="758"/>
      <c r="EV11" s="758"/>
      <c r="EW11" s="758"/>
      <c r="EX11" s="758"/>
      <c r="EY11" s="758"/>
      <c r="EZ11" s="758"/>
      <c r="FA11" s="758"/>
      <c r="FB11" s="758"/>
      <c r="FC11" s="758"/>
      <c r="FD11" s="758"/>
      <c r="FE11" s="758"/>
      <c r="FF11" s="758"/>
      <c r="FG11" s="758"/>
      <c r="FH11" s="758"/>
      <c r="FI11" s="758"/>
      <c r="FJ11" s="758"/>
      <c r="FK11" s="758"/>
      <c r="FL11" s="758"/>
      <c r="FM11" s="758"/>
      <c r="FN11" s="758"/>
      <c r="FO11" s="758"/>
      <c r="FP11" s="758"/>
      <c r="FQ11" s="758"/>
      <c r="FR11" s="758"/>
      <c r="FS11" s="758"/>
      <c r="FT11" s="758"/>
      <c r="FU11" s="758"/>
      <c r="FV11" s="758"/>
    </row>
    <row r="12" spans="1:178" x14ac:dyDescent="0.3">
      <c r="A12" s="728" t="s">
        <v>312</v>
      </c>
      <c r="B12" s="729">
        <f>+('[1]Datos Proyectos (2)'!L42+'[1]Datos Proyectos (2)'!L43+'[1]Datos Proyectos (2)'!L44)*0.9</f>
        <v>71535268.049509719</v>
      </c>
      <c r="C12" s="730"/>
      <c r="D12" s="731"/>
      <c r="E12" s="730"/>
      <c r="F12" s="731"/>
      <c r="G12" s="732"/>
      <c r="H12" s="731"/>
      <c r="I12" s="732"/>
      <c r="J12" s="731"/>
      <c r="K12" s="732"/>
      <c r="L12" s="731"/>
      <c r="M12" s="733">
        <f>+$B$12*K3*0.2</f>
        <v>1030107.85991294</v>
      </c>
      <c r="N12" s="734">
        <f>+$B$12*K3*0.8</f>
        <v>4120431.4396517598</v>
      </c>
      <c r="O12" s="733">
        <f>+$B$12*M3*0.2</f>
        <v>1259020.7176713713</v>
      </c>
      <c r="P12" s="734">
        <f>+$B$12*M3*0.8</f>
        <v>5036082.8706854852</v>
      </c>
      <c r="Q12" s="733">
        <f>+$B$12*O3*0.2</f>
        <v>1602390.0043090181</v>
      </c>
      <c r="R12" s="734">
        <f>+$B$12*O3*0.8</f>
        <v>6409560.0172360726</v>
      </c>
      <c r="S12" s="733">
        <f>+$B$12*Q3*0.2</f>
        <v>1144564.2887921557</v>
      </c>
      <c r="T12" s="734">
        <f>+$B$12*Q3*0.8</f>
        <v>4578257.1551686227</v>
      </c>
      <c r="U12" s="733">
        <f>+$B$12*S3*0.2</f>
        <v>1144564.2887921557</v>
      </c>
      <c r="V12" s="734">
        <f>+$B$12*S3*0.8</f>
        <v>4578257.1551686227</v>
      </c>
      <c r="W12" s="733">
        <f>+$B$12*U3*0.2</f>
        <v>1144564.2887921557</v>
      </c>
      <c r="X12" s="734">
        <f>+$B$12*U3*0.8</f>
        <v>4578257.1551686227</v>
      </c>
      <c r="Y12" s="733">
        <f>+$B$12*W3*0.2</f>
        <v>1030107.85991294</v>
      </c>
      <c r="Z12" s="734">
        <f>+$B$12*W3*0.8</f>
        <v>4120431.4396517598</v>
      </c>
      <c r="AA12" s="735">
        <f t="shared" si="2"/>
        <v>41776596.540913679</v>
      </c>
      <c r="AB12" s="748">
        <v>4516388.8152339114</v>
      </c>
      <c r="AC12" s="736">
        <f t="shared" si="1"/>
        <v>0.58400000000000007</v>
      </c>
      <c r="AD12" s="727">
        <f t="shared" si="3"/>
        <v>0.41599999999999993</v>
      </c>
      <c r="AE12" s="758">
        <f t="shared" si="4"/>
        <v>7733542.4918388883</v>
      </c>
      <c r="AF12" s="758">
        <f t="shared" si="5"/>
        <v>3217153.6766049769</v>
      </c>
    </row>
    <row r="13" spans="1:178" x14ac:dyDescent="0.3">
      <c r="A13" s="751" t="s">
        <v>459</v>
      </c>
      <c r="B13" s="750">
        <f>+('[1]Datos Proyectos (2)'!L45)*0.9</f>
        <v>10435419.510607854</v>
      </c>
      <c r="C13" s="751"/>
      <c r="D13" s="752"/>
      <c r="E13" s="751"/>
      <c r="F13" s="752"/>
      <c r="G13" s="752"/>
      <c r="H13" s="752"/>
      <c r="I13" s="752"/>
      <c r="J13" s="752"/>
      <c r="K13" s="752"/>
      <c r="L13" s="752"/>
      <c r="M13" s="753"/>
      <c r="N13" s="753"/>
      <c r="O13" s="753"/>
      <c r="P13" s="753"/>
      <c r="Q13" s="753"/>
      <c r="R13" s="753"/>
      <c r="S13" s="753"/>
      <c r="T13" s="753"/>
      <c r="U13" s="753"/>
      <c r="V13" s="753"/>
      <c r="W13" s="753"/>
      <c r="X13" s="753"/>
      <c r="Y13" s="753">
        <f>+B13*0.2</f>
        <v>2087083.9021215709</v>
      </c>
      <c r="Z13" s="753">
        <f>+B13*0.8</f>
        <v>8348335.6084862836</v>
      </c>
      <c r="AA13" s="754">
        <f t="shared" si="2"/>
        <v>10435419.510607854</v>
      </c>
      <c r="AB13" s="755">
        <v>1128153.46060625</v>
      </c>
      <c r="AC13" s="756">
        <f t="shared" si="1"/>
        <v>1</v>
      </c>
      <c r="AD13" s="727">
        <f t="shared" si="3"/>
        <v>0</v>
      </c>
      <c r="AE13" s="758">
        <f t="shared" si="4"/>
        <v>1128153.4606062544</v>
      </c>
      <c r="AF13" s="758">
        <f t="shared" si="5"/>
        <v>0</v>
      </c>
    </row>
    <row r="14" spans="1:178" x14ac:dyDescent="0.3">
      <c r="A14" s="728" t="s">
        <v>460</v>
      </c>
      <c r="B14" s="729">
        <f>+('[1]Datos Proyectos (2)'!L27+'[1]Datos Proyectos (2)'!L28+'[1]Datos Proyectos (2)'!L29+'[1]Datos Proyectos (2)'!L30)*0.9</f>
        <v>66847841.223640151</v>
      </c>
      <c r="C14" s="730"/>
      <c r="D14" s="731"/>
      <c r="E14" s="730"/>
      <c r="F14" s="731"/>
      <c r="G14" s="732"/>
      <c r="H14" s="731"/>
      <c r="I14" s="732"/>
      <c r="J14" s="731"/>
      <c r="K14" s="732"/>
      <c r="L14" s="731"/>
      <c r="M14" s="733">
        <f>+$B$14*K3*0.2</f>
        <v>962608.91362041817</v>
      </c>
      <c r="N14" s="734">
        <f>+$B$14*K3*0.8</f>
        <v>3850435.6544816727</v>
      </c>
      <c r="O14" s="733">
        <f>+$B$14*M3*0.2</f>
        <v>1176522.0055360668</v>
      </c>
      <c r="P14" s="734">
        <f>+$B$14*M3*0.8</f>
        <v>4706088.0221442673</v>
      </c>
      <c r="Q14" s="733">
        <f>+$B$14*O3*0.2</f>
        <v>1497391.6434095397</v>
      </c>
      <c r="R14" s="734">
        <f>+$B$14*O3*0.8</f>
        <v>5989566.5736381589</v>
      </c>
      <c r="S14" s="733">
        <f>+$B$14*Q3*0.2</f>
        <v>1069565.4595782429</v>
      </c>
      <c r="T14" s="734">
        <f>+$B$14*Q3*0.8</f>
        <v>4278261.8383129714</v>
      </c>
      <c r="U14" s="733">
        <f>+$B$14*S3*0.2</f>
        <v>1069565.4595782429</v>
      </c>
      <c r="V14" s="734">
        <f>+$B$14*S3*0.8</f>
        <v>4278261.8383129714</v>
      </c>
      <c r="W14" s="733">
        <f>+$B$14*U3*0.2</f>
        <v>1069565.4595782429</v>
      </c>
      <c r="X14" s="734">
        <f>+$B$14*U3*0.8</f>
        <v>4278261.8383129714</v>
      </c>
      <c r="Y14" s="733">
        <f>+$B$14*W3*0.2</f>
        <v>962608.91362041817</v>
      </c>
      <c r="Z14" s="734">
        <f>+$B$14*W3*0.8</f>
        <v>3850435.6544816727</v>
      </c>
      <c r="AA14" s="735">
        <f t="shared" si="2"/>
        <v>39039139.274605855</v>
      </c>
      <c r="AB14" s="748">
        <v>4220447.4891465791</v>
      </c>
      <c r="AC14" s="736">
        <f t="shared" si="1"/>
        <v>0.58400000000000007</v>
      </c>
      <c r="AD14" s="727">
        <f t="shared" si="3"/>
        <v>0.41599999999999993</v>
      </c>
      <c r="AE14" s="758">
        <f t="shared" si="4"/>
        <v>7226793.6457989356</v>
      </c>
      <c r="AF14" s="758">
        <f t="shared" si="5"/>
        <v>3006346.1566523565</v>
      </c>
    </row>
    <row r="15" spans="1:178" x14ac:dyDescent="0.3">
      <c r="A15" s="751" t="s">
        <v>461</v>
      </c>
      <c r="B15" s="750">
        <f>+('[1]Datos Proyectos (2)'!L31)*0.9</f>
        <v>1816737.0691258656</v>
      </c>
      <c r="C15" s="751"/>
      <c r="D15" s="752"/>
      <c r="E15" s="751"/>
      <c r="F15" s="752"/>
      <c r="G15" s="752"/>
      <c r="H15" s="752"/>
      <c r="I15" s="752"/>
      <c r="J15" s="752"/>
      <c r="K15" s="752"/>
      <c r="L15" s="752"/>
      <c r="M15" s="753"/>
      <c r="N15" s="753"/>
      <c r="O15" s="753"/>
      <c r="P15" s="753"/>
      <c r="Q15" s="753"/>
      <c r="R15" s="753"/>
      <c r="S15" s="753"/>
      <c r="T15" s="753"/>
      <c r="U15" s="753"/>
      <c r="V15" s="753"/>
      <c r="W15" s="753"/>
      <c r="X15" s="753"/>
      <c r="Y15" s="753">
        <f>+B15*0.2</f>
        <v>363347.41382517316</v>
      </c>
      <c r="Z15" s="753">
        <f>+B15*0.8</f>
        <v>1453389.6553006927</v>
      </c>
      <c r="AA15" s="754">
        <f t="shared" si="2"/>
        <v>1816737.0691258658</v>
      </c>
      <c r="AB15" s="755">
        <v>196404.00747306657</v>
      </c>
      <c r="AC15" s="756">
        <f t="shared" si="1"/>
        <v>1.0000000000000002</v>
      </c>
      <c r="AD15" s="727">
        <f t="shared" si="3"/>
        <v>0</v>
      </c>
      <c r="AE15" s="758">
        <f t="shared" si="4"/>
        <v>196404.00747306654</v>
      </c>
      <c r="AF15" s="758">
        <f t="shared" si="5"/>
        <v>0</v>
      </c>
    </row>
    <row r="16" spans="1:178" x14ac:dyDescent="0.3">
      <c r="A16" s="728" t="s">
        <v>462</v>
      </c>
      <c r="B16" s="729">
        <f>+('[1]Datos Proyectos (2)'!L61+'[1]Datos Proyectos (2)'!L62)*0.9</f>
        <v>116550000</v>
      </c>
      <c r="C16" s="730"/>
      <c r="D16" s="731"/>
      <c r="E16" s="730"/>
      <c r="F16" s="731"/>
      <c r="G16" s="732"/>
      <c r="H16" s="731"/>
      <c r="I16" s="732"/>
      <c r="J16" s="731"/>
      <c r="K16" s="732"/>
      <c r="L16" s="731"/>
      <c r="M16" s="732"/>
      <c r="N16" s="731"/>
      <c r="O16" s="732"/>
      <c r="P16" s="731"/>
      <c r="Q16" s="732"/>
      <c r="R16" s="731"/>
      <c r="S16" s="732"/>
      <c r="T16" s="731"/>
      <c r="U16" s="732"/>
      <c r="V16" s="731"/>
      <c r="W16" s="732"/>
      <c r="X16" s="731"/>
      <c r="Y16" s="733">
        <f>+$B$16*E3*0.2</f>
        <v>2331000</v>
      </c>
      <c r="Z16" s="737">
        <f>+$B$16*E3*0.8</f>
        <v>9324000</v>
      </c>
      <c r="AA16" s="735">
        <f t="shared" si="2"/>
        <v>11655000</v>
      </c>
      <c r="AB16" s="748">
        <v>1260000</v>
      </c>
      <c r="AC16" s="736">
        <f t="shared" si="1"/>
        <v>0.1</v>
      </c>
      <c r="AD16" s="727">
        <f t="shared" si="3"/>
        <v>0.9</v>
      </c>
      <c r="AE16" s="758">
        <f t="shared" si="4"/>
        <v>12600000</v>
      </c>
      <c r="AF16" s="758">
        <f t="shared" si="5"/>
        <v>11340000</v>
      </c>
    </row>
    <row r="17" spans="1:32" x14ac:dyDescent="0.3">
      <c r="A17" s="728" t="s">
        <v>463</v>
      </c>
      <c r="B17" s="729">
        <f>+('[1]Datos Proyectos (2)'!L59+'[1]Datos Proyectos (2)'!L60)*0.9</f>
        <v>43373250</v>
      </c>
      <c r="C17" s="730"/>
      <c r="D17" s="731"/>
      <c r="E17" s="730"/>
      <c r="F17" s="731"/>
      <c r="G17" s="732"/>
      <c r="H17" s="731"/>
      <c r="I17" s="732"/>
      <c r="J17" s="731"/>
      <c r="K17" s="732"/>
      <c r="L17" s="731"/>
      <c r="M17" s="732"/>
      <c r="N17" s="731"/>
      <c r="O17" s="732"/>
      <c r="P17" s="731"/>
      <c r="Q17" s="732"/>
      <c r="R17" s="731"/>
      <c r="S17" s="732"/>
      <c r="T17" s="731"/>
      <c r="U17" s="732"/>
      <c r="V17" s="731"/>
      <c r="W17" s="732"/>
      <c r="X17" s="731"/>
      <c r="Y17" s="733">
        <f>+$B$17*E3*0.2</f>
        <v>867465</v>
      </c>
      <c r="Z17" s="737">
        <f>+$B$17*E3*0.8</f>
        <v>3469860</v>
      </c>
      <c r="AA17" s="735">
        <f t="shared" si="2"/>
        <v>4337325</v>
      </c>
      <c r="AB17" s="748">
        <v>468900</v>
      </c>
      <c r="AC17" s="736">
        <f t="shared" si="1"/>
        <v>0.1</v>
      </c>
      <c r="AD17" s="727">
        <f t="shared" si="3"/>
        <v>0.9</v>
      </c>
      <c r="AE17" s="758">
        <f t="shared" si="4"/>
        <v>4689000</v>
      </c>
      <c r="AF17" s="758">
        <f t="shared" si="5"/>
        <v>4220100</v>
      </c>
    </row>
    <row r="18" spans="1:32" x14ac:dyDescent="0.3">
      <c r="A18" s="728" t="s">
        <v>374</v>
      </c>
      <c r="B18" s="729">
        <f>+('[1]Datos Proyectos (2)'!L64)*0.9</f>
        <v>4995000</v>
      </c>
      <c r="C18" s="730"/>
      <c r="D18" s="731"/>
      <c r="E18" s="730"/>
      <c r="F18" s="731"/>
      <c r="G18" s="732"/>
      <c r="H18" s="731"/>
      <c r="I18" s="732"/>
      <c r="J18" s="731"/>
      <c r="K18" s="732"/>
      <c r="L18" s="731"/>
      <c r="M18" s="732"/>
      <c r="N18" s="731"/>
      <c r="O18" s="732"/>
      <c r="P18" s="731"/>
      <c r="Q18" s="732"/>
      <c r="R18" s="731"/>
      <c r="S18" s="732"/>
      <c r="T18" s="731"/>
      <c r="U18" s="732"/>
      <c r="V18" s="731"/>
      <c r="W18" s="732"/>
      <c r="X18" s="731"/>
      <c r="Y18" s="733">
        <f>+$B$18*E3*0.2</f>
        <v>99900</v>
      </c>
      <c r="Z18" s="737">
        <f>+$B$18*E3*0.8</f>
        <v>399600</v>
      </c>
      <c r="AA18" s="735">
        <f t="shared" si="2"/>
        <v>499500</v>
      </c>
      <c r="AB18" s="748">
        <v>54000</v>
      </c>
      <c r="AC18" s="736">
        <f t="shared" si="1"/>
        <v>0.1</v>
      </c>
      <c r="AD18" s="727">
        <f t="shared" si="3"/>
        <v>0.9</v>
      </c>
      <c r="AE18" s="758">
        <f t="shared" si="4"/>
        <v>540000</v>
      </c>
      <c r="AF18" s="758">
        <f t="shared" si="5"/>
        <v>486000</v>
      </c>
    </row>
    <row r="19" spans="1:32" ht="15" thickBot="1" x14ac:dyDescent="0.35">
      <c r="A19" s="738" t="s">
        <v>326</v>
      </c>
      <c r="B19" s="739">
        <f>+('[1]Datos Proyectos (2)'!L63)*0.9</f>
        <v>23976000</v>
      </c>
      <c r="C19" s="740"/>
      <c r="D19" s="741"/>
      <c r="E19" s="740"/>
      <c r="F19" s="741"/>
      <c r="G19" s="742"/>
      <c r="H19" s="741"/>
      <c r="I19" s="742"/>
      <c r="J19" s="741"/>
      <c r="K19" s="742"/>
      <c r="L19" s="741"/>
      <c r="M19" s="742"/>
      <c r="N19" s="741"/>
      <c r="O19" s="742"/>
      <c r="P19" s="741"/>
      <c r="Q19" s="742"/>
      <c r="R19" s="741"/>
      <c r="S19" s="742"/>
      <c r="T19" s="741"/>
      <c r="U19" s="742"/>
      <c r="V19" s="741"/>
      <c r="W19" s="742"/>
      <c r="X19" s="741"/>
      <c r="Y19" s="743">
        <f>+$B$19*E3*0.2</f>
        <v>479520</v>
      </c>
      <c r="Z19" s="744">
        <f>+$B$19*E3*0.8</f>
        <v>1918080</v>
      </c>
      <c r="AA19" s="745">
        <f t="shared" si="2"/>
        <v>2397600</v>
      </c>
      <c r="AB19" s="749">
        <v>259200</v>
      </c>
      <c r="AC19" s="746">
        <f t="shared" si="1"/>
        <v>0.1</v>
      </c>
      <c r="AD19" s="727">
        <f t="shared" si="3"/>
        <v>0.9</v>
      </c>
      <c r="AE19" s="758">
        <f t="shared" si="4"/>
        <v>2592000</v>
      </c>
      <c r="AF19" s="758">
        <f t="shared" si="5"/>
        <v>2332800</v>
      </c>
    </row>
    <row r="20" spans="1:32" x14ac:dyDescent="0.3">
      <c r="B20" s="761">
        <f>+SUM(B7:B19)</f>
        <v>628732827.55288363</v>
      </c>
      <c r="AB20" s="760">
        <f>SUM(AB7:AB19)</f>
        <v>35347963.361648999</v>
      </c>
      <c r="AC20" s="747"/>
      <c r="AF20" s="758">
        <f>+SUM(AF7:AF19)</f>
        <v>32623153.130554631</v>
      </c>
    </row>
    <row r="21" spans="1:32" x14ac:dyDescent="0.3">
      <c r="B21" s="761">
        <f>+B20/9.25</f>
        <v>67971116.492203638</v>
      </c>
      <c r="AC21" s="747"/>
    </row>
    <row r="22" spans="1:32" x14ac:dyDescent="0.3">
      <c r="B22" s="761"/>
      <c r="AC22" s="747"/>
    </row>
  </sheetData>
  <mergeCells count="40">
    <mergeCell ref="AD5:AD6"/>
    <mergeCell ref="S5:T5"/>
    <mergeCell ref="U5:V5"/>
    <mergeCell ref="W5:X5"/>
    <mergeCell ref="Y5:Z5"/>
    <mergeCell ref="AA5:AA6"/>
    <mergeCell ref="AC5:AC6"/>
    <mergeCell ref="AB5:AB6"/>
    <mergeCell ref="Y3:Z3"/>
    <mergeCell ref="A5:B6"/>
    <mergeCell ref="C5:D5"/>
    <mergeCell ref="E5:F5"/>
    <mergeCell ref="G5:H5"/>
    <mergeCell ref="I5:J5"/>
    <mergeCell ref="K5:L5"/>
    <mergeCell ref="M5:N5"/>
    <mergeCell ref="O5:P5"/>
    <mergeCell ref="Q5:R5"/>
    <mergeCell ref="M3:N3"/>
    <mergeCell ref="O3:P3"/>
    <mergeCell ref="Q3:R3"/>
    <mergeCell ref="S3:T3"/>
    <mergeCell ref="U3:V3"/>
    <mergeCell ref="W3:X3"/>
    <mergeCell ref="Q2:R2"/>
    <mergeCell ref="S2:T2"/>
    <mergeCell ref="U2:V2"/>
    <mergeCell ref="W2:X2"/>
    <mergeCell ref="Y2:Z2"/>
    <mergeCell ref="B3:D3"/>
    <mergeCell ref="E3:F3"/>
    <mergeCell ref="G3:H3"/>
    <mergeCell ref="I3:J3"/>
    <mergeCell ref="K3:L3"/>
    <mergeCell ref="O2:P2"/>
    <mergeCell ref="B2:F2"/>
    <mergeCell ref="G2:H2"/>
    <mergeCell ref="I2:J2"/>
    <mergeCell ref="K2:L2"/>
    <mergeCell ref="M2:N2"/>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T63"/>
  <sheetViews>
    <sheetView showGridLines="0" tabSelected="1" zoomScale="77" zoomScaleNormal="77" workbookViewId="0">
      <pane xSplit="4" ySplit="8" topLeftCell="E9" activePane="bottomRight" state="frozen"/>
      <selection activeCell="A6" sqref="A6"/>
      <selection pane="topRight" activeCell="E6" sqref="E6"/>
      <selection pane="bottomLeft" activeCell="A9" sqref="A9"/>
      <selection pane="bottomRight" activeCell="G9" sqref="G9"/>
    </sheetView>
  </sheetViews>
  <sheetFormatPr defaultColWidth="11.44140625" defaultRowHeight="14.4" x14ac:dyDescent="0.3"/>
  <cols>
    <col min="1" max="1" width="62.109375" style="762" customWidth="1"/>
    <col min="2" max="2" width="9.88671875" style="763" hidden="1" customWidth="1"/>
    <col min="3" max="3" width="10.6640625" style="762" hidden="1" customWidth="1"/>
    <col min="4" max="4" width="4.33203125" style="762" hidden="1" customWidth="1"/>
    <col min="5" max="5" width="22.5546875" style="762" bestFit="1" customWidth="1"/>
    <col min="6" max="6" width="8.33203125" style="762" bestFit="1" customWidth="1"/>
    <col min="7" max="7" width="21" style="762" bestFit="1" customWidth="1"/>
    <col min="8" max="9" width="21" style="762" customWidth="1"/>
    <col min="10" max="10" width="21" style="762" bestFit="1" customWidth="1"/>
    <col min="11" max="11" width="22.5546875" style="762" bestFit="1" customWidth="1"/>
    <col min="12" max="13" width="20.44140625" style="762" hidden="1" customWidth="1"/>
    <col min="14" max="14" width="11.44140625" style="762" hidden="1" customWidth="1"/>
    <col min="15" max="15" width="19.5546875" style="762" bestFit="1" customWidth="1"/>
    <col min="16" max="16" width="21" style="762" bestFit="1" customWidth="1"/>
    <col min="17" max="28" width="19.5546875" style="762" customWidth="1"/>
    <col min="29" max="29" width="21" style="762" customWidth="1"/>
    <col min="30" max="30" width="21" style="766" bestFit="1" customWidth="1"/>
    <col min="31" max="31" width="19.5546875" style="766" customWidth="1"/>
    <col min="32" max="32" width="21" style="766" bestFit="1" customWidth="1"/>
    <col min="33" max="33" width="19.5546875" style="766" customWidth="1"/>
    <col min="34" max="34" width="21" style="766" bestFit="1" customWidth="1"/>
    <col min="35" max="35" width="18.44140625" style="766" customWidth="1"/>
    <col min="36" max="36" width="21" style="766" bestFit="1" customWidth="1"/>
    <col min="37" max="37" width="19.5546875" style="766" customWidth="1"/>
    <col min="38" max="38" width="21" style="766" bestFit="1" customWidth="1"/>
    <col min="39" max="39" width="20.6640625" style="766" customWidth="1"/>
    <col min="40" max="40" width="21" style="766" bestFit="1" customWidth="1"/>
    <col min="41" max="41" width="19.109375" style="762" customWidth="1"/>
    <col min="42" max="42" width="13.88671875" style="762" bestFit="1" customWidth="1"/>
    <col min="43" max="43" width="16.109375" style="762" bestFit="1" customWidth="1"/>
    <col min="44" max="16384" width="11.44140625" style="762"/>
  </cols>
  <sheetData>
    <row r="1" spans="1:43" x14ac:dyDescent="0.3">
      <c r="F1" s="764"/>
      <c r="G1" s="765"/>
      <c r="H1" s="765"/>
      <c r="I1" s="765"/>
    </row>
    <row r="2" spans="1:43" ht="22.8" x14ac:dyDescent="0.4">
      <c r="A2" s="767" t="s">
        <v>376</v>
      </c>
      <c r="E2" s="768"/>
      <c r="F2" s="768"/>
      <c r="Q2" s="762" t="s">
        <v>408</v>
      </c>
    </row>
    <row r="3" spans="1:43" ht="15.6" x14ac:dyDescent="0.3">
      <c r="A3" s="769" t="s">
        <v>469</v>
      </c>
      <c r="E3" s="770"/>
      <c r="G3" s="768"/>
      <c r="H3" s="768"/>
      <c r="I3" s="768"/>
      <c r="J3" s="768"/>
      <c r="K3" s="768"/>
      <c r="Q3" s="762" t="s">
        <v>409</v>
      </c>
      <c r="AD3" s="771"/>
      <c r="AE3" s="771"/>
    </row>
    <row r="4" spans="1:43" ht="23.25" customHeight="1" x14ac:dyDescent="0.35">
      <c r="A4" s="769" t="s">
        <v>468</v>
      </c>
      <c r="C4" s="772" t="s">
        <v>377</v>
      </c>
      <c r="E4" s="773"/>
      <c r="G4" s="770"/>
      <c r="K4" s="774" t="s">
        <v>378</v>
      </c>
      <c r="L4" s="775"/>
      <c r="M4" s="775"/>
      <c r="N4" s="775"/>
      <c r="O4" s="776">
        <v>16</v>
      </c>
      <c r="AD4" s="771"/>
      <c r="AE4" s="771"/>
    </row>
    <row r="5" spans="1:43" ht="15.6" x14ac:dyDescent="0.3">
      <c r="A5" s="777"/>
      <c r="E5" s="768"/>
      <c r="K5" s="778"/>
      <c r="O5" s="779"/>
      <c r="AB5" s="882"/>
      <c r="AD5" s="780"/>
      <c r="AE5" s="780"/>
      <c r="AF5" s="780"/>
      <c r="AG5" s="780"/>
      <c r="AH5" s="780"/>
      <c r="AI5" s="780"/>
      <c r="AJ5" s="780"/>
      <c r="AK5" s="780"/>
      <c r="AL5" s="780"/>
      <c r="AM5" s="780"/>
      <c r="AN5" s="780"/>
    </row>
    <row r="6" spans="1:43" ht="19.5" customHeight="1" x14ac:dyDescent="0.3">
      <c r="A6" s="781" t="s">
        <v>379</v>
      </c>
      <c r="B6" s="1310" t="s">
        <v>646</v>
      </c>
      <c r="C6" s="1310"/>
      <c r="D6" s="1310"/>
      <c r="E6" s="1310"/>
      <c r="F6" s="1310"/>
      <c r="G6" s="1310"/>
      <c r="H6" s="1314" t="s">
        <v>637</v>
      </c>
      <c r="I6" s="1315"/>
      <c r="J6" s="1310" t="s">
        <v>380</v>
      </c>
      <c r="K6" s="1310"/>
      <c r="L6" s="1316" t="s">
        <v>381</v>
      </c>
      <c r="M6" s="1316"/>
      <c r="N6" s="1316"/>
      <c r="O6" s="1310" t="s">
        <v>382</v>
      </c>
      <c r="P6" s="1310"/>
      <c r="Q6" s="803"/>
      <c r="R6" s="803"/>
      <c r="S6" s="803"/>
      <c r="T6" s="803"/>
      <c r="U6" s="803"/>
      <c r="V6" s="803"/>
      <c r="W6" s="803"/>
      <c r="X6" s="803"/>
      <c r="Y6" s="803"/>
      <c r="Z6" s="803"/>
      <c r="AA6" s="803"/>
      <c r="AB6" s="803"/>
      <c r="AC6" s="803"/>
      <c r="AD6" s="1311" t="s">
        <v>383</v>
      </c>
      <c r="AE6" s="1311"/>
      <c r="AF6" s="1311"/>
      <c r="AG6" s="1311"/>
      <c r="AH6" s="1311"/>
      <c r="AI6" s="1311"/>
      <c r="AJ6" s="1311"/>
      <c r="AK6" s="1311"/>
      <c r="AL6" s="1311"/>
      <c r="AM6" s="1311"/>
      <c r="AN6" s="1311"/>
    </row>
    <row r="7" spans="1:43" s="782" customFormat="1" ht="31.5" customHeight="1" x14ac:dyDescent="0.25">
      <c r="A7" s="1312" t="s">
        <v>384</v>
      </c>
      <c r="B7" s="1320" t="s">
        <v>385</v>
      </c>
      <c r="C7" s="805" t="s">
        <v>386</v>
      </c>
      <c r="D7" s="805" t="s">
        <v>387</v>
      </c>
      <c r="E7" s="1312" t="s">
        <v>388</v>
      </c>
      <c r="F7" s="1312" t="s">
        <v>389</v>
      </c>
      <c r="G7" s="1312" t="s">
        <v>390</v>
      </c>
      <c r="H7" s="1312" t="s">
        <v>388</v>
      </c>
      <c r="I7" s="1312" t="s">
        <v>390</v>
      </c>
      <c r="J7" s="1312" t="s">
        <v>391</v>
      </c>
      <c r="K7" s="1312" t="s">
        <v>392</v>
      </c>
      <c r="L7" s="805" t="s">
        <v>393</v>
      </c>
      <c r="M7" s="805" t="s">
        <v>394</v>
      </c>
      <c r="N7" s="805" t="s">
        <v>395</v>
      </c>
      <c r="O7" s="1312" t="s">
        <v>391</v>
      </c>
      <c r="P7" s="1312" t="s">
        <v>392</v>
      </c>
      <c r="Q7" s="1317" t="s">
        <v>396</v>
      </c>
      <c r="R7" s="1318"/>
      <c r="S7" s="1319" t="s">
        <v>397</v>
      </c>
      <c r="T7" s="1319"/>
      <c r="U7" s="1319" t="s">
        <v>398</v>
      </c>
      <c r="V7" s="1319"/>
      <c r="W7" s="1319" t="s">
        <v>399</v>
      </c>
      <c r="X7" s="1319"/>
      <c r="Y7" s="1319" t="s">
        <v>400</v>
      </c>
      <c r="Z7" s="1319"/>
      <c r="AA7" s="1317" t="s">
        <v>401</v>
      </c>
      <c r="AB7" s="1318"/>
      <c r="AC7" s="1317" t="s">
        <v>402</v>
      </c>
      <c r="AD7" s="1318"/>
      <c r="AE7" s="1317" t="s">
        <v>403</v>
      </c>
      <c r="AF7" s="1318"/>
      <c r="AG7" s="1317" t="s">
        <v>404</v>
      </c>
      <c r="AH7" s="1318"/>
      <c r="AI7" s="1317" t="s">
        <v>405</v>
      </c>
      <c r="AJ7" s="1318"/>
      <c r="AK7" s="1317" t="s">
        <v>406</v>
      </c>
      <c r="AL7" s="1318"/>
      <c r="AM7" s="1317" t="s">
        <v>407</v>
      </c>
      <c r="AN7" s="1318"/>
      <c r="AO7" s="837" t="s">
        <v>503</v>
      </c>
      <c r="AP7" s="836"/>
    </row>
    <row r="8" spans="1:43" s="782" customFormat="1" ht="31.5" customHeight="1" x14ac:dyDescent="0.25">
      <c r="A8" s="1313"/>
      <c r="B8" s="1321"/>
      <c r="C8" s="805"/>
      <c r="D8" s="805"/>
      <c r="E8" s="1313"/>
      <c r="F8" s="1313"/>
      <c r="G8" s="1313"/>
      <c r="H8" s="1313"/>
      <c r="I8" s="1313"/>
      <c r="J8" s="1313"/>
      <c r="K8" s="1313"/>
      <c r="L8" s="805"/>
      <c r="M8" s="805"/>
      <c r="N8" s="805"/>
      <c r="O8" s="1313"/>
      <c r="P8" s="1313"/>
      <c r="Q8" s="805" t="s">
        <v>408</v>
      </c>
      <c r="R8" s="805" t="s">
        <v>409</v>
      </c>
      <c r="S8" s="804" t="s">
        <v>408</v>
      </c>
      <c r="T8" s="804" t="s">
        <v>409</v>
      </c>
      <c r="U8" s="804" t="s">
        <v>408</v>
      </c>
      <c r="V8" s="804" t="s">
        <v>409</v>
      </c>
      <c r="W8" s="805" t="s">
        <v>408</v>
      </c>
      <c r="X8" s="805" t="s">
        <v>409</v>
      </c>
      <c r="Y8" s="805" t="s">
        <v>408</v>
      </c>
      <c r="Z8" s="805" t="s">
        <v>409</v>
      </c>
      <c r="AA8" s="804" t="s">
        <v>408</v>
      </c>
      <c r="AB8" s="804" t="s">
        <v>409</v>
      </c>
      <c r="AC8" s="805" t="s">
        <v>408</v>
      </c>
      <c r="AD8" s="805" t="s">
        <v>409</v>
      </c>
      <c r="AE8" s="805" t="s">
        <v>408</v>
      </c>
      <c r="AF8" s="805" t="s">
        <v>409</v>
      </c>
      <c r="AG8" s="805" t="s">
        <v>408</v>
      </c>
      <c r="AH8" s="805" t="s">
        <v>409</v>
      </c>
      <c r="AI8" s="805" t="s">
        <v>408</v>
      </c>
      <c r="AJ8" s="805" t="s">
        <v>409</v>
      </c>
      <c r="AK8" s="805" t="s">
        <v>408</v>
      </c>
      <c r="AL8" s="805" t="s">
        <v>409</v>
      </c>
      <c r="AM8" s="805" t="s">
        <v>408</v>
      </c>
      <c r="AN8" s="805" t="s">
        <v>409</v>
      </c>
      <c r="AO8" s="838"/>
    </row>
    <row r="9" spans="1:43" ht="21" customHeight="1" x14ac:dyDescent="0.35">
      <c r="A9" s="783" t="s">
        <v>830</v>
      </c>
      <c r="B9" s="784"/>
      <c r="C9" s="783"/>
      <c r="D9" s="783"/>
      <c r="E9" s="822">
        <f>E22+E10+E15+E19</f>
        <v>454209527.88479996</v>
      </c>
      <c r="F9" s="783"/>
      <c r="G9" s="785">
        <f t="shared" ref="G9:AN9" si="0">G22+G10+G15+G19</f>
        <v>28388095.492799997</v>
      </c>
      <c r="H9" s="785">
        <f t="shared" si="0"/>
        <v>153294053.59999999</v>
      </c>
      <c r="I9" s="785">
        <f t="shared" si="0"/>
        <v>9580878.3499999996</v>
      </c>
      <c r="J9" s="785">
        <f t="shared" si="0"/>
        <v>7053657.5999999996</v>
      </c>
      <c r="K9" s="785">
        <f t="shared" si="0"/>
        <v>146240396</v>
      </c>
      <c r="L9" s="785">
        <f t="shared" si="0"/>
        <v>0</v>
      </c>
      <c r="M9" s="785">
        <f t="shared" si="0"/>
        <v>0</v>
      </c>
      <c r="N9" s="785">
        <f t="shared" si="0"/>
        <v>0</v>
      </c>
      <c r="O9" s="785">
        <f t="shared" si="0"/>
        <v>440853.6</v>
      </c>
      <c r="P9" s="785">
        <f t="shared" si="0"/>
        <v>9140024.75</v>
      </c>
      <c r="Q9" s="785">
        <f t="shared" si="0"/>
        <v>16445.833333333336</v>
      </c>
      <c r="R9" s="785">
        <f t="shared" si="0"/>
        <v>113558.72916666667</v>
      </c>
      <c r="S9" s="785">
        <f t="shared" si="0"/>
        <v>16445.833333333336</v>
      </c>
      <c r="T9" s="785">
        <f t="shared" si="0"/>
        <v>113558.72916666667</v>
      </c>
      <c r="U9" s="785">
        <f t="shared" si="0"/>
        <v>16445.833333333336</v>
      </c>
      <c r="V9" s="785">
        <f t="shared" si="0"/>
        <v>2721558.7291666665</v>
      </c>
      <c r="W9" s="785">
        <f t="shared" si="0"/>
        <v>16445.833333333336</v>
      </c>
      <c r="X9" s="785">
        <f t="shared" si="0"/>
        <v>188808.72916666669</v>
      </c>
      <c r="Y9" s="785">
        <f t="shared" si="0"/>
        <v>16445.833333333336</v>
      </c>
      <c r="Z9" s="785">
        <f t="shared" si="0"/>
        <v>113558.72916666667</v>
      </c>
      <c r="AA9" s="785">
        <f t="shared" si="0"/>
        <v>16445.833333333336</v>
      </c>
      <c r="AB9" s="785">
        <f t="shared" si="0"/>
        <v>495558.72916666669</v>
      </c>
      <c r="AC9" s="785">
        <f t="shared" si="0"/>
        <v>9679.1666666666679</v>
      </c>
      <c r="AD9" s="785">
        <f t="shared" si="0"/>
        <v>2721558.7291666665</v>
      </c>
      <c r="AE9" s="785">
        <f t="shared" si="0"/>
        <v>9679.1666666666679</v>
      </c>
      <c r="AF9" s="785">
        <f t="shared" si="0"/>
        <v>302372.72916666663</v>
      </c>
      <c r="AG9" s="785">
        <f t="shared" si="0"/>
        <v>9679.1666666666679</v>
      </c>
      <c r="AH9" s="785">
        <f t="shared" si="0"/>
        <v>122372.72916666667</v>
      </c>
      <c r="AI9" s="785">
        <f t="shared" si="0"/>
        <v>9679.1666666666679</v>
      </c>
      <c r="AJ9" s="785">
        <f t="shared" si="0"/>
        <v>442372.72916666669</v>
      </c>
      <c r="AK9" s="785">
        <f t="shared" si="0"/>
        <v>9679.1666666666679</v>
      </c>
      <c r="AL9" s="785">
        <f t="shared" si="0"/>
        <v>122372.72916666667</v>
      </c>
      <c r="AM9" s="785">
        <f t="shared" si="0"/>
        <v>293782.76666666666</v>
      </c>
      <c r="AN9" s="785">
        <f t="shared" si="0"/>
        <v>1682372.7291666667</v>
      </c>
      <c r="AO9" s="822">
        <f>SUM(Q9:AN9)</f>
        <v>9580878.3500000015</v>
      </c>
      <c r="AP9" s="1156"/>
      <c r="AQ9" s="835"/>
    </row>
    <row r="10" spans="1:43" ht="21" customHeight="1" x14ac:dyDescent="0.35">
      <c r="A10" s="783" t="s">
        <v>823</v>
      </c>
      <c r="B10" s="784"/>
      <c r="C10" s="783"/>
      <c r="D10" s="783"/>
      <c r="E10" s="822">
        <f>SUM(E11:E14)</f>
        <v>314281866.15999997</v>
      </c>
      <c r="F10" s="783"/>
      <c r="G10" s="822">
        <f t="shared" ref="G10:AO10" si="1">SUM(G11:G14)</f>
        <v>19642616.634999998</v>
      </c>
      <c r="H10" s="822">
        <f t="shared" si="1"/>
        <v>116896000</v>
      </c>
      <c r="I10" s="822">
        <f t="shared" si="1"/>
        <v>7306000</v>
      </c>
      <c r="J10" s="822">
        <f t="shared" si="1"/>
        <v>0</v>
      </c>
      <c r="K10" s="822">
        <f t="shared" si="1"/>
        <v>116896000</v>
      </c>
      <c r="L10" s="822">
        <f t="shared" si="1"/>
        <v>0</v>
      </c>
      <c r="M10" s="822">
        <f t="shared" si="1"/>
        <v>0</v>
      </c>
      <c r="N10" s="822">
        <f t="shared" si="1"/>
        <v>0</v>
      </c>
      <c r="O10" s="822">
        <f t="shared" si="1"/>
        <v>0</v>
      </c>
      <c r="P10" s="822">
        <f t="shared" si="1"/>
        <v>7306000</v>
      </c>
      <c r="Q10" s="822">
        <f t="shared" si="1"/>
        <v>0</v>
      </c>
      <c r="R10" s="822">
        <f t="shared" si="1"/>
        <v>37500</v>
      </c>
      <c r="S10" s="822">
        <f t="shared" si="1"/>
        <v>0</v>
      </c>
      <c r="T10" s="822">
        <f t="shared" si="1"/>
        <v>37500</v>
      </c>
      <c r="U10" s="822">
        <f t="shared" si="1"/>
        <v>0</v>
      </c>
      <c r="V10" s="822">
        <f t="shared" si="1"/>
        <v>2645500</v>
      </c>
      <c r="W10" s="822">
        <f t="shared" si="1"/>
        <v>0</v>
      </c>
      <c r="X10" s="822">
        <f t="shared" si="1"/>
        <v>95500</v>
      </c>
      <c r="Y10" s="822">
        <f t="shared" si="1"/>
        <v>0</v>
      </c>
      <c r="Z10" s="822">
        <f t="shared" si="1"/>
        <v>37500</v>
      </c>
      <c r="AA10" s="822">
        <f t="shared" si="1"/>
        <v>0</v>
      </c>
      <c r="AB10" s="822">
        <f t="shared" si="1"/>
        <v>359500</v>
      </c>
      <c r="AC10" s="822">
        <f t="shared" si="1"/>
        <v>0</v>
      </c>
      <c r="AD10" s="822">
        <f t="shared" si="1"/>
        <v>2645500</v>
      </c>
      <c r="AE10" s="822">
        <f t="shared" si="1"/>
        <v>0</v>
      </c>
      <c r="AF10" s="822">
        <f t="shared" si="1"/>
        <v>57500</v>
      </c>
      <c r="AG10" s="822">
        <f t="shared" si="1"/>
        <v>0</v>
      </c>
      <c r="AH10" s="822">
        <f t="shared" si="1"/>
        <v>37500</v>
      </c>
      <c r="AI10" s="822">
        <f t="shared" si="1"/>
        <v>0</v>
      </c>
      <c r="AJ10" s="822">
        <f t="shared" si="1"/>
        <v>37500</v>
      </c>
      <c r="AK10" s="822">
        <f t="shared" si="1"/>
        <v>0</v>
      </c>
      <c r="AL10" s="822">
        <f t="shared" si="1"/>
        <v>37500</v>
      </c>
      <c r="AM10" s="822">
        <f t="shared" si="1"/>
        <v>0</v>
      </c>
      <c r="AN10" s="822">
        <f t="shared" si="1"/>
        <v>1277500</v>
      </c>
      <c r="AO10" s="899">
        <f t="shared" si="1"/>
        <v>7306000</v>
      </c>
      <c r="AQ10" s="835"/>
    </row>
    <row r="11" spans="1:43" s="763" customFormat="1" x14ac:dyDescent="0.3">
      <c r="A11" s="821" t="s">
        <v>645</v>
      </c>
      <c r="B11" s="787">
        <v>6</v>
      </c>
      <c r="C11" s="786" t="s">
        <v>411</v>
      </c>
      <c r="D11" s="786" t="s">
        <v>414</v>
      </c>
      <c r="E11" s="900">
        <v>162288266.16</v>
      </c>
      <c r="F11" s="826">
        <v>0.51424543483458462</v>
      </c>
      <c r="G11" s="900">
        <f>E11/$O$4</f>
        <v>10143016.635</v>
      </c>
      <c r="H11" s="900">
        <f>E11*F11</f>
        <v>83456000</v>
      </c>
      <c r="I11" s="900">
        <f>G11*F11</f>
        <v>5216000</v>
      </c>
      <c r="J11" s="900"/>
      <c r="K11" s="900">
        <f>+H11</f>
        <v>83456000</v>
      </c>
      <c r="L11" s="900"/>
      <c r="M11" s="900"/>
      <c r="N11" s="900"/>
      <c r="O11" s="1138">
        <f t="shared" ref="O11:P14" si="2">J11/$O$4</f>
        <v>0</v>
      </c>
      <c r="P11" s="900">
        <f>K11/$O$4</f>
        <v>5216000</v>
      </c>
      <c r="Q11" s="900"/>
      <c r="R11" s="900"/>
      <c r="S11" s="900"/>
      <c r="T11" s="900"/>
      <c r="U11" s="1137">
        <f>+O11*0.5</f>
        <v>0</v>
      </c>
      <c r="V11" s="900">
        <f>+P11*0.5</f>
        <v>2608000</v>
      </c>
      <c r="W11" s="900"/>
      <c r="X11" s="900"/>
      <c r="Y11" s="900"/>
      <c r="Z11" s="900"/>
      <c r="AA11" s="900"/>
      <c r="AB11" s="900"/>
      <c r="AC11" s="900">
        <f>+O11*0.5</f>
        <v>0</v>
      </c>
      <c r="AD11" s="900">
        <f>+P11*0.5</f>
        <v>2608000</v>
      </c>
      <c r="AE11" s="900"/>
      <c r="AF11" s="900"/>
      <c r="AG11" s="900"/>
      <c r="AH11" s="900"/>
      <c r="AI11" s="900"/>
      <c r="AJ11" s="900"/>
      <c r="AK11" s="900"/>
      <c r="AL11" s="900"/>
      <c r="AM11" s="900"/>
      <c r="AN11" s="900"/>
      <c r="AO11" s="1137">
        <f>+SUM(Q11:AN11)</f>
        <v>5216000</v>
      </c>
      <c r="AQ11" s="835"/>
    </row>
    <row r="12" spans="1:43" s="763" customFormat="1" x14ac:dyDescent="0.3">
      <c r="A12" s="1213" t="s">
        <v>844</v>
      </c>
      <c r="B12" s="824"/>
      <c r="C12" s="825"/>
      <c r="D12" s="825"/>
      <c r="E12" s="1137">
        <v>36000000</v>
      </c>
      <c r="F12" s="1136">
        <v>0.2</v>
      </c>
      <c r="G12" s="900">
        <f>E12/$O$4</f>
        <v>2250000</v>
      </c>
      <c r="H12" s="900">
        <f>E12*F12</f>
        <v>7200000</v>
      </c>
      <c r="I12" s="900">
        <f>G12*F12</f>
        <v>450000</v>
      </c>
      <c r="J12" s="900"/>
      <c r="K12" s="900">
        <f>+H12</f>
        <v>7200000</v>
      </c>
      <c r="L12" s="900"/>
      <c r="M12" s="900"/>
      <c r="N12" s="900"/>
      <c r="O12" s="1138">
        <f t="shared" ref="O12" si="3">J12/$O$4</f>
        <v>0</v>
      </c>
      <c r="P12" s="900">
        <f t="shared" ref="P12" si="4">K12/$O$4</f>
        <v>450000</v>
      </c>
      <c r="Q12" s="1137">
        <f>+$O$12/12</f>
        <v>0</v>
      </c>
      <c r="R12" s="1137">
        <f>+$P$12/12</f>
        <v>37500</v>
      </c>
      <c r="S12" s="1137">
        <f t="shared" ref="S12" si="5">+$O$12/12</f>
        <v>0</v>
      </c>
      <c r="T12" s="1137">
        <f t="shared" ref="T12" si="6">+$P$12/12</f>
        <v>37500</v>
      </c>
      <c r="U12" s="1137">
        <f t="shared" ref="U12" si="7">+$O$12/12</f>
        <v>0</v>
      </c>
      <c r="V12" s="1137">
        <f t="shared" ref="V12" si="8">+$P$12/12</f>
        <v>37500</v>
      </c>
      <c r="W12" s="1137">
        <f t="shared" ref="W12" si="9">+$O$12/12</f>
        <v>0</v>
      </c>
      <c r="X12" s="1137">
        <f t="shared" ref="X12" si="10">+$P$12/12</f>
        <v>37500</v>
      </c>
      <c r="Y12" s="1137">
        <f t="shared" ref="Y12" si="11">+$O$12/12</f>
        <v>0</v>
      </c>
      <c r="Z12" s="1137">
        <f t="shared" ref="Z12" si="12">+$P$12/12</f>
        <v>37500</v>
      </c>
      <c r="AA12" s="1137">
        <f t="shared" ref="AA12" si="13">+$O$12/12</f>
        <v>0</v>
      </c>
      <c r="AB12" s="1137">
        <f t="shared" ref="AB12" si="14">+$P$12/12</f>
        <v>37500</v>
      </c>
      <c r="AC12" s="1137">
        <f t="shared" ref="AC12" si="15">+$O$12/12</f>
        <v>0</v>
      </c>
      <c r="AD12" s="1137">
        <f t="shared" ref="AD12" si="16">+$P$12/12</f>
        <v>37500</v>
      </c>
      <c r="AE12" s="1137">
        <f t="shared" ref="AE12" si="17">+$O$12/12</f>
        <v>0</v>
      </c>
      <c r="AF12" s="1137">
        <f t="shared" ref="AF12" si="18">+$P$12/12</f>
        <v>37500</v>
      </c>
      <c r="AG12" s="1137">
        <f t="shared" ref="AG12" si="19">+$O$12/12</f>
        <v>0</v>
      </c>
      <c r="AH12" s="1137">
        <f t="shared" ref="AH12" si="20">+$P$12/12</f>
        <v>37500</v>
      </c>
      <c r="AI12" s="1137">
        <f t="shared" ref="AI12" si="21">+$O$12/12</f>
        <v>0</v>
      </c>
      <c r="AJ12" s="1137">
        <f t="shared" ref="AJ12" si="22">+$P$12/12</f>
        <v>37500</v>
      </c>
      <c r="AK12" s="1137">
        <f t="shared" ref="AK12" si="23">+$O$12/12</f>
        <v>0</v>
      </c>
      <c r="AL12" s="1137">
        <f t="shared" ref="AL12" si="24">+$P$12/12</f>
        <v>37500</v>
      </c>
      <c r="AM12" s="1137">
        <f t="shared" ref="AM12" si="25">+$O$12/12</f>
        <v>0</v>
      </c>
      <c r="AN12" s="1137">
        <f t="shared" ref="AN12" si="26">+$P$12/12</f>
        <v>37500</v>
      </c>
      <c r="AO12" s="1137">
        <f>+SUM(Q12:AN12)</f>
        <v>450000</v>
      </c>
      <c r="AQ12" s="835"/>
    </row>
    <row r="13" spans="1:43" s="763" customFormat="1" x14ac:dyDescent="0.3">
      <c r="A13" s="821" t="s">
        <v>413</v>
      </c>
      <c r="B13" s="787"/>
      <c r="C13" s="786"/>
      <c r="D13" s="786"/>
      <c r="E13" s="900">
        <v>112243200</v>
      </c>
      <c r="F13" s="826">
        <v>0.22807617744326605</v>
      </c>
      <c r="G13" s="900">
        <f>E13/$O$4</f>
        <v>7015200</v>
      </c>
      <c r="H13" s="900">
        <f>E13*F13</f>
        <v>25600000</v>
      </c>
      <c r="I13" s="900">
        <f>G13*F13</f>
        <v>1600000</v>
      </c>
      <c r="J13" s="900">
        <f>+H13*0</f>
        <v>0</v>
      </c>
      <c r="K13" s="900">
        <f t="shared" ref="K13:K14" si="27">+H13</f>
        <v>25600000</v>
      </c>
      <c r="L13" s="900"/>
      <c r="M13" s="900"/>
      <c r="N13" s="900"/>
      <c r="O13" s="1138">
        <f t="shared" si="2"/>
        <v>0</v>
      </c>
      <c r="P13" s="900">
        <f t="shared" si="2"/>
        <v>1600000</v>
      </c>
      <c r="Q13" s="900"/>
      <c r="R13" s="900"/>
      <c r="S13" s="900"/>
      <c r="T13" s="900"/>
      <c r="U13" s="900"/>
      <c r="V13" s="900"/>
      <c r="W13" s="1137"/>
      <c r="X13" s="900">
        <v>50000</v>
      </c>
      <c r="Y13" s="900"/>
      <c r="Z13" s="900"/>
      <c r="AA13" s="900"/>
      <c r="AB13" s="900">
        <f>+(P13-50000)*0.2</f>
        <v>310000</v>
      </c>
      <c r="AC13" s="900"/>
      <c r="AD13" s="900"/>
      <c r="AE13" s="900"/>
      <c r="AF13" s="900"/>
      <c r="AG13" s="900"/>
      <c r="AH13" s="900"/>
      <c r="AI13" s="900"/>
      <c r="AJ13" s="900"/>
      <c r="AK13" s="900"/>
      <c r="AL13" s="900"/>
      <c r="AM13" s="900"/>
      <c r="AN13" s="900">
        <f>+(P13-50000)*0.8</f>
        <v>1240000</v>
      </c>
      <c r="AO13" s="1137">
        <f>+SUM(Q13:AN13)</f>
        <v>1600000</v>
      </c>
      <c r="AQ13" s="835"/>
    </row>
    <row r="14" spans="1:43" s="763" customFormat="1" x14ac:dyDescent="0.3">
      <c r="A14" s="821" t="s">
        <v>636</v>
      </c>
      <c r="B14" s="787">
        <v>6</v>
      </c>
      <c r="C14" s="786"/>
      <c r="D14" s="786"/>
      <c r="E14" s="900">
        <v>3750400</v>
      </c>
      <c r="F14" s="826">
        <v>0.17064846416382254</v>
      </c>
      <c r="G14" s="900">
        <f>E14/$O$4</f>
        <v>234400</v>
      </c>
      <c r="H14" s="900">
        <f>E14*F14</f>
        <v>640000</v>
      </c>
      <c r="I14" s="900">
        <f>G14*F14</f>
        <v>40000</v>
      </c>
      <c r="J14" s="900">
        <v>0</v>
      </c>
      <c r="K14" s="900">
        <f t="shared" si="27"/>
        <v>640000</v>
      </c>
      <c r="L14" s="900"/>
      <c r="M14" s="900"/>
      <c r="N14" s="900"/>
      <c r="O14" s="1138">
        <f t="shared" si="2"/>
        <v>0</v>
      </c>
      <c r="P14" s="900">
        <f t="shared" si="2"/>
        <v>40000</v>
      </c>
      <c r="Q14" s="900"/>
      <c r="R14" s="900"/>
      <c r="S14" s="900"/>
      <c r="T14" s="900"/>
      <c r="U14" s="900"/>
      <c r="V14" s="900"/>
      <c r="W14" s="1137"/>
      <c r="X14" s="900">
        <f>+P14*0.2</f>
        <v>8000</v>
      </c>
      <c r="Y14" s="900"/>
      <c r="Z14" s="900"/>
      <c r="AA14" s="900"/>
      <c r="AB14" s="900">
        <f>+P14*0.3</f>
        <v>12000</v>
      </c>
      <c r="AC14" s="900"/>
      <c r="AD14" s="900"/>
      <c r="AE14" s="900"/>
      <c r="AF14" s="900">
        <f>+P14*0.5</f>
        <v>20000</v>
      </c>
      <c r="AG14" s="900"/>
      <c r="AH14" s="900"/>
      <c r="AI14" s="900"/>
      <c r="AJ14" s="900"/>
      <c r="AK14" s="900"/>
      <c r="AL14" s="900"/>
      <c r="AM14" s="900"/>
      <c r="AN14" s="900"/>
      <c r="AO14" s="1137">
        <f>+SUM(Q14:AN14)</f>
        <v>40000</v>
      </c>
      <c r="AQ14" s="835"/>
    </row>
    <row r="15" spans="1:43" ht="18" x14ac:dyDescent="0.35">
      <c r="A15" s="783" t="s">
        <v>824</v>
      </c>
      <c r="B15" s="784"/>
      <c r="C15" s="783"/>
      <c r="D15" s="783"/>
      <c r="E15" s="822">
        <f>SUM(E16:E18)</f>
        <v>67644841.724800006</v>
      </c>
      <c r="F15" s="783"/>
      <c r="G15" s="822">
        <f t="shared" ref="G15:Q15" si="28">SUM(G16:G18)</f>
        <v>4227802.6078000003</v>
      </c>
      <c r="H15" s="822">
        <f t="shared" si="28"/>
        <v>11203713.6</v>
      </c>
      <c r="I15" s="822">
        <f t="shared" si="28"/>
        <v>700232.1</v>
      </c>
      <c r="J15" s="822">
        <f t="shared" si="28"/>
        <v>4845657.5999999996</v>
      </c>
      <c r="K15" s="822">
        <f t="shared" si="28"/>
        <v>6358056</v>
      </c>
      <c r="L15" s="822">
        <f t="shared" si="28"/>
        <v>0</v>
      </c>
      <c r="M15" s="822">
        <f t="shared" si="28"/>
        <v>0</v>
      </c>
      <c r="N15" s="822">
        <f t="shared" si="28"/>
        <v>0</v>
      </c>
      <c r="O15" s="822">
        <f t="shared" si="28"/>
        <v>302853.59999999998</v>
      </c>
      <c r="P15" s="822">
        <f t="shared" si="28"/>
        <v>397378.5</v>
      </c>
      <c r="Q15" s="822">
        <f t="shared" si="28"/>
        <v>1562.5</v>
      </c>
      <c r="R15" s="822">
        <f t="shared" ref="R15:AN15" si="29">SUM(R16:R18)</f>
        <v>31677.375</v>
      </c>
      <c r="S15" s="822">
        <f t="shared" si="29"/>
        <v>1562.5</v>
      </c>
      <c r="T15" s="822">
        <f t="shared" si="29"/>
        <v>31677.375</v>
      </c>
      <c r="U15" s="822">
        <f t="shared" si="29"/>
        <v>1562.5</v>
      </c>
      <c r="V15" s="822">
        <f t="shared" si="29"/>
        <v>31677.375</v>
      </c>
      <c r="W15" s="822">
        <f t="shared" si="29"/>
        <v>1562.5</v>
      </c>
      <c r="X15" s="822">
        <f t="shared" si="29"/>
        <v>48927.375</v>
      </c>
      <c r="Y15" s="822">
        <f t="shared" si="29"/>
        <v>1562.5</v>
      </c>
      <c r="Z15" s="822">
        <f t="shared" si="29"/>
        <v>31677.375</v>
      </c>
      <c r="AA15" s="822">
        <f t="shared" si="29"/>
        <v>1562.5</v>
      </c>
      <c r="AB15" s="822">
        <f t="shared" si="29"/>
        <v>31677.375</v>
      </c>
      <c r="AC15" s="822">
        <f t="shared" si="29"/>
        <v>1562.5</v>
      </c>
      <c r="AD15" s="822">
        <f t="shared" si="29"/>
        <v>31677.375</v>
      </c>
      <c r="AE15" s="822">
        <f t="shared" si="29"/>
        <v>1562.5</v>
      </c>
      <c r="AF15" s="822">
        <f t="shared" si="29"/>
        <v>31677.375</v>
      </c>
      <c r="AG15" s="822">
        <f t="shared" si="29"/>
        <v>1562.5</v>
      </c>
      <c r="AH15" s="822">
        <f t="shared" si="29"/>
        <v>31677.375</v>
      </c>
      <c r="AI15" s="822">
        <f t="shared" si="29"/>
        <v>1562.5</v>
      </c>
      <c r="AJ15" s="822">
        <f t="shared" si="29"/>
        <v>31677.375</v>
      </c>
      <c r="AK15" s="822">
        <f t="shared" si="29"/>
        <v>1562.5</v>
      </c>
      <c r="AL15" s="822">
        <f t="shared" si="29"/>
        <v>31677.375</v>
      </c>
      <c r="AM15" s="822">
        <f t="shared" si="29"/>
        <v>285666.09999999998</v>
      </c>
      <c r="AN15" s="822">
        <f t="shared" si="29"/>
        <v>31677.375</v>
      </c>
      <c r="AO15" s="899">
        <f>SUM(AO16:AO18)</f>
        <v>700232.1</v>
      </c>
      <c r="AQ15" s="835"/>
    </row>
    <row r="16" spans="1:43" s="763" customFormat="1" x14ac:dyDescent="0.3">
      <c r="A16" s="821" t="s">
        <v>687</v>
      </c>
      <c r="B16" s="787"/>
      <c r="C16" s="786"/>
      <c r="D16" s="786"/>
      <c r="E16" s="1138">
        <v>1104000</v>
      </c>
      <c r="F16" s="788">
        <v>0.25</v>
      </c>
      <c r="G16" s="1138">
        <f>E16/$O$4</f>
        <v>69000</v>
      </c>
      <c r="H16" s="1138">
        <f>E16*F16</f>
        <v>276000</v>
      </c>
      <c r="I16" s="1138">
        <f>G16*F16</f>
        <v>17250</v>
      </c>
      <c r="J16" s="900">
        <v>0</v>
      </c>
      <c r="K16" s="900">
        <v>276000</v>
      </c>
      <c r="L16" s="900"/>
      <c r="M16" s="900"/>
      <c r="N16" s="900"/>
      <c r="O16" s="1138">
        <f t="shared" ref="O16:P18" si="30">J16/$O$4</f>
        <v>0</v>
      </c>
      <c r="P16" s="900">
        <f t="shared" si="30"/>
        <v>17250</v>
      </c>
      <c r="Q16" s="900"/>
      <c r="R16" s="900"/>
      <c r="S16" s="900"/>
      <c r="T16" s="900"/>
      <c r="U16" s="900"/>
      <c r="V16" s="900"/>
      <c r="W16" s="900"/>
      <c r="X16" s="900">
        <f>+P16</f>
        <v>17250</v>
      </c>
      <c r="Y16" s="900"/>
      <c r="Z16" s="900"/>
      <c r="AA16" s="900"/>
      <c r="AB16" s="900"/>
      <c r="AC16" s="900"/>
      <c r="AD16" s="900"/>
      <c r="AE16" s="900"/>
      <c r="AF16" s="900"/>
      <c r="AG16" s="900"/>
      <c r="AH16" s="900"/>
      <c r="AI16" s="900"/>
      <c r="AJ16" s="900"/>
      <c r="AK16" s="900"/>
      <c r="AL16" s="900"/>
      <c r="AM16" s="900"/>
      <c r="AN16" s="900"/>
      <c r="AO16" s="1137">
        <f>+SUM(Q16:AN16)</f>
        <v>17250</v>
      </c>
      <c r="AQ16" s="835"/>
    </row>
    <row r="17" spans="1:46" s="763" customFormat="1" x14ac:dyDescent="0.3">
      <c r="A17" s="1214" t="s">
        <v>413</v>
      </c>
      <c r="B17" s="824"/>
      <c r="C17" s="825"/>
      <c r="D17" s="825"/>
      <c r="E17" s="1138">
        <v>19986241.724800002</v>
      </c>
      <c r="F17" s="788">
        <v>0.22743933865062302</v>
      </c>
      <c r="G17" s="1138">
        <f>E17/$O$4</f>
        <v>1249140.1078000001</v>
      </c>
      <c r="H17" s="1138">
        <f>E17*F17</f>
        <v>4545657.5999999996</v>
      </c>
      <c r="I17" s="1138">
        <f>G17*F17</f>
        <v>284103.59999999998</v>
      </c>
      <c r="J17" s="900">
        <v>4545657.5999999996</v>
      </c>
      <c r="K17" s="900"/>
      <c r="L17" s="900"/>
      <c r="M17" s="900"/>
      <c r="N17" s="900"/>
      <c r="O17" s="1138">
        <f t="shared" ref="O17" si="31">J17/$O$4</f>
        <v>284103.59999999998</v>
      </c>
      <c r="P17" s="900">
        <f t="shared" ref="P17" si="32">K17/$O$4</f>
        <v>0</v>
      </c>
      <c r="Q17" s="1137"/>
      <c r="R17" s="1137"/>
      <c r="S17" s="1137"/>
      <c r="T17" s="1137"/>
      <c r="U17" s="1137"/>
      <c r="V17" s="1137"/>
      <c r="W17" s="1137"/>
      <c r="X17" s="1137"/>
      <c r="Y17" s="1137"/>
      <c r="Z17" s="1137"/>
      <c r="AA17" s="1137"/>
      <c r="AB17" s="1137"/>
      <c r="AC17" s="1137"/>
      <c r="AD17" s="1137"/>
      <c r="AE17" s="1137"/>
      <c r="AF17" s="1137"/>
      <c r="AG17" s="1137"/>
      <c r="AH17" s="1137"/>
      <c r="AI17" s="1137"/>
      <c r="AJ17" s="1137"/>
      <c r="AK17" s="1137"/>
      <c r="AL17" s="1137"/>
      <c r="AM17" s="1137">
        <f>+O17</f>
        <v>284103.59999999998</v>
      </c>
      <c r="AN17" s="1137"/>
      <c r="AO17" s="1137">
        <f>+SUM(Q17:AN17)</f>
        <v>284103.59999999998</v>
      </c>
      <c r="AQ17" s="835"/>
    </row>
    <row r="18" spans="1:46" s="763" customFormat="1" x14ac:dyDescent="0.3">
      <c r="A18" s="1213" t="s">
        <v>844</v>
      </c>
      <c r="B18" s="787">
        <v>6</v>
      </c>
      <c r="C18" s="786"/>
      <c r="D18" s="786"/>
      <c r="E18" s="1138">
        <v>46554600</v>
      </c>
      <c r="F18" s="788">
        <v>0.13708754881365107</v>
      </c>
      <c r="G18" s="1138">
        <f>E18/$O$4</f>
        <v>2909662.5</v>
      </c>
      <c r="H18" s="1138">
        <f>E18*F18</f>
        <v>6382056</v>
      </c>
      <c r="I18" s="1138">
        <f>G18*F18</f>
        <v>398878.5</v>
      </c>
      <c r="J18" s="900">
        <v>300000</v>
      </c>
      <c r="K18" s="900">
        <v>6082056</v>
      </c>
      <c r="L18" s="900"/>
      <c r="M18" s="900"/>
      <c r="N18" s="900"/>
      <c r="O18" s="1138">
        <f t="shared" si="30"/>
        <v>18750</v>
      </c>
      <c r="P18" s="900">
        <f t="shared" si="30"/>
        <v>380128.5</v>
      </c>
      <c r="Q18" s="900">
        <f>+O18/12</f>
        <v>1562.5</v>
      </c>
      <c r="R18" s="900">
        <f>+$P$18/12</f>
        <v>31677.375</v>
      </c>
      <c r="S18" s="900">
        <f>+Q18</f>
        <v>1562.5</v>
      </c>
      <c r="T18" s="900">
        <f>+$P$18/12</f>
        <v>31677.375</v>
      </c>
      <c r="U18" s="900">
        <f>+S18</f>
        <v>1562.5</v>
      </c>
      <c r="V18" s="900">
        <f>+$P$18/12</f>
        <v>31677.375</v>
      </c>
      <c r="W18" s="900">
        <f>+U18</f>
        <v>1562.5</v>
      </c>
      <c r="X18" s="900">
        <f>+$P$18/12</f>
        <v>31677.375</v>
      </c>
      <c r="Y18" s="900">
        <f>+W18</f>
        <v>1562.5</v>
      </c>
      <c r="Z18" s="900">
        <f>+$P$18/12</f>
        <v>31677.375</v>
      </c>
      <c r="AA18" s="900">
        <f>+Y18</f>
        <v>1562.5</v>
      </c>
      <c r="AB18" s="900">
        <f>+$P$18/12</f>
        <v>31677.375</v>
      </c>
      <c r="AC18" s="900">
        <f>+AA18</f>
        <v>1562.5</v>
      </c>
      <c r="AD18" s="900">
        <f>+$P$18/12</f>
        <v>31677.375</v>
      </c>
      <c r="AE18" s="900">
        <f>+AC18</f>
        <v>1562.5</v>
      </c>
      <c r="AF18" s="900">
        <f>+$P$18/12</f>
        <v>31677.375</v>
      </c>
      <c r="AG18" s="900">
        <f>+AE18</f>
        <v>1562.5</v>
      </c>
      <c r="AH18" s="900">
        <f>+$P$18/12</f>
        <v>31677.375</v>
      </c>
      <c r="AI18" s="900">
        <f>+AG18</f>
        <v>1562.5</v>
      </c>
      <c r="AJ18" s="900">
        <f>+$P$18/12</f>
        <v>31677.375</v>
      </c>
      <c r="AK18" s="900">
        <f>+AI18</f>
        <v>1562.5</v>
      </c>
      <c r="AL18" s="900">
        <f>+$P$18/12</f>
        <v>31677.375</v>
      </c>
      <c r="AM18" s="900">
        <f>+AK18</f>
        <v>1562.5</v>
      </c>
      <c r="AN18" s="900">
        <f>+$P$18/12</f>
        <v>31677.375</v>
      </c>
      <c r="AO18" s="1137">
        <f>+SUM(Q18:AN18)</f>
        <v>398878.5</v>
      </c>
      <c r="AQ18" s="835"/>
      <c r="AT18" s="1152"/>
    </row>
    <row r="19" spans="1:46" s="763" customFormat="1" ht="38.25" customHeight="1" x14ac:dyDescent="0.35">
      <c r="A19" s="783" t="s">
        <v>825</v>
      </c>
      <c r="B19" s="784"/>
      <c r="C19" s="783"/>
      <c r="D19" s="783"/>
      <c r="E19" s="822">
        <f>SUM(E20:E21)</f>
        <v>26694320</v>
      </c>
      <c r="F19" s="783"/>
      <c r="G19" s="822">
        <f>SUM(G20:G21)</f>
        <v>1668395</v>
      </c>
      <c r="H19" s="822">
        <f>SUM(H20:H21)</f>
        <v>6197580</v>
      </c>
      <c r="I19" s="822">
        <f>SUM(I20:I21)</f>
        <v>387348.75</v>
      </c>
      <c r="J19" s="822">
        <f>SUM(J20:J21)</f>
        <v>1584000</v>
      </c>
      <c r="K19" s="822">
        <f>SUM(K20:K21)</f>
        <v>4613580</v>
      </c>
      <c r="L19" s="822"/>
      <c r="M19" s="822"/>
      <c r="N19" s="822"/>
      <c r="O19" s="822">
        <f>SUM(O20:O21)</f>
        <v>99000</v>
      </c>
      <c r="P19" s="822">
        <f>SUM(P20:P21)</f>
        <v>288348.75</v>
      </c>
      <c r="Q19" s="822">
        <f t="shared" ref="Q19:AO19" si="33">+Q20+Q21</f>
        <v>10333.333333333334</v>
      </c>
      <c r="R19" s="822">
        <f t="shared" si="33"/>
        <v>24029.0625</v>
      </c>
      <c r="S19" s="822">
        <f t="shared" si="33"/>
        <v>10333.333333333334</v>
      </c>
      <c r="T19" s="822">
        <f t="shared" si="33"/>
        <v>24029.0625</v>
      </c>
      <c r="U19" s="822">
        <f t="shared" si="33"/>
        <v>10333.333333333334</v>
      </c>
      <c r="V19" s="822">
        <f t="shared" si="33"/>
        <v>24029.0625</v>
      </c>
      <c r="W19" s="822">
        <f t="shared" si="33"/>
        <v>10333.333333333334</v>
      </c>
      <c r="X19" s="822">
        <f t="shared" si="33"/>
        <v>24029.0625</v>
      </c>
      <c r="Y19" s="822">
        <f t="shared" si="33"/>
        <v>10333.333333333334</v>
      </c>
      <c r="Z19" s="822">
        <f t="shared" si="33"/>
        <v>24029.0625</v>
      </c>
      <c r="AA19" s="822">
        <f t="shared" si="33"/>
        <v>10333.333333333334</v>
      </c>
      <c r="AB19" s="822">
        <f t="shared" si="33"/>
        <v>24029.0625</v>
      </c>
      <c r="AC19" s="822">
        <f t="shared" si="33"/>
        <v>6166.666666666667</v>
      </c>
      <c r="AD19" s="822">
        <f t="shared" si="33"/>
        <v>24029.0625</v>
      </c>
      <c r="AE19" s="822">
        <f t="shared" si="33"/>
        <v>6166.666666666667</v>
      </c>
      <c r="AF19" s="822">
        <f t="shared" si="33"/>
        <v>24029.0625</v>
      </c>
      <c r="AG19" s="822">
        <f t="shared" si="33"/>
        <v>6166.666666666667</v>
      </c>
      <c r="AH19" s="822">
        <f t="shared" si="33"/>
        <v>24029.0625</v>
      </c>
      <c r="AI19" s="822">
        <f t="shared" si="33"/>
        <v>6166.666666666667</v>
      </c>
      <c r="AJ19" s="822">
        <f t="shared" si="33"/>
        <v>24029.0625</v>
      </c>
      <c r="AK19" s="822">
        <f t="shared" si="33"/>
        <v>6166.666666666667</v>
      </c>
      <c r="AL19" s="822">
        <f t="shared" si="33"/>
        <v>24029.0625</v>
      </c>
      <c r="AM19" s="822">
        <f t="shared" si="33"/>
        <v>6166.666666666667</v>
      </c>
      <c r="AN19" s="822">
        <f t="shared" si="33"/>
        <v>24029.0625</v>
      </c>
      <c r="AO19" s="822">
        <f t="shared" si="33"/>
        <v>387348.75</v>
      </c>
      <c r="AQ19" s="835"/>
    </row>
    <row r="20" spans="1:46" s="763" customFormat="1" x14ac:dyDescent="0.3">
      <c r="A20" s="1213" t="s">
        <v>844</v>
      </c>
      <c r="B20" s="787">
        <v>6</v>
      </c>
      <c r="C20" s="786"/>
      <c r="D20" s="786"/>
      <c r="E20" s="1138">
        <v>21958320</v>
      </c>
      <c r="F20" s="788">
        <v>0.22832256748239391</v>
      </c>
      <c r="G20" s="1138">
        <f>E20/$O$4</f>
        <v>1372395</v>
      </c>
      <c r="H20" s="1138">
        <f>E20*F20</f>
        <v>5013580</v>
      </c>
      <c r="I20" s="1138">
        <f>G20*F20</f>
        <v>313348.75</v>
      </c>
      <c r="J20" s="900">
        <v>400000</v>
      </c>
      <c r="K20" s="900">
        <v>4613580</v>
      </c>
      <c r="L20" s="900"/>
      <c r="M20" s="900"/>
      <c r="N20" s="900"/>
      <c r="O20" s="1138">
        <f t="shared" ref="O20:P21" si="34">J20/$O$4</f>
        <v>25000</v>
      </c>
      <c r="P20" s="900">
        <f t="shared" si="34"/>
        <v>288348.75</v>
      </c>
      <c r="Q20" s="900">
        <f>+O20/6</f>
        <v>4166.666666666667</v>
      </c>
      <c r="R20" s="900">
        <f>+$P$20/12</f>
        <v>24029.0625</v>
      </c>
      <c r="S20" s="900">
        <f>+Q20</f>
        <v>4166.666666666667</v>
      </c>
      <c r="T20" s="900">
        <f>+$P$20/12</f>
        <v>24029.0625</v>
      </c>
      <c r="U20" s="900">
        <f>+S20</f>
        <v>4166.666666666667</v>
      </c>
      <c r="V20" s="900">
        <f>+$P$20/12</f>
        <v>24029.0625</v>
      </c>
      <c r="W20" s="900">
        <f>+U20</f>
        <v>4166.666666666667</v>
      </c>
      <c r="X20" s="900">
        <f>+$P$20/12</f>
        <v>24029.0625</v>
      </c>
      <c r="Y20" s="900">
        <f>+W20</f>
        <v>4166.666666666667</v>
      </c>
      <c r="Z20" s="900">
        <f>+$P$20/12</f>
        <v>24029.0625</v>
      </c>
      <c r="AA20" s="900">
        <f>+Y20</f>
        <v>4166.666666666667</v>
      </c>
      <c r="AB20" s="900">
        <f>+$P$20/12</f>
        <v>24029.0625</v>
      </c>
      <c r="AC20" s="900"/>
      <c r="AD20" s="900">
        <f>+$P$20/12</f>
        <v>24029.0625</v>
      </c>
      <c r="AE20" s="900"/>
      <c r="AF20" s="900">
        <f>+$P$20/12</f>
        <v>24029.0625</v>
      </c>
      <c r="AG20" s="900"/>
      <c r="AH20" s="900">
        <f>+$P$20/12</f>
        <v>24029.0625</v>
      </c>
      <c r="AI20" s="900"/>
      <c r="AJ20" s="900">
        <f>+$P$20/12</f>
        <v>24029.0625</v>
      </c>
      <c r="AK20" s="900"/>
      <c r="AL20" s="900">
        <f>+$P$20/12</f>
        <v>24029.0625</v>
      </c>
      <c r="AM20" s="900"/>
      <c r="AN20" s="900">
        <f>+$P$20/12</f>
        <v>24029.0625</v>
      </c>
      <c r="AO20" s="1137">
        <f>+SUM(Q20:AN20)</f>
        <v>313348.75</v>
      </c>
      <c r="AQ20" s="835"/>
    </row>
    <row r="21" spans="1:46" s="763" customFormat="1" x14ac:dyDescent="0.3">
      <c r="A21" s="821" t="s">
        <v>415</v>
      </c>
      <c r="B21" s="787">
        <v>6</v>
      </c>
      <c r="C21" s="786"/>
      <c r="D21" s="786"/>
      <c r="E21" s="1138">
        <v>4736000</v>
      </c>
      <c r="F21" s="788">
        <v>0.25</v>
      </c>
      <c r="G21" s="1138">
        <f>E21/$O$4</f>
        <v>296000</v>
      </c>
      <c r="H21" s="1138">
        <f>E21*F21</f>
        <v>1184000</v>
      </c>
      <c r="I21" s="1138">
        <f>G21*F21</f>
        <v>74000</v>
      </c>
      <c r="J21" s="900">
        <v>1184000</v>
      </c>
      <c r="K21" s="900"/>
      <c r="L21" s="900"/>
      <c r="M21" s="900"/>
      <c r="N21" s="900"/>
      <c r="O21" s="1138">
        <f t="shared" si="34"/>
        <v>74000</v>
      </c>
      <c r="P21" s="900">
        <f t="shared" si="34"/>
        <v>0</v>
      </c>
      <c r="Q21" s="900">
        <f>+O21/12</f>
        <v>6166.666666666667</v>
      </c>
      <c r="R21" s="900"/>
      <c r="S21" s="900">
        <f>+Q21</f>
        <v>6166.666666666667</v>
      </c>
      <c r="T21" s="900"/>
      <c r="U21" s="900">
        <f>+S21</f>
        <v>6166.666666666667</v>
      </c>
      <c r="V21" s="900">
        <f>+$P$21/10</f>
        <v>0</v>
      </c>
      <c r="W21" s="900">
        <f>+U21</f>
        <v>6166.666666666667</v>
      </c>
      <c r="X21" s="900">
        <f>+$P$21/10</f>
        <v>0</v>
      </c>
      <c r="Y21" s="900">
        <f>+W21</f>
        <v>6166.666666666667</v>
      </c>
      <c r="Z21" s="900">
        <f>+$P$21/10</f>
        <v>0</v>
      </c>
      <c r="AA21" s="900">
        <f>+Y21</f>
        <v>6166.666666666667</v>
      </c>
      <c r="AB21" s="900">
        <f>+$P$21/10</f>
        <v>0</v>
      </c>
      <c r="AC21" s="900">
        <f>+AA21</f>
        <v>6166.666666666667</v>
      </c>
      <c r="AD21" s="900">
        <f>+$P$21/10</f>
        <v>0</v>
      </c>
      <c r="AE21" s="900">
        <f>+AC21</f>
        <v>6166.666666666667</v>
      </c>
      <c r="AF21" s="900">
        <f>+$P$21/10</f>
        <v>0</v>
      </c>
      <c r="AG21" s="900">
        <f>+AE21</f>
        <v>6166.666666666667</v>
      </c>
      <c r="AH21" s="900">
        <f>+$P$21/10</f>
        <v>0</v>
      </c>
      <c r="AI21" s="900">
        <f>+AG21</f>
        <v>6166.666666666667</v>
      </c>
      <c r="AJ21" s="900">
        <f>+$P$21/10</f>
        <v>0</v>
      </c>
      <c r="AK21" s="900">
        <f>+AI21</f>
        <v>6166.666666666667</v>
      </c>
      <c r="AL21" s="900">
        <f>+$P$21/10</f>
        <v>0</v>
      </c>
      <c r="AM21" s="900">
        <f>+AK21</f>
        <v>6166.666666666667</v>
      </c>
      <c r="AN21" s="900">
        <f>+$P$21/10</f>
        <v>0</v>
      </c>
      <c r="AO21" s="1137">
        <f>+SUM(Q21:AN21)</f>
        <v>74000</v>
      </c>
      <c r="AQ21" s="835"/>
    </row>
    <row r="22" spans="1:46" s="763" customFormat="1" ht="36" x14ac:dyDescent="0.35">
      <c r="A22" s="806" t="s">
        <v>826</v>
      </c>
      <c r="B22" s="784"/>
      <c r="C22" s="783"/>
      <c r="D22" s="783"/>
      <c r="E22" s="822">
        <f>SUM(E23:E26)</f>
        <v>45588500</v>
      </c>
      <c r="F22" s="783"/>
      <c r="G22" s="822">
        <f>SUM(G23:G26)</f>
        <v>2849281.25</v>
      </c>
      <c r="H22" s="822">
        <f>SUM(H23:H26)</f>
        <v>18996760</v>
      </c>
      <c r="I22" s="822">
        <f>SUM(I23:I26)</f>
        <v>1187297.5</v>
      </c>
      <c r="J22" s="822">
        <f>SUM(J23:J25)</f>
        <v>624000</v>
      </c>
      <c r="K22" s="822">
        <f>SUM(K23:K26)</f>
        <v>18372760</v>
      </c>
      <c r="L22" s="822"/>
      <c r="M22" s="822"/>
      <c r="N22" s="822"/>
      <c r="O22" s="822">
        <f>SUM(O23:O25)</f>
        <v>39000</v>
      </c>
      <c r="P22" s="822">
        <f>SUM(P23:P26)</f>
        <v>1148297.5</v>
      </c>
      <c r="Q22" s="822">
        <f>SUM(Q23:Q26)</f>
        <v>4550</v>
      </c>
      <c r="R22" s="822">
        <f t="shared" ref="R22:AO22" si="35">SUM(R23:R26)</f>
        <v>20352.291666666668</v>
      </c>
      <c r="S22" s="822">
        <f t="shared" si="35"/>
        <v>4550</v>
      </c>
      <c r="T22" s="822">
        <f t="shared" si="35"/>
        <v>20352.291666666668</v>
      </c>
      <c r="U22" s="822">
        <f t="shared" si="35"/>
        <v>4550</v>
      </c>
      <c r="V22" s="822">
        <f t="shared" si="35"/>
        <v>20352.291666666668</v>
      </c>
      <c r="W22" s="822">
        <f t="shared" si="35"/>
        <v>4550</v>
      </c>
      <c r="X22" s="822">
        <f t="shared" si="35"/>
        <v>20352.291666666668</v>
      </c>
      <c r="Y22" s="822">
        <f t="shared" si="35"/>
        <v>4550</v>
      </c>
      <c r="Z22" s="822">
        <f t="shared" si="35"/>
        <v>20352.291666666668</v>
      </c>
      <c r="AA22" s="822">
        <f t="shared" si="35"/>
        <v>4550</v>
      </c>
      <c r="AB22" s="822">
        <f t="shared" si="35"/>
        <v>80352.291666666672</v>
      </c>
      <c r="AC22" s="822">
        <f t="shared" si="35"/>
        <v>1950</v>
      </c>
      <c r="AD22" s="822">
        <f t="shared" si="35"/>
        <v>20352.291666666668</v>
      </c>
      <c r="AE22" s="822">
        <f t="shared" si="35"/>
        <v>1950</v>
      </c>
      <c r="AF22" s="822">
        <f t="shared" si="35"/>
        <v>189166.29166666666</v>
      </c>
      <c r="AG22" s="822">
        <f t="shared" si="35"/>
        <v>1950</v>
      </c>
      <c r="AH22" s="822">
        <f t="shared" si="35"/>
        <v>29166.291666666668</v>
      </c>
      <c r="AI22" s="822">
        <f t="shared" si="35"/>
        <v>1950</v>
      </c>
      <c r="AJ22" s="822">
        <f t="shared" si="35"/>
        <v>349166.29166666669</v>
      </c>
      <c r="AK22" s="822">
        <f t="shared" si="35"/>
        <v>1950</v>
      </c>
      <c r="AL22" s="822">
        <f t="shared" si="35"/>
        <v>29166.291666666668</v>
      </c>
      <c r="AM22" s="822">
        <f t="shared" si="35"/>
        <v>1950</v>
      </c>
      <c r="AN22" s="822">
        <f t="shared" si="35"/>
        <v>349166.29166666669</v>
      </c>
      <c r="AO22" s="822">
        <f t="shared" si="35"/>
        <v>1187297.5</v>
      </c>
      <c r="AP22" s="762"/>
      <c r="AQ22" s="835"/>
    </row>
    <row r="23" spans="1:46" s="763" customFormat="1" x14ac:dyDescent="0.3">
      <c r="A23" s="1213" t="s">
        <v>844</v>
      </c>
      <c r="B23" s="787">
        <v>6</v>
      </c>
      <c r="C23" s="786" t="s">
        <v>411</v>
      </c>
      <c r="D23" s="786" t="s">
        <v>412</v>
      </c>
      <c r="E23" s="900">
        <v>11984020</v>
      </c>
      <c r="F23" s="826">
        <v>0.3260708843943852</v>
      </c>
      <c r="G23" s="900">
        <f>E23/$O$4</f>
        <v>749001.25</v>
      </c>
      <c r="H23" s="900">
        <f>E23*F23</f>
        <v>3907640</v>
      </c>
      <c r="I23" s="900">
        <f>G23*F23</f>
        <v>244227.5</v>
      </c>
      <c r="J23" s="900">
        <v>0</v>
      </c>
      <c r="K23" s="900">
        <v>3907640</v>
      </c>
      <c r="L23" s="900"/>
      <c r="M23" s="900"/>
      <c r="N23" s="900"/>
      <c r="O23" s="1138">
        <f t="shared" ref="O23:O26" si="36">J23/$O$4</f>
        <v>0</v>
      </c>
      <c r="P23" s="900">
        <f t="shared" ref="P23:P26" si="37">K23/$O$4</f>
        <v>244227.5</v>
      </c>
      <c r="Q23" s="900"/>
      <c r="R23" s="900">
        <f>+$P$23/12</f>
        <v>20352.291666666668</v>
      </c>
      <c r="S23" s="900"/>
      <c r="T23" s="900">
        <f>+$P$23/12</f>
        <v>20352.291666666668</v>
      </c>
      <c r="U23" s="900"/>
      <c r="V23" s="900">
        <f>+$P$23/12</f>
        <v>20352.291666666668</v>
      </c>
      <c r="W23" s="900"/>
      <c r="X23" s="900">
        <f>+$P$23/12</f>
        <v>20352.291666666668</v>
      </c>
      <c r="Y23" s="900"/>
      <c r="Z23" s="900">
        <f>+$P$23/12</f>
        <v>20352.291666666668</v>
      </c>
      <c r="AA23" s="900"/>
      <c r="AB23" s="900">
        <f>+$P$23/12</f>
        <v>20352.291666666668</v>
      </c>
      <c r="AC23" s="900"/>
      <c r="AD23" s="900">
        <f>+$P$23/12</f>
        <v>20352.291666666668</v>
      </c>
      <c r="AE23" s="900"/>
      <c r="AF23" s="900">
        <f>+$P$23/12</f>
        <v>20352.291666666668</v>
      </c>
      <c r="AG23" s="900"/>
      <c r="AH23" s="900">
        <f>+$P$23/12</f>
        <v>20352.291666666668</v>
      </c>
      <c r="AI23" s="900"/>
      <c r="AJ23" s="900">
        <f>+$P$23/12</f>
        <v>20352.291666666668</v>
      </c>
      <c r="AK23" s="900"/>
      <c r="AL23" s="900">
        <f>+$P$23/12</f>
        <v>20352.291666666668</v>
      </c>
      <c r="AM23" s="900"/>
      <c r="AN23" s="900">
        <f>+$P$23/12</f>
        <v>20352.291666666668</v>
      </c>
      <c r="AO23" s="1137">
        <f>+SUM(Q23:AN23)</f>
        <v>244227.49999999997</v>
      </c>
      <c r="AQ23" s="835"/>
    </row>
    <row r="24" spans="1:46" s="763" customFormat="1" x14ac:dyDescent="0.3">
      <c r="A24" s="820" t="s">
        <v>636</v>
      </c>
      <c r="B24" s="787">
        <v>6</v>
      </c>
      <c r="C24" s="786"/>
      <c r="D24" s="786"/>
      <c r="E24" s="900">
        <v>26560000</v>
      </c>
      <c r="F24" s="826">
        <v>0.51807228915662651</v>
      </c>
      <c r="G24" s="900">
        <f>E24/$O$4</f>
        <v>1660000</v>
      </c>
      <c r="H24" s="900">
        <f>E24*F24</f>
        <v>13760000</v>
      </c>
      <c r="I24" s="900">
        <f>G24*F24</f>
        <v>860000</v>
      </c>
      <c r="J24" s="900">
        <v>0</v>
      </c>
      <c r="K24" s="900">
        <v>13760000</v>
      </c>
      <c r="L24" s="900"/>
      <c r="M24" s="900"/>
      <c r="N24" s="900"/>
      <c r="O24" s="1138">
        <f t="shared" si="36"/>
        <v>0</v>
      </c>
      <c r="P24" s="900">
        <f t="shared" si="37"/>
        <v>860000</v>
      </c>
      <c r="Q24" s="900"/>
      <c r="R24" s="900"/>
      <c r="S24" s="900"/>
      <c r="T24" s="900"/>
      <c r="U24" s="900"/>
      <c r="V24" s="900"/>
      <c r="W24" s="900"/>
      <c r="X24" s="900"/>
      <c r="Y24" s="900"/>
      <c r="Z24" s="900"/>
      <c r="AA24" s="900"/>
      <c r="AB24" s="900">
        <v>60000</v>
      </c>
      <c r="AC24" s="900"/>
      <c r="AD24" s="900"/>
      <c r="AE24" s="900"/>
      <c r="AF24" s="900">
        <f>800000*0.2</f>
        <v>160000</v>
      </c>
      <c r="AG24" s="900"/>
      <c r="AH24" s="900"/>
      <c r="AI24" s="900"/>
      <c r="AJ24" s="900">
        <f>800000*0.4</f>
        <v>320000</v>
      </c>
      <c r="AK24" s="900"/>
      <c r="AL24" s="900"/>
      <c r="AM24" s="900"/>
      <c r="AN24" s="900">
        <f>800000*0.4</f>
        <v>320000</v>
      </c>
      <c r="AO24" s="1137">
        <f>+SUM(Q24:AN24)</f>
        <v>860000</v>
      </c>
      <c r="AQ24" s="835"/>
    </row>
    <row r="25" spans="1:46" s="763" customFormat="1" x14ac:dyDescent="0.3">
      <c r="A25" s="821" t="s">
        <v>415</v>
      </c>
      <c r="B25" s="787">
        <v>6</v>
      </c>
      <c r="C25" s="786"/>
      <c r="D25" s="786"/>
      <c r="E25" s="900">
        <v>624000</v>
      </c>
      <c r="F25" s="826">
        <v>1</v>
      </c>
      <c r="G25" s="900">
        <f>E25/$O$4</f>
        <v>39000</v>
      </c>
      <c r="H25" s="900">
        <f>E25*F25</f>
        <v>624000</v>
      </c>
      <c r="I25" s="900">
        <f>G25*F25</f>
        <v>39000</v>
      </c>
      <c r="J25" s="900">
        <v>624000</v>
      </c>
      <c r="K25" s="900"/>
      <c r="L25" s="900"/>
      <c r="M25" s="900"/>
      <c r="N25" s="900"/>
      <c r="O25" s="1138">
        <f t="shared" si="36"/>
        <v>39000</v>
      </c>
      <c r="P25" s="900">
        <f t="shared" si="37"/>
        <v>0</v>
      </c>
      <c r="Q25" s="900">
        <v>4550</v>
      </c>
      <c r="R25" s="900"/>
      <c r="S25" s="900">
        <f>+Q25</f>
        <v>4550</v>
      </c>
      <c r="T25" s="900">
        <f>+P25*0.4</f>
        <v>0</v>
      </c>
      <c r="U25" s="900">
        <f>+S25</f>
        <v>4550</v>
      </c>
      <c r="V25" s="900"/>
      <c r="W25" s="900">
        <f>+U25</f>
        <v>4550</v>
      </c>
      <c r="X25" s="900"/>
      <c r="Y25" s="900">
        <f>+W25</f>
        <v>4550</v>
      </c>
      <c r="Z25" s="900">
        <f>+P25*0.3</f>
        <v>0</v>
      </c>
      <c r="AA25" s="900">
        <f>+Y25</f>
        <v>4550</v>
      </c>
      <c r="AB25" s="900"/>
      <c r="AC25" s="900">
        <v>1950</v>
      </c>
      <c r="AD25" s="900"/>
      <c r="AE25" s="900">
        <f>+AC25</f>
        <v>1950</v>
      </c>
      <c r="AF25" s="900">
        <f>+P25*0.3</f>
        <v>0</v>
      </c>
      <c r="AG25" s="900">
        <f>+AE25</f>
        <v>1950</v>
      </c>
      <c r="AH25" s="900"/>
      <c r="AI25" s="900">
        <f>+AG25</f>
        <v>1950</v>
      </c>
      <c r="AJ25" s="900"/>
      <c r="AK25" s="900">
        <f>+AI25</f>
        <v>1950</v>
      </c>
      <c r="AL25" s="900"/>
      <c r="AM25" s="900">
        <f>+AK25</f>
        <v>1950</v>
      </c>
      <c r="AN25" s="900"/>
      <c r="AO25" s="1137">
        <f>+SUM(Q25:AN25)</f>
        <v>39000</v>
      </c>
      <c r="AQ25" s="835"/>
    </row>
    <row r="26" spans="1:46" s="763" customFormat="1" x14ac:dyDescent="0.3">
      <c r="A26" s="823" t="s">
        <v>640</v>
      </c>
      <c r="B26" s="824"/>
      <c r="C26" s="825"/>
      <c r="D26" s="825"/>
      <c r="E26" s="900">
        <v>6420480</v>
      </c>
      <c r="F26" s="826">
        <v>0.10982356459330143</v>
      </c>
      <c r="G26" s="900">
        <f>E26/$O$4</f>
        <v>401280</v>
      </c>
      <c r="H26" s="900">
        <f>E26*F26</f>
        <v>705120</v>
      </c>
      <c r="I26" s="900">
        <f>G26*F26</f>
        <v>44070</v>
      </c>
      <c r="J26" s="900"/>
      <c r="K26" s="900">
        <v>705120</v>
      </c>
      <c r="L26" s="900"/>
      <c r="M26" s="900"/>
      <c r="N26" s="900"/>
      <c r="O26" s="1138">
        <f t="shared" si="36"/>
        <v>0</v>
      </c>
      <c r="P26" s="900">
        <f t="shared" si="37"/>
        <v>44070</v>
      </c>
      <c r="Q26" s="900"/>
      <c r="R26" s="900"/>
      <c r="S26" s="900"/>
      <c r="T26" s="900"/>
      <c r="U26" s="900"/>
      <c r="V26" s="900"/>
      <c r="W26" s="900"/>
      <c r="X26" s="900"/>
      <c r="Y26" s="900"/>
      <c r="Z26" s="900"/>
      <c r="AA26" s="900"/>
      <c r="AB26" s="900"/>
      <c r="AC26" s="900"/>
      <c r="AD26" s="900"/>
      <c r="AE26" s="900"/>
      <c r="AF26" s="900">
        <f>+P26*0.2</f>
        <v>8814</v>
      </c>
      <c r="AG26" s="900"/>
      <c r="AH26" s="900">
        <f>+P26*0.2</f>
        <v>8814</v>
      </c>
      <c r="AI26" s="900"/>
      <c r="AJ26" s="900">
        <f>+P26*0.2</f>
        <v>8814</v>
      </c>
      <c r="AK26" s="900"/>
      <c r="AL26" s="900">
        <f>+P26*0.2</f>
        <v>8814</v>
      </c>
      <c r="AM26" s="900"/>
      <c r="AN26" s="900">
        <f>+P26*0.2</f>
        <v>8814</v>
      </c>
      <c r="AO26" s="1137">
        <f>+SUM(Q26:AN26)</f>
        <v>44070</v>
      </c>
      <c r="AQ26" s="835"/>
    </row>
    <row r="27" spans="1:46" s="763" customFormat="1" x14ac:dyDescent="0.3">
      <c r="A27" s="823"/>
      <c r="B27" s="824"/>
      <c r="C27" s="825"/>
      <c r="D27" s="825"/>
      <c r="E27" s="1139"/>
      <c r="F27" s="1134"/>
      <c r="G27" s="1139"/>
      <c r="H27" s="1139"/>
      <c r="I27" s="1139"/>
      <c r="J27" s="1137"/>
      <c r="K27" s="1137"/>
      <c r="L27" s="1137"/>
      <c r="M27" s="1137"/>
      <c r="N27" s="1137"/>
      <c r="O27" s="1139"/>
      <c r="P27" s="1137"/>
      <c r="Q27" s="1137"/>
      <c r="R27" s="1137"/>
      <c r="S27" s="1137"/>
      <c r="T27" s="1137"/>
      <c r="U27" s="1137"/>
      <c r="V27" s="1137"/>
      <c r="W27" s="1137"/>
      <c r="X27" s="1137"/>
      <c r="Y27" s="1137"/>
      <c r="Z27" s="1137"/>
      <c r="AA27" s="1137"/>
      <c r="AB27" s="1137"/>
      <c r="AC27" s="1137"/>
      <c r="AD27" s="1137"/>
      <c r="AE27" s="1137"/>
      <c r="AF27" s="1137"/>
      <c r="AG27" s="1137"/>
      <c r="AH27" s="1137"/>
      <c r="AI27" s="1137"/>
      <c r="AJ27" s="1137"/>
      <c r="AK27" s="1137"/>
      <c r="AL27" s="1137"/>
      <c r="AM27" s="1137"/>
      <c r="AN27" s="1137"/>
      <c r="AO27" s="1137"/>
      <c r="AQ27" s="835"/>
    </row>
    <row r="28" spans="1:46" ht="18" x14ac:dyDescent="0.35">
      <c r="A28" s="789" t="s">
        <v>657</v>
      </c>
      <c r="B28" s="790"/>
      <c r="C28" s="789"/>
      <c r="D28" s="789"/>
      <c r="E28" s="1140">
        <f>SUM(E29:E31)</f>
        <v>175826972</v>
      </c>
      <c r="F28" s="789"/>
      <c r="G28" s="1140">
        <f t="shared" ref="G28:AN28" si="38">SUM(G29:G31)</f>
        <v>10989185.75</v>
      </c>
      <c r="H28" s="1140">
        <f t="shared" si="38"/>
        <v>54359796</v>
      </c>
      <c r="I28" s="1140">
        <f t="shared" si="38"/>
        <v>3397487.25</v>
      </c>
      <c r="J28" s="1140">
        <f t="shared" si="38"/>
        <v>790000.00000000012</v>
      </c>
      <c r="K28" s="1140">
        <f t="shared" si="38"/>
        <v>53569796</v>
      </c>
      <c r="L28" s="1140">
        <f t="shared" si="38"/>
        <v>0</v>
      </c>
      <c r="M28" s="1140">
        <f t="shared" si="38"/>
        <v>0</v>
      </c>
      <c r="N28" s="1140">
        <f t="shared" si="38"/>
        <v>0</v>
      </c>
      <c r="O28" s="1140">
        <f t="shared" si="38"/>
        <v>49375.000000000007</v>
      </c>
      <c r="P28" s="1140">
        <f t="shared" si="38"/>
        <v>3348112.25</v>
      </c>
      <c r="Q28" s="1140">
        <f t="shared" si="38"/>
        <v>4114.5833333333339</v>
      </c>
      <c r="R28" s="1140">
        <f t="shared" si="38"/>
        <v>158342.6875</v>
      </c>
      <c r="S28" s="1140">
        <f t="shared" si="38"/>
        <v>4114.5833333333339</v>
      </c>
      <c r="T28" s="1140">
        <f t="shared" si="38"/>
        <v>158342.6875</v>
      </c>
      <c r="U28" s="1140">
        <f t="shared" si="38"/>
        <v>4114.5833333333339</v>
      </c>
      <c r="V28" s="1140">
        <f t="shared" si="38"/>
        <v>158342.6875</v>
      </c>
      <c r="W28" s="1140">
        <f t="shared" si="38"/>
        <v>4114.5833333333339</v>
      </c>
      <c r="X28" s="1140">
        <f t="shared" si="38"/>
        <v>158342.6875</v>
      </c>
      <c r="Y28" s="1140">
        <f t="shared" si="38"/>
        <v>4114.5833333333339</v>
      </c>
      <c r="Z28" s="1140">
        <f t="shared" si="38"/>
        <v>158342.6875</v>
      </c>
      <c r="AA28" s="1140">
        <f t="shared" si="38"/>
        <v>4114.5833333333339</v>
      </c>
      <c r="AB28" s="1140">
        <f t="shared" si="38"/>
        <v>882342.6875</v>
      </c>
      <c r="AC28" s="1140">
        <f t="shared" si="38"/>
        <v>4114.5833333333339</v>
      </c>
      <c r="AD28" s="1140">
        <f t="shared" si="38"/>
        <v>592742.6875</v>
      </c>
      <c r="AE28" s="1140">
        <f t="shared" si="38"/>
        <v>4114.5833333333339</v>
      </c>
      <c r="AF28" s="1140">
        <f t="shared" si="38"/>
        <v>447942.6875</v>
      </c>
      <c r="AG28" s="1140">
        <f t="shared" si="38"/>
        <v>4114.5833333333339</v>
      </c>
      <c r="AH28" s="1140">
        <f t="shared" si="38"/>
        <v>158342.6875</v>
      </c>
      <c r="AI28" s="1140">
        <f t="shared" si="38"/>
        <v>4114.5833333333339</v>
      </c>
      <c r="AJ28" s="1140">
        <f t="shared" si="38"/>
        <v>158342.6875</v>
      </c>
      <c r="AK28" s="1140">
        <f t="shared" si="38"/>
        <v>4114.5833333333339</v>
      </c>
      <c r="AL28" s="1140">
        <f t="shared" si="38"/>
        <v>158342.6875</v>
      </c>
      <c r="AM28" s="1140">
        <f t="shared" si="38"/>
        <v>4114.5833333333339</v>
      </c>
      <c r="AN28" s="1140">
        <f t="shared" si="38"/>
        <v>158342.6875</v>
      </c>
      <c r="AO28" s="1147">
        <f>+SUM(AO29:AO31)</f>
        <v>3397487.25</v>
      </c>
      <c r="AQ28" s="835"/>
    </row>
    <row r="29" spans="1:46" s="763" customFormat="1" x14ac:dyDescent="0.3">
      <c r="A29" s="1213" t="s">
        <v>844</v>
      </c>
      <c r="B29" s="787">
        <v>1</v>
      </c>
      <c r="C29" s="786"/>
      <c r="D29" s="786"/>
      <c r="E29" s="1138">
        <v>113664972</v>
      </c>
      <c r="F29" s="788">
        <v>0.26746846865013085</v>
      </c>
      <c r="G29" s="1138">
        <f>+E29/$O$4</f>
        <v>7104060.75</v>
      </c>
      <c r="H29" s="1138">
        <f>E29*F29</f>
        <v>30401796</v>
      </c>
      <c r="I29" s="1138">
        <f>G29*F29</f>
        <v>1900112.25</v>
      </c>
      <c r="J29" s="900"/>
      <c r="K29" s="900">
        <v>30401796</v>
      </c>
      <c r="L29" s="900"/>
      <c r="M29" s="900"/>
      <c r="N29" s="900"/>
      <c r="O29" s="1138">
        <f t="shared" ref="O29:P31" si="39">J29/$O$4</f>
        <v>0</v>
      </c>
      <c r="P29" s="900">
        <f t="shared" si="39"/>
        <v>1900112.25</v>
      </c>
      <c r="Q29" s="900">
        <f>+$O$29/12</f>
        <v>0</v>
      </c>
      <c r="R29" s="900">
        <f>+$P$29/12</f>
        <v>158342.6875</v>
      </c>
      <c r="S29" s="900">
        <f>+$O$29/12</f>
        <v>0</v>
      </c>
      <c r="T29" s="900">
        <f>+$P$29/12</f>
        <v>158342.6875</v>
      </c>
      <c r="U29" s="900">
        <f>+$O$29/12</f>
        <v>0</v>
      </c>
      <c r="V29" s="900">
        <f>+$P$29/12</f>
        <v>158342.6875</v>
      </c>
      <c r="W29" s="900">
        <f>+$O$29/12</f>
        <v>0</v>
      </c>
      <c r="X29" s="900">
        <f>+$P$29/12</f>
        <v>158342.6875</v>
      </c>
      <c r="Y29" s="900">
        <f>+$O$29/12</f>
        <v>0</v>
      </c>
      <c r="Z29" s="900">
        <f>+$P$29/12</f>
        <v>158342.6875</v>
      </c>
      <c r="AA29" s="900">
        <f>+$O$29/12</f>
        <v>0</v>
      </c>
      <c r="AB29" s="900">
        <f>+$P$29/12</f>
        <v>158342.6875</v>
      </c>
      <c r="AC29" s="900">
        <f>+$O$29/12</f>
        <v>0</v>
      </c>
      <c r="AD29" s="900">
        <f>+$P$29/12</f>
        <v>158342.6875</v>
      </c>
      <c r="AE29" s="900">
        <f>+$O$29/12</f>
        <v>0</v>
      </c>
      <c r="AF29" s="900">
        <f>+$P$29/12</f>
        <v>158342.6875</v>
      </c>
      <c r="AG29" s="900">
        <f>+$O$29/12</f>
        <v>0</v>
      </c>
      <c r="AH29" s="900">
        <f>+$P$29/12</f>
        <v>158342.6875</v>
      </c>
      <c r="AI29" s="900">
        <f>+$O$29/12</f>
        <v>0</v>
      </c>
      <c r="AJ29" s="900">
        <f>+$P$29/12</f>
        <v>158342.6875</v>
      </c>
      <c r="AK29" s="900">
        <f>+$O$29/12</f>
        <v>0</v>
      </c>
      <c r="AL29" s="900">
        <f>+$P$29/12</f>
        <v>158342.6875</v>
      </c>
      <c r="AM29" s="900">
        <f>+$O$29/12</f>
        <v>0</v>
      </c>
      <c r="AN29" s="900">
        <f>+$P$29/12</f>
        <v>158342.6875</v>
      </c>
      <c r="AO29" s="1137">
        <f t="shared" ref="AO29:AO45" si="40">+SUM(Q29:AN29)</f>
        <v>1900112.25</v>
      </c>
      <c r="AQ29" s="835"/>
    </row>
    <row r="30" spans="1:46" s="763" customFormat="1" x14ac:dyDescent="0.3">
      <c r="A30" s="821" t="s">
        <v>656</v>
      </c>
      <c r="B30" s="787">
        <v>1</v>
      </c>
      <c r="C30" s="786"/>
      <c r="D30" s="786"/>
      <c r="E30" s="1138">
        <v>2290000</v>
      </c>
      <c r="F30" s="788">
        <v>0.34497816593886466</v>
      </c>
      <c r="G30" s="1138">
        <f>+E30/$O$4</f>
        <v>143125</v>
      </c>
      <c r="H30" s="1138">
        <f>E30*F30</f>
        <v>790000.00000000012</v>
      </c>
      <c r="I30" s="1138">
        <f>G30*F30</f>
        <v>49375.000000000007</v>
      </c>
      <c r="J30" s="900">
        <v>790000.00000000012</v>
      </c>
      <c r="K30" s="900"/>
      <c r="L30" s="900"/>
      <c r="M30" s="900"/>
      <c r="N30" s="900"/>
      <c r="O30" s="1138">
        <f t="shared" si="39"/>
        <v>49375.000000000007</v>
      </c>
      <c r="P30" s="900">
        <f t="shared" si="39"/>
        <v>0</v>
      </c>
      <c r="Q30" s="900">
        <f>+O30/12</f>
        <v>4114.5833333333339</v>
      </c>
      <c r="R30" s="900">
        <f>+$P$30/12</f>
        <v>0</v>
      </c>
      <c r="S30" s="900">
        <f>+Q30</f>
        <v>4114.5833333333339</v>
      </c>
      <c r="T30" s="900">
        <f>+$P$30/12</f>
        <v>0</v>
      </c>
      <c r="U30" s="900">
        <f>+S30</f>
        <v>4114.5833333333339</v>
      </c>
      <c r="V30" s="900">
        <f>+$P$30/12</f>
        <v>0</v>
      </c>
      <c r="W30" s="900">
        <f>+U30</f>
        <v>4114.5833333333339</v>
      </c>
      <c r="X30" s="900">
        <f>+$P$30/12</f>
        <v>0</v>
      </c>
      <c r="Y30" s="900">
        <f>+W30</f>
        <v>4114.5833333333339</v>
      </c>
      <c r="Z30" s="900">
        <f>+$P$30/12</f>
        <v>0</v>
      </c>
      <c r="AA30" s="900">
        <f>+Y30</f>
        <v>4114.5833333333339</v>
      </c>
      <c r="AB30" s="900">
        <f>+$P$30/12</f>
        <v>0</v>
      </c>
      <c r="AC30" s="900">
        <f>+AA30</f>
        <v>4114.5833333333339</v>
      </c>
      <c r="AD30" s="900">
        <f>+$P$30/12</f>
        <v>0</v>
      </c>
      <c r="AE30" s="1142">
        <f>+AC30</f>
        <v>4114.5833333333339</v>
      </c>
      <c r="AF30" s="900">
        <f>+$P$30/12</f>
        <v>0</v>
      </c>
      <c r="AG30" s="1142">
        <f>+AE30</f>
        <v>4114.5833333333339</v>
      </c>
      <c r="AH30" s="900">
        <f>+$P$30/12</f>
        <v>0</v>
      </c>
      <c r="AI30" s="1142">
        <f>+AG30</f>
        <v>4114.5833333333339</v>
      </c>
      <c r="AJ30" s="900">
        <f>+$P$30/12</f>
        <v>0</v>
      </c>
      <c r="AK30" s="1142">
        <f>+AI30</f>
        <v>4114.5833333333339</v>
      </c>
      <c r="AL30" s="900">
        <f>+$P$30/12</f>
        <v>0</v>
      </c>
      <c r="AM30" s="1142">
        <f>+AK30</f>
        <v>4114.5833333333339</v>
      </c>
      <c r="AN30" s="900">
        <f>+$P$30/12</f>
        <v>0</v>
      </c>
      <c r="AO30" s="1137">
        <f t="shared" si="40"/>
        <v>49375.000000000022</v>
      </c>
      <c r="AQ30" s="835"/>
    </row>
    <row r="31" spans="1:46" s="763" customFormat="1" x14ac:dyDescent="0.3">
      <c r="A31" s="821" t="s">
        <v>413</v>
      </c>
      <c r="B31" s="787">
        <v>1</v>
      </c>
      <c r="C31" s="786"/>
      <c r="D31" s="786"/>
      <c r="E31" s="1138">
        <v>59872000</v>
      </c>
      <c r="F31" s="788">
        <v>0.38695884553714593</v>
      </c>
      <c r="G31" s="1138">
        <f>+E31/$O$4</f>
        <v>3742000</v>
      </c>
      <c r="H31" s="1138">
        <f>E31*F31</f>
        <v>23168000</v>
      </c>
      <c r="I31" s="1138">
        <f>G31*F31</f>
        <v>1448000</v>
      </c>
      <c r="J31" s="900">
        <v>0</v>
      </c>
      <c r="K31" s="900">
        <v>23168000</v>
      </c>
      <c r="L31" s="900"/>
      <c r="M31" s="900"/>
      <c r="N31" s="900"/>
      <c r="O31" s="1138">
        <f t="shared" si="39"/>
        <v>0</v>
      </c>
      <c r="P31" s="900">
        <f t="shared" si="39"/>
        <v>1448000</v>
      </c>
      <c r="Q31" s="900"/>
      <c r="R31" s="900"/>
      <c r="S31" s="900"/>
      <c r="T31" s="900"/>
      <c r="U31" s="900"/>
      <c r="V31" s="900"/>
      <c r="W31" s="900"/>
      <c r="X31" s="900"/>
      <c r="Y31" s="900"/>
      <c r="Z31" s="900"/>
      <c r="AA31" s="900"/>
      <c r="AB31" s="900">
        <f>+P31*0.5</f>
        <v>724000</v>
      </c>
      <c r="AC31" s="900"/>
      <c r="AD31" s="1142">
        <f>+P31*0.3</f>
        <v>434400</v>
      </c>
      <c r="AE31" s="1142"/>
      <c r="AF31" s="1142">
        <f>+P31*0.2</f>
        <v>289600</v>
      </c>
      <c r="AG31" s="1142"/>
      <c r="AH31" s="1142"/>
      <c r="AI31" s="1142"/>
      <c r="AJ31" s="1142"/>
      <c r="AK31" s="1142"/>
      <c r="AL31" s="1142"/>
      <c r="AM31" s="1142"/>
      <c r="AN31" s="1142"/>
      <c r="AO31" s="1137">
        <f t="shared" si="40"/>
        <v>1448000</v>
      </c>
      <c r="AQ31" s="835"/>
    </row>
    <row r="32" spans="1:46" ht="18" x14ac:dyDescent="0.35">
      <c r="A32" s="789" t="s">
        <v>658</v>
      </c>
      <c r="B32" s="790"/>
      <c r="C32" s="794"/>
      <c r="D32" s="794"/>
      <c r="E32" s="1145">
        <f>SUM(E33:E34)</f>
        <v>144744108</v>
      </c>
      <c r="F32" s="790"/>
      <c r="G32" s="1140">
        <f>SUM(G33:G34)</f>
        <v>9046506.75</v>
      </c>
      <c r="H32" s="1140">
        <f>SUM(H33:H34)</f>
        <v>37175508</v>
      </c>
      <c r="I32" s="1140">
        <f>SUM(I33:I34)</f>
        <v>2323469.25</v>
      </c>
      <c r="J32" s="1140">
        <f>SUM(J33:J34)</f>
        <v>792000</v>
      </c>
      <c r="K32" s="1140">
        <f>SUM(K33:K34)</f>
        <v>36383508</v>
      </c>
      <c r="L32" s="1140">
        <f>SUM(L33:L33)</f>
        <v>0</v>
      </c>
      <c r="M32" s="1140">
        <f>SUM(M33:M33)</f>
        <v>0</v>
      </c>
      <c r="N32" s="1140">
        <f>SUM(N33:N33)</f>
        <v>0</v>
      </c>
      <c r="O32" s="1140">
        <f t="shared" ref="O32:AO32" si="41">SUM(O33:O34)</f>
        <v>49500</v>
      </c>
      <c r="P32" s="1140">
        <f t="shared" si="41"/>
        <v>2273969.25</v>
      </c>
      <c r="Q32" s="1140">
        <f t="shared" si="41"/>
        <v>3300</v>
      </c>
      <c r="R32" s="1140">
        <f t="shared" si="41"/>
        <v>189497.4375</v>
      </c>
      <c r="S32" s="1140">
        <f t="shared" si="41"/>
        <v>3300</v>
      </c>
      <c r="T32" s="1140">
        <f t="shared" si="41"/>
        <v>189497.4375</v>
      </c>
      <c r="U32" s="1140">
        <f t="shared" si="41"/>
        <v>3300</v>
      </c>
      <c r="V32" s="1140">
        <f t="shared" si="41"/>
        <v>189497.4375</v>
      </c>
      <c r="W32" s="1140">
        <f t="shared" si="41"/>
        <v>3300</v>
      </c>
      <c r="X32" s="1140">
        <f t="shared" si="41"/>
        <v>189497.4375</v>
      </c>
      <c r="Y32" s="1140">
        <f t="shared" si="41"/>
        <v>3300</v>
      </c>
      <c r="Z32" s="1140">
        <f t="shared" si="41"/>
        <v>189497.4375</v>
      </c>
      <c r="AA32" s="1140">
        <f t="shared" si="41"/>
        <v>3300</v>
      </c>
      <c r="AB32" s="1140">
        <f t="shared" si="41"/>
        <v>189497.4375</v>
      </c>
      <c r="AC32" s="1140">
        <f t="shared" si="41"/>
        <v>4950</v>
      </c>
      <c r="AD32" s="1140">
        <f t="shared" si="41"/>
        <v>189497.4375</v>
      </c>
      <c r="AE32" s="1140">
        <f t="shared" si="41"/>
        <v>4950</v>
      </c>
      <c r="AF32" s="1140">
        <f t="shared" si="41"/>
        <v>189497.4375</v>
      </c>
      <c r="AG32" s="1140">
        <f t="shared" si="41"/>
        <v>4950</v>
      </c>
      <c r="AH32" s="1140">
        <f t="shared" si="41"/>
        <v>189497.4375</v>
      </c>
      <c r="AI32" s="1140">
        <f t="shared" si="41"/>
        <v>4950</v>
      </c>
      <c r="AJ32" s="1140">
        <f t="shared" si="41"/>
        <v>189497.4375</v>
      </c>
      <c r="AK32" s="1140">
        <f t="shared" si="41"/>
        <v>4950</v>
      </c>
      <c r="AL32" s="1140">
        <f t="shared" si="41"/>
        <v>189497.4375</v>
      </c>
      <c r="AM32" s="1140">
        <f t="shared" si="41"/>
        <v>4950</v>
      </c>
      <c r="AN32" s="1140">
        <f t="shared" si="41"/>
        <v>189497.4375</v>
      </c>
      <c r="AO32" s="1147">
        <f t="shared" si="41"/>
        <v>2323469.25</v>
      </c>
      <c r="AQ32" s="835"/>
    </row>
    <row r="33" spans="1:43" s="763" customFormat="1" x14ac:dyDescent="0.3">
      <c r="A33" s="1213" t="s">
        <v>844</v>
      </c>
      <c r="B33" s="787">
        <v>12</v>
      </c>
      <c r="C33" s="786"/>
      <c r="D33" s="786"/>
      <c r="E33" s="1138">
        <v>142830108</v>
      </c>
      <c r="F33" s="795">
        <v>0.25473276264693434</v>
      </c>
      <c r="G33" s="1141">
        <f>+E33/$O$4</f>
        <v>8926881.75</v>
      </c>
      <c r="H33" s="1138">
        <f>E33*F33</f>
        <v>36383508</v>
      </c>
      <c r="I33" s="1138">
        <f>G33*F33</f>
        <v>2273969.25</v>
      </c>
      <c r="J33" s="1138"/>
      <c r="K33" s="1138">
        <v>36383508</v>
      </c>
      <c r="L33" s="1138"/>
      <c r="M33" s="1138"/>
      <c r="N33" s="1138"/>
      <c r="O33" s="1138">
        <f t="shared" ref="O33:P34" si="42">J33/$O$4</f>
        <v>0</v>
      </c>
      <c r="P33" s="1138">
        <f>K33/$O$4</f>
        <v>2273969.25</v>
      </c>
      <c r="Q33" s="1138">
        <f>+'[2]Proyectos - Ejecucion - Tiempo'!C9</f>
        <v>0</v>
      </c>
      <c r="R33" s="1138">
        <f>+$P$33/12</f>
        <v>189497.4375</v>
      </c>
      <c r="S33" s="1138"/>
      <c r="T33" s="1138">
        <f>+$P$33/12</f>
        <v>189497.4375</v>
      </c>
      <c r="U33" s="1138"/>
      <c r="V33" s="1138">
        <f>+$P$33/12</f>
        <v>189497.4375</v>
      </c>
      <c r="W33" s="1138"/>
      <c r="X33" s="1138">
        <f>+$P$33/12</f>
        <v>189497.4375</v>
      </c>
      <c r="Y33" s="1138"/>
      <c r="Z33" s="1138">
        <f>+$P$33/12</f>
        <v>189497.4375</v>
      </c>
      <c r="AA33" s="1138"/>
      <c r="AB33" s="1138">
        <f>+$P$33/12</f>
        <v>189497.4375</v>
      </c>
      <c r="AC33" s="1138"/>
      <c r="AD33" s="1138">
        <f>+$P$33/12</f>
        <v>189497.4375</v>
      </c>
      <c r="AE33" s="1138"/>
      <c r="AF33" s="1138">
        <f>+$P$33/12</f>
        <v>189497.4375</v>
      </c>
      <c r="AG33" s="1138"/>
      <c r="AH33" s="1138">
        <f>+$P$33/12</f>
        <v>189497.4375</v>
      </c>
      <c r="AI33" s="1138"/>
      <c r="AJ33" s="1138">
        <f>+$P$33/12</f>
        <v>189497.4375</v>
      </c>
      <c r="AK33" s="1138"/>
      <c r="AL33" s="1138">
        <f>+$P$33/12</f>
        <v>189497.4375</v>
      </c>
      <c r="AM33" s="1138"/>
      <c r="AN33" s="1138">
        <f>+$P$33/12</f>
        <v>189497.4375</v>
      </c>
      <c r="AO33" s="1137">
        <f t="shared" si="40"/>
        <v>2273969.25</v>
      </c>
      <c r="AQ33" s="835"/>
    </row>
    <row r="34" spans="1:43" s="763" customFormat="1" x14ac:dyDescent="0.3">
      <c r="A34" s="820" t="s">
        <v>656</v>
      </c>
      <c r="B34" s="787"/>
      <c r="C34" s="786"/>
      <c r="D34" s="786"/>
      <c r="E34" s="1138">
        <v>1914000</v>
      </c>
      <c r="F34" s="795">
        <v>0.41379310344827586</v>
      </c>
      <c r="G34" s="1141">
        <f>+E34/$O$4</f>
        <v>119625</v>
      </c>
      <c r="H34" s="1138">
        <f>E34*F34</f>
        <v>792000</v>
      </c>
      <c r="I34" s="1138">
        <f>+F34*G34</f>
        <v>49500</v>
      </c>
      <c r="J34" s="1138">
        <v>792000</v>
      </c>
      <c r="K34" s="1138"/>
      <c r="L34" s="1138"/>
      <c r="M34" s="1138"/>
      <c r="N34" s="1138"/>
      <c r="O34" s="1138">
        <f t="shared" si="42"/>
        <v>49500</v>
      </c>
      <c r="P34" s="1138">
        <f t="shared" si="42"/>
        <v>0</v>
      </c>
      <c r="Q34" s="1138">
        <v>3300</v>
      </c>
      <c r="R34" s="1138"/>
      <c r="S34" s="1138">
        <v>3300</v>
      </c>
      <c r="T34" s="1138"/>
      <c r="U34" s="1138">
        <v>3300</v>
      </c>
      <c r="V34" s="1138">
        <f>+$P$34/10</f>
        <v>0</v>
      </c>
      <c r="W34" s="1138">
        <v>3300</v>
      </c>
      <c r="X34" s="1138">
        <f>+$P$34/10</f>
        <v>0</v>
      </c>
      <c r="Y34" s="1138">
        <v>3300</v>
      </c>
      <c r="Z34" s="1138">
        <f>+$P$34/10</f>
        <v>0</v>
      </c>
      <c r="AA34" s="1138">
        <v>3300</v>
      </c>
      <c r="AB34" s="1138">
        <f>+$P$34/10</f>
        <v>0</v>
      </c>
      <c r="AC34" s="1138">
        <v>4950</v>
      </c>
      <c r="AD34" s="1138">
        <f>+$P$34/10</f>
        <v>0</v>
      </c>
      <c r="AE34" s="1138">
        <v>4950</v>
      </c>
      <c r="AF34" s="1138">
        <f>+$P$34/10</f>
        <v>0</v>
      </c>
      <c r="AG34" s="1138">
        <v>4950</v>
      </c>
      <c r="AH34" s="1138">
        <f>+$P$34/10</f>
        <v>0</v>
      </c>
      <c r="AI34" s="1138">
        <v>4950</v>
      </c>
      <c r="AJ34" s="1138">
        <f>+$P$34/10</f>
        <v>0</v>
      </c>
      <c r="AK34" s="1138">
        <v>4950</v>
      </c>
      <c r="AL34" s="1138">
        <f>+$P$34/10</f>
        <v>0</v>
      </c>
      <c r="AM34" s="1138">
        <v>4950</v>
      </c>
      <c r="AN34" s="1138">
        <f>+$P$34/10</f>
        <v>0</v>
      </c>
      <c r="AO34" s="1137">
        <f t="shared" si="40"/>
        <v>49500</v>
      </c>
      <c r="AQ34" s="835"/>
    </row>
    <row r="35" spans="1:43" ht="18" x14ac:dyDescent="0.35">
      <c r="A35" s="796" t="s">
        <v>494</v>
      </c>
      <c r="B35" s="797"/>
      <c r="C35" s="798"/>
      <c r="D35" s="798"/>
      <c r="E35" s="1146">
        <f>SUM(E36:E38)</f>
        <v>40552536</v>
      </c>
      <c r="F35" s="790"/>
      <c r="G35" s="1140">
        <f>SUM(G36:G38)</f>
        <v>2534533.5</v>
      </c>
      <c r="H35" s="1140">
        <f t="shared" ref="H35:AN35" si="43">SUM(H36:H38)</f>
        <v>9824536</v>
      </c>
      <c r="I35" s="1140">
        <f t="shared" si="43"/>
        <v>614033.5</v>
      </c>
      <c r="J35" s="1140">
        <f t="shared" si="43"/>
        <v>0</v>
      </c>
      <c r="K35" s="1140">
        <f t="shared" si="43"/>
        <v>9824536</v>
      </c>
      <c r="L35" s="1140">
        <f t="shared" si="43"/>
        <v>0</v>
      </c>
      <c r="M35" s="1140">
        <f t="shared" si="43"/>
        <v>0</v>
      </c>
      <c r="N35" s="1140">
        <f t="shared" si="43"/>
        <v>0</v>
      </c>
      <c r="O35" s="1140">
        <f t="shared" si="43"/>
        <v>0</v>
      </c>
      <c r="P35" s="1140">
        <f t="shared" si="43"/>
        <v>614033.5</v>
      </c>
      <c r="Q35" s="1140">
        <f t="shared" si="43"/>
        <v>0</v>
      </c>
      <c r="R35" s="1140">
        <f>SUM(R36:R38)</f>
        <v>115325.16666666666</v>
      </c>
      <c r="S35" s="1140">
        <f t="shared" si="43"/>
        <v>0</v>
      </c>
      <c r="T35" s="1140">
        <f t="shared" si="43"/>
        <v>40791.666666666664</v>
      </c>
      <c r="U35" s="1140">
        <f t="shared" si="43"/>
        <v>0</v>
      </c>
      <c r="V35" s="1140">
        <f t="shared" si="43"/>
        <v>40791.666666666664</v>
      </c>
      <c r="W35" s="1140">
        <f t="shared" si="43"/>
        <v>0</v>
      </c>
      <c r="X35" s="1140">
        <f t="shared" si="43"/>
        <v>40791.666666666664</v>
      </c>
      <c r="Y35" s="1140">
        <f t="shared" si="43"/>
        <v>0</v>
      </c>
      <c r="Z35" s="1140">
        <f t="shared" si="43"/>
        <v>40791.666666666664</v>
      </c>
      <c r="AA35" s="1140">
        <f t="shared" si="43"/>
        <v>0</v>
      </c>
      <c r="AB35" s="1140">
        <f t="shared" si="43"/>
        <v>90791.666666666657</v>
      </c>
      <c r="AC35" s="1140">
        <f t="shared" si="43"/>
        <v>0</v>
      </c>
      <c r="AD35" s="1140">
        <f t="shared" si="43"/>
        <v>40791.666666666664</v>
      </c>
      <c r="AE35" s="1140">
        <f t="shared" si="43"/>
        <v>0</v>
      </c>
      <c r="AF35" s="1140">
        <f t="shared" si="43"/>
        <v>40791.666666666664</v>
      </c>
      <c r="AG35" s="1140">
        <f t="shared" si="43"/>
        <v>0</v>
      </c>
      <c r="AH35" s="1140">
        <f t="shared" si="43"/>
        <v>40791.666666666664</v>
      </c>
      <c r="AI35" s="1140">
        <f t="shared" si="43"/>
        <v>0</v>
      </c>
      <c r="AJ35" s="1140">
        <f t="shared" si="43"/>
        <v>40791.666666666664</v>
      </c>
      <c r="AK35" s="1140">
        <f t="shared" si="43"/>
        <v>0</v>
      </c>
      <c r="AL35" s="1140">
        <f t="shared" si="43"/>
        <v>40791.666666666664</v>
      </c>
      <c r="AM35" s="1140">
        <f t="shared" si="43"/>
        <v>0</v>
      </c>
      <c r="AN35" s="1140">
        <f t="shared" si="43"/>
        <v>40791.666666666664</v>
      </c>
      <c r="AO35" s="1147">
        <f>SUM(AO36:AO38)</f>
        <v>614033.5</v>
      </c>
      <c r="AQ35" s="835"/>
    </row>
    <row r="36" spans="1:43" s="763" customFormat="1" x14ac:dyDescent="0.3">
      <c r="A36" s="1213" t="s">
        <v>844</v>
      </c>
      <c r="B36" s="787">
        <v>12</v>
      </c>
      <c r="C36" s="786"/>
      <c r="D36" s="786"/>
      <c r="E36" s="1138">
        <v>36160000</v>
      </c>
      <c r="F36" s="788">
        <v>0.2</v>
      </c>
      <c r="G36" s="1142">
        <f>+E36/$O$4</f>
        <v>2260000</v>
      </c>
      <c r="H36" s="1142">
        <f t="shared" ref="H36:I38" si="44">+E36*F36</f>
        <v>7232000</v>
      </c>
      <c r="I36" s="1142">
        <f t="shared" si="44"/>
        <v>452000</v>
      </c>
      <c r="J36" s="1142"/>
      <c r="K36" s="1142">
        <f>+H36</f>
        <v>7232000</v>
      </c>
      <c r="L36" s="1142"/>
      <c r="M36" s="1142"/>
      <c r="N36" s="1142"/>
      <c r="O36" s="1142"/>
      <c r="P36" s="1142">
        <f>I36</f>
        <v>452000</v>
      </c>
      <c r="Q36" s="1142"/>
      <c r="R36" s="1142">
        <f>+$P$36/12</f>
        <v>37666.666666666664</v>
      </c>
      <c r="S36" s="1142"/>
      <c r="T36" s="1142">
        <f>+$P$36/12</f>
        <v>37666.666666666664</v>
      </c>
      <c r="U36" s="1142"/>
      <c r="V36" s="1142">
        <f>+$P$36/12</f>
        <v>37666.666666666664</v>
      </c>
      <c r="W36" s="1142"/>
      <c r="X36" s="1142">
        <f>+$P$36/12</f>
        <v>37666.666666666664</v>
      </c>
      <c r="Y36" s="1142"/>
      <c r="Z36" s="1142">
        <f>+$P$36/12</f>
        <v>37666.666666666664</v>
      </c>
      <c r="AA36" s="1142"/>
      <c r="AB36" s="1142">
        <f>+$P$36/12</f>
        <v>37666.666666666664</v>
      </c>
      <c r="AC36" s="1142"/>
      <c r="AD36" s="1142">
        <f>+$P$36/12</f>
        <v>37666.666666666664</v>
      </c>
      <c r="AE36" s="1142"/>
      <c r="AF36" s="1142">
        <f>+$P$36/12</f>
        <v>37666.666666666664</v>
      </c>
      <c r="AG36" s="1142"/>
      <c r="AH36" s="1142">
        <f>+$P$36/12</f>
        <v>37666.666666666664</v>
      </c>
      <c r="AI36" s="1142"/>
      <c r="AJ36" s="1142">
        <f>+$P$36/12</f>
        <v>37666.666666666664</v>
      </c>
      <c r="AK36" s="1142"/>
      <c r="AL36" s="1142">
        <f>+$P$36/12</f>
        <v>37666.666666666664</v>
      </c>
      <c r="AM36" s="1142">
        <v>0</v>
      </c>
      <c r="AN36" s="1142">
        <f>+$P$36/12</f>
        <v>37666.666666666664</v>
      </c>
      <c r="AO36" s="1137">
        <f t="shared" si="40"/>
        <v>452000.00000000006</v>
      </c>
      <c r="AQ36" s="835"/>
    </row>
    <row r="37" spans="1:43" s="763" customFormat="1" x14ac:dyDescent="0.3">
      <c r="A37" s="821" t="s">
        <v>645</v>
      </c>
      <c r="B37" s="787">
        <v>12</v>
      </c>
      <c r="C37" s="786"/>
      <c r="D37" s="786"/>
      <c r="E37" s="1138">
        <v>1192536</v>
      </c>
      <c r="F37" s="788">
        <v>1</v>
      </c>
      <c r="G37" s="1142">
        <f>+E37/$O$4</f>
        <v>74533.5</v>
      </c>
      <c r="H37" s="1142">
        <f t="shared" si="44"/>
        <v>1192536</v>
      </c>
      <c r="I37" s="1142">
        <f t="shared" si="44"/>
        <v>74533.5</v>
      </c>
      <c r="J37" s="1142"/>
      <c r="K37" s="1142">
        <f>+H37</f>
        <v>1192536</v>
      </c>
      <c r="L37" s="1142"/>
      <c r="M37" s="1142"/>
      <c r="N37" s="1142"/>
      <c r="O37" s="1142"/>
      <c r="P37" s="1142">
        <f>I37</f>
        <v>74533.5</v>
      </c>
      <c r="Q37" s="1142"/>
      <c r="R37" s="1142">
        <f>+P37</f>
        <v>74533.5</v>
      </c>
      <c r="S37" s="1142"/>
      <c r="T37" s="1142"/>
      <c r="U37" s="1142"/>
      <c r="V37" s="1142"/>
      <c r="W37" s="1142"/>
      <c r="X37" s="1142"/>
      <c r="Y37" s="1142"/>
      <c r="Z37" s="1142"/>
      <c r="AA37" s="1142"/>
      <c r="AB37" s="1142"/>
      <c r="AC37" s="1142"/>
      <c r="AD37" s="1142"/>
      <c r="AE37" s="1142"/>
      <c r="AF37" s="1142"/>
      <c r="AG37" s="1142"/>
      <c r="AH37" s="1142"/>
      <c r="AI37" s="1142"/>
      <c r="AJ37" s="1142"/>
      <c r="AK37" s="1142"/>
      <c r="AL37" s="1142"/>
      <c r="AM37" s="1142">
        <v>0</v>
      </c>
      <c r="AN37" s="1142">
        <v>0</v>
      </c>
      <c r="AO37" s="1137">
        <f t="shared" si="40"/>
        <v>74533.5</v>
      </c>
      <c r="AQ37" s="835"/>
    </row>
    <row r="38" spans="1:43" s="763" customFormat="1" x14ac:dyDescent="0.3">
      <c r="A38" s="821" t="s">
        <v>413</v>
      </c>
      <c r="B38" s="787"/>
      <c r="C38" s="786"/>
      <c r="D38" s="786"/>
      <c r="E38" s="1138">
        <v>3200000</v>
      </c>
      <c r="F38" s="788">
        <v>0.4375</v>
      </c>
      <c r="G38" s="1142">
        <f>+E38/$O$4</f>
        <v>200000</v>
      </c>
      <c r="H38" s="1142">
        <f t="shared" si="44"/>
        <v>1400000</v>
      </c>
      <c r="I38" s="1142">
        <f t="shared" si="44"/>
        <v>87500</v>
      </c>
      <c r="J38" s="1142"/>
      <c r="K38" s="1142">
        <f>+I38*16</f>
        <v>1400000</v>
      </c>
      <c r="L38" s="1142"/>
      <c r="M38" s="1142"/>
      <c r="N38" s="1142"/>
      <c r="O38" s="1142"/>
      <c r="P38" s="1142">
        <f>I38</f>
        <v>87500</v>
      </c>
      <c r="Q38" s="1142">
        <f>+$O$38/12</f>
        <v>0</v>
      </c>
      <c r="R38" s="1142">
        <f>37500/12</f>
        <v>3125</v>
      </c>
      <c r="S38" s="1142"/>
      <c r="T38" s="1142">
        <f>37500/12</f>
        <v>3125</v>
      </c>
      <c r="U38" s="1142"/>
      <c r="V38" s="1142">
        <f>37500/12</f>
        <v>3125</v>
      </c>
      <c r="W38" s="1142"/>
      <c r="X38" s="1142">
        <f>37500/12</f>
        <v>3125</v>
      </c>
      <c r="Y38" s="1142"/>
      <c r="Z38" s="1142">
        <f>37500/12</f>
        <v>3125</v>
      </c>
      <c r="AA38" s="1142"/>
      <c r="AB38" s="1142">
        <f>(37500/12)+50000</f>
        <v>53125</v>
      </c>
      <c r="AC38" s="1142"/>
      <c r="AD38" s="1142">
        <f>37500/12</f>
        <v>3125</v>
      </c>
      <c r="AE38" s="1142"/>
      <c r="AF38" s="1142">
        <f>37500/12</f>
        <v>3125</v>
      </c>
      <c r="AG38" s="1142"/>
      <c r="AH38" s="1142">
        <f>37500/12</f>
        <v>3125</v>
      </c>
      <c r="AI38" s="1142"/>
      <c r="AJ38" s="1142">
        <f>37500/12</f>
        <v>3125</v>
      </c>
      <c r="AK38" s="1142"/>
      <c r="AL38" s="1142">
        <f>37500/12</f>
        <v>3125</v>
      </c>
      <c r="AM38" s="1142"/>
      <c r="AN38" s="1142">
        <f>37500/12</f>
        <v>3125</v>
      </c>
      <c r="AO38" s="1137">
        <f t="shared" si="40"/>
        <v>87500</v>
      </c>
      <c r="AQ38" s="835"/>
    </row>
    <row r="39" spans="1:43" ht="18" x14ac:dyDescent="0.35">
      <c r="A39" s="799" t="s">
        <v>416</v>
      </c>
      <c r="B39" s="800"/>
      <c r="C39" s="801"/>
      <c r="D39" s="801"/>
      <c r="E39" s="1154">
        <f t="shared" ref="E39:O39" si="45">SUM(E40:E41)</f>
        <v>874000</v>
      </c>
      <c r="F39" s="1154">
        <v>0.2</v>
      </c>
      <c r="G39" s="1154">
        <f t="shared" si="45"/>
        <v>54625</v>
      </c>
      <c r="H39" s="1154">
        <f t="shared" si="45"/>
        <v>174800</v>
      </c>
      <c r="I39" s="1154">
        <f t="shared" si="45"/>
        <v>10925</v>
      </c>
      <c r="J39" s="1154">
        <f t="shared" si="45"/>
        <v>174800</v>
      </c>
      <c r="K39" s="1154">
        <f t="shared" si="45"/>
        <v>0</v>
      </c>
      <c r="L39" s="1154">
        <f t="shared" si="45"/>
        <v>0</v>
      </c>
      <c r="M39" s="1154">
        <f t="shared" si="45"/>
        <v>0</v>
      </c>
      <c r="N39" s="1154">
        <f t="shared" si="45"/>
        <v>0</v>
      </c>
      <c r="O39" s="1154">
        <f t="shared" si="45"/>
        <v>10925</v>
      </c>
      <c r="P39" s="1154">
        <f>SUM(P40:P41)</f>
        <v>0</v>
      </c>
      <c r="Q39" s="1154">
        <f t="shared" ref="Q39:AO39" si="46">SUM(Q40:Q41)</f>
        <v>910.41666666666663</v>
      </c>
      <c r="R39" s="1154">
        <f t="shared" si="46"/>
        <v>0</v>
      </c>
      <c r="S39" s="1154">
        <f t="shared" si="46"/>
        <v>910.41666666666663</v>
      </c>
      <c r="T39" s="1154">
        <f t="shared" si="46"/>
        <v>0</v>
      </c>
      <c r="U39" s="1154">
        <f t="shared" si="46"/>
        <v>910.41666666666663</v>
      </c>
      <c r="V39" s="1154">
        <f t="shared" si="46"/>
        <v>0</v>
      </c>
      <c r="W39" s="1154">
        <f t="shared" si="46"/>
        <v>910.41666666666663</v>
      </c>
      <c r="X39" s="1154">
        <f t="shared" si="46"/>
        <v>0</v>
      </c>
      <c r="Y39" s="1154">
        <f t="shared" si="46"/>
        <v>910.41666666666663</v>
      </c>
      <c r="Z39" s="1154">
        <f t="shared" si="46"/>
        <v>0</v>
      </c>
      <c r="AA39" s="1154">
        <f t="shared" si="46"/>
        <v>910.41666666666663</v>
      </c>
      <c r="AB39" s="1154">
        <f t="shared" si="46"/>
        <v>0</v>
      </c>
      <c r="AC39" s="1154">
        <f t="shared" si="46"/>
        <v>910.41666666666663</v>
      </c>
      <c r="AD39" s="1154">
        <f t="shared" si="46"/>
        <v>0</v>
      </c>
      <c r="AE39" s="1154">
        <f t="shared" si="46"/>
        <v>910.41666666666663</v>
      </c>
      <c r="AF39" s="1154">
        <f t="shared" si="46"/>
        <v>0</v>
      </c>
      <c r="AG39" s="1154">
        <f t="shared" si="46"/>
        <v>910.41666666666663</v>
      </c>
      <c r="AH39" s="1154">
        <f t="shared" si="46"/>
        <v>0</v>
      </c>
      <c r="AI39" s="1154">
        <f t="shared" si="46"/>
        <v>910.41666666666663</v>
      </c>
      <c r="AJ39" s="1154">
        <f t="shared" si="46"/>
        <v>0</v>
      </c>
      <c r="AK39" s="1154">
        <f t="shared" si="46"/>
        <v>910.41666666666663</v>
      </c>
      <c r="AL39" s="1154">
        <f t="shared" si="46"/>
        <v>0</v>
      </c>
      <c r="AM39" s="1154">
        <f t="shared" si="46"/>
        <v>910.41666666666663</v>
      </c>
      <c r="AN39" s="1154">
        <f t="shared" si="46"/>
        <v>0</v>
      </c>
      <c r="AO39" s="1154">
        <f t="shared" si="46"/>
        <v>10924.999999999998</v>
      </c>
      <c r="AQ39" s="835"/>
    </row>
    <row r="40" spans="1:43" ht="18" x14ac:dyDescent="0.35">
      <c r="A40" s="799" t="s">
        <v>417</v>
      </c>
      <c r="B40" s="800"/>
      <c r="C40" s="801"/>
      <c r="D40" s="801"/>
      <c r="E40" s="1143"/>
      <c r="F40" s="801"/>
      <c r="G40" s="1143"/>
      <c r="H40" s="1143"/>
      <c r="I40" s="1143"/>
      <c r="J40" s="1143"/>
      <c r="K40" s="1143"/>
      <c r="L40" s="1143"/>
      <c r="M40" s="1143"/>
      <c r="N40" s="1143"/>
      <c r="O40" s="1143"/>
      <c r="P40" s="1143"/>
      <c r="Q40" s="1143"/>
      <c r="R40" s="1143"/>
      <c r="S40" s="1143"/>
      <c r="T40" s="1143"/>
      <c r="U40" s="1143"/>
      <c r="V40" s="1143"/>
      <c r="W40" s="1143"/>
      <c r="X40" s="1143"/>
      <c r="Y40" s="1143"/>
      <c r="Z40" s="1143"/>
      <c r="AA40" s="1143"/>
      <c r="AB40" s="1143"/>
      <c r="AC40" s="1143"/>
      <c r="AD40" s="1148"/>
      <c r="AE40" s="1148"/>
      <c r="AF40" s="1148"/>
      <c r="AG40" s="1148"/>
      <c r="AH40" s="1148"/>
      <c r="AI40" s="1148"/>
      <c r="AJ40" s="1148"/>
      <c r="AK40" s="1148"/>
      <c r="AL40" s="1148"/>
      <c r="AM40" s="1148"/>
      <c r="AN40" s="1148"/>
      <c r="AO40" s="1137">
        <f t="shared" si="40"/>
        <v>0</v>
      </c>
      <c r="AQ40" s="835"/>
    </row>
    <row r="41" spans="1:43" ht="18" x14ac:dyDescent="0.35">
      <c r="A41" s="799" t="s">
        <v>418</v>
      </c>
      <c r="B41" s="800"/>
      <c r="C41" s="801"/>
      <c r="D41" s="801"/>
      <c r="E41" s="1143">
        <v>874000</v>
      </c>
      <c r="F41" s="1153">
        <v>0.2</v>
      </c>
      <c r="G41" s="1143">
        <f>+E41/$O$4</f>
        <v>54625</v>
      </c>
      <c r="H41" s="1143">
        <f t="shared" ref="H41" si="47">+E41*F41</f>
        <v>174800</v>
      </c>
      <c r="I41" s="1143">
        <f t="shared" ref="I41" si="48">+F41*G41</f>
        <v>10925</v>
      </c>
      <c r="J41" s="1143">
        <f>+I41*16</f>
        <v>174800</v>
      </c>
      <c r="K41" s="1143"/>
      <c r="L41" s="1143"/>
      <c r="M41" s="1143"/>
      <c r="N41" s="1143"/>
      <c r="O41" s="1143">
        <f>I41</f>
        <v>10925</v>
      </c>
      <c r="P41" s="1143"/>
      <c r="Q41" s="1143">
        <f>+$O$41/12</f>
        <v>910.41666666666663</v>
      </c>
      <c r="R41" s="1143"/>
      <c r="S41" s="1143">
        <f>+$O$41/12</f>
        <v>910.41666666666663</v>
      </c>
      <c r="T41" s="1143"/>
      <c r="U41" s="1143">
        <f>+$O$41/12</f>
        <v>910.41666666666663</v>
      </c>
      <c r="V41" s="1143"/>
      <c r="W41" s="1143">
        <f>+$O$41/12</f>
        <v>910.41666666666663</v>
      </c>
      <c r="X41" s="1143"/>
      <c r="Y41" s="1143">
        <f>+$O$41/12</f>
        <v>910.41666666666663</v>
      </c>
      <c r="Z41" s="1143"/>
      <c r="AA41" s="1143">
        <f>+$O$41/12</f>
        <v>910.41666666666663</v>
      </c>
      <c r="AB41" s="1143"/>
      <c r="AC41" s="1143">
        <f>+$O$41/12</f>
        <v>910.41666666666663</v>
      </c>
      <c r="AD41" s="1148"/>
      <c r="AE41" s="1143">
        <f>+$O$41/12</f>
        <v>910.41666666666663</v>
      </c>
      <c r="AF41" s="1148"/>
      <c r="AG41" s="1143">
        <f>+$O$41/12</f>
        <v>910.41666666666663</v>
      </c>
      <c r="AH41" s="1148"/>
      <c r="AI41" s="1143">
        <f>+$O$41/12</f>
        <v>910.41666666666663</v>
      </c>
      <c r="AJ41" s="1148"/>
      <c r="AK41" s="1143">
        <f>+$O$41/12</f>
        <v>910.41666666666663</v>
      </c>
      <c r="AL41" s="1148"/>
      <c r="AM41" s="1143">
        <f>+$O$41/12</f>
        <v>910.41666666666663</v>
      </c>
      <c r="AN41" s="1148"/>
      <c r="AO41" s="1137">
        <f t="shared" si="40"/>
        <v>10924.999999999998</v>
      </c>
      <c r="AQ41" s="835"/>
    </row>
    <row r="42" spans="1:43" ht="18" x14ac:dyDescent="0.35">
      <c r="A42" s="802" t="s">
        <v>419</v>
      </c>
      <c r="B42" s="793"/>
      <c r="C42" s="792"/>
      <c r="D42" s="792"/>
      <c r="E42" s="1144"/>
      <c r="F42" s="792"/>
      <c r="G42" s="1144"/>
      <c r="H42" s="1144"/>
      <c r="I42" s="1149"/>
      <c r="J42" s="1144"/>
      <c r="K42" s="1144"/>
      <c r="L42" s="1144"/>
      <c r="M42" s="1144"/>
      <c r="N42" s="1144"/>
      <c r="O42" s="1144"/>
      <c r="P42" s="1144"/>
      <c r="Q42" s="1144"/>
      <c r="R42" s="1144"/>
      <c r="S42" s="1144"/>
      <c r="T42" s="1144"/>
      <c r="U42" s="1144"/>
      <c r="V42" s="1144"/>
      <c r="W42" s="1144"/>
      <c r="X42" s="1144"/>
      <c r="Y42" s="1144"/>
      <c r="Z42" s="1144"/>
      <c r="AA42" s="1144"/>
      <c r="AB42" s="1144"/>
      <c r="AC42" s="1144"/>
      <c r="AD42" s="1150"/>
      <c r="AE42" s="1150"/>
      <c r="AF42" s="1150"/>
      <c r="AG42" s="1150"/>
      <c r="AH42" s="1150"/>
      <c r="AI42" s="1150"/>
      <c r="AJ42" s="1150"/>
      <c r="AK42" s="1150"/>
      <c r="AL42" s="1150"/>
      <c r="AM42" s="1150"/>
      <c r="AN42" s="1150"/>
      <c r="AO42" s="1137">
        <f t="shared" si="40"/>
        <v>0</v>
      </c>
    </row>
    <row r="43" spans="1:43" ht="18" x14ac:dyDescent="0.35">
      <c r="A43" s="802" t="s">
        <v>420</v>
      </c>
      <c r="B43" s="793"/>
      <c r="C43" s="792"/>
      <c r="D43" s="792"/>
      <c r="E43" s="1144"/>
      <c r="F43" s="792"/>
      <c r="G43" s="1144"/>
      <c r="H43" s="1144"/>
      <c r="I43" s="1144"/>
      <c r="J43" s="1144"/>
      <c r="K43" s="1144"/>
      <c r="L43" s="1144"/>
      <c r="M43" s="1144"/>
      <c r="N43" s="1144"/>
      <c r="O43" s="1144"/>
      <c r="P43" s="1144"/>
      <c r="Q43" s="1144"/>
      <c r="R43" s="1144"/>
      <c r="S43" s="1144"/>
      <c r="T43" s="1144"/>
      <c r="U43" s="1144"/>
      <c r="V43" s="1144"/>
      <c r="W43" s="1144"/>
      <c r="X43" s="1144"/>
      <c r="Y43" s="1144"/>
      <c r="Z43" s="1144"/>
      <c r="AA43" s="1144"/>
      <c r="AB43" s="1144"/>
      <c r="AC43" s="1144"/>
      <c r="AD43" s="1150"/>
      <c r="AE43" s="1150"/>
      <c r="AF43" s="1150"/>
      <c r="AG43" s="1150"/>
      <c r="AH43" s="1150"/>
      <c r="AI43" s="1150"/>
      <c r="AJ43" s="1150"/>
      <c r="AK43" s="1150"/>
      <c r="AL43" s="1150"/>
      <c r="AM43" s="1150"/>
      <c r="AN43" s="1150"/>
      <c r="AO43" s="1137">
        <f t="shared" si="40"/>
        <v>0</v>
      </c>
    </row>
    <row r="44" spans="1:43" ht="18" x14ac:dyDescent="0.35">
      <c r="A44" s="802" t="s">
        <v>421</v>
      </c>
      <c r="B44" s="793"/>
      <c r="C44" s="792"/>
      <c r="D44" s="792"/>
      <c r="E44" s="1144"/>
      <c r="F44" s="792"/>
      <c r="G44" s="1144"/>
      <c r="H44" s="1151"/>
      <c r="I44" s="1151"/>
      <c r="J44" s="1144"/>
      <c r="K44" s="1144"/>
      <c r="L44" s="1144"/>
      <c r="M44" s="1144"/>
      <c r="N44" s="1144"/>
      <c r="O44" s="1144"/>
      <c r="P44" s="1144"/>
      <c r="Q44" s="1144"/>
      <c r="R44" s="1144"/>
      <c r="S44" s="1144"/>
      <c r="T44" s="1144"/>
      <c r="U44" s="1144"/>
      <c r="V44" s="1144"/>
      <c r="W44" s="1144"/>
      <c r="X44" s="1144"/>
      <c r="Y44" s="1144"/>
      <c r="Z44" s="1144"/>
      <c r="AA44" s="1144"/>
      <c r="AB44" s="1144"/>
      <c r="AC44" s="1144"/>
      <c r="AD44" s="1150"/>
      <c r="AE44" s="1150"/>
      <c r="AF44" s="1150"/>
      <c r="AG44" s="1150"/>
      <c r="AH44" s="1150"/>
      <c r="AI44" s="1150"/>
      <c r="AJ44" s="1150"/>
      <c r="AK44" s="1150"/>
      <c r="AL44" s="1150"/>
      <c r="AM44" s="1150"/>
      <c r="AN44" s="1150"/>
      <c r="AO44" s="1137">
        <f t="shared" si="40"/>
        <v>0</v>
      </c>
    </row>
    <row r="45" spans="1:43" ht="18" x14ac:dyDescent="0.35">
      <c r="A45" s="789" t="s">
        <v>422</v>
      </c>
      <c r="B45" s="789"/>
      <c r="C45" s="789"/>
      <c r="D45" s="789"/>
      <c r="E45" s="1140">
        <f>E42+E39+E35+E32+E28+E9</f>
        <v>816207143.88479996</v>
      </c>
      <c r="F45" s="791"/>
      <c r="G45" s="1140">
        <f t="shared" ref="G45:P45" si="49">G42+G39+G35+G32+G28+G9</f>
        <v>51012946.492799997</v>
      </c>
      <c r="H45" s="1140">
        <f t="shared" si="49"/>
        <v>254828693.59999999</v>
      </c>
      <c r="I45" s="1140">
        <f t="shared" si="49"/>
        <v>15926793.35</v>
      </c>
      <c r="J45" s="1140">
        <f t="shared" si="49"/>
        <v>8810457.5999999996</v>
      </c>
      <c r="K45" s="1140">
        <f t="shared" si="49"/>
        <v>246018236</v>
      </c>
      <c r="L45" s="1140">
        <f t="shared" si="49"/>
        <v>0</v>
      </c>
      <c r="M45" s="1140">
        <f t="shared" si="49"/>
        <v>0</v>
      </c>
      <c r="N45" s="1140">
        <f t="shared" si="49"/>
        <v>0</v>
      </c>
      <c r="O45" s="1140">
        <f t="shared" si="49"/>
        <v>550653.6</v>
      </c>
      <c r="P45" s="1140">
        <f t="shared" si="49"/>
        <v>15376139.75</v>
      </c>
      <c r="Q45" s="1140">
        <f t="shared" ref="Q45:AN45" si="50">Q42+Q39+Q35+Q32+Q28+Q19+Q22+Q15+Q10</f>
        <v>24770.833333333336</v>
      </c>
      <c r="R45" s="1140">
        <f t="shared" si="50"/>
        <v>576724.02083333326</v>
      </c>
      <c r="S45" s="1140">
        <f t="shared" si="50"/>
        <v>24770.833333333336</v>
      </c>
      <c r="T45" s="1140">
        <f t="shared" si="50"/>
        <v>502190.52083333331</v>
      </c>
      <c r="U45" s="1140">
        <f t="shared" si="50"/>
        <v>24770.833333333336</v>
      </c>
      <c r="V45" s="1140">
        <f t="shared" si="50"/>
        <v>3110190.5208333335</v>
      </c>
      <c r="W45" s="1140">
        <f t="shared" si="50"/>
        <v>24770.833333333336</v>
      </c>
      <c r="X45" s="1140">
        <f t="shared" si="50"/>
        <v>577440.52083333326</v>
      </c>
      <c r="Y45" s="1140">
        <f t="shared" si="50"/>
        <v>24770.833333333336</v>
      </c>
      <c r="Z45" s="1140">
        <f t="shared" si="50"/>
        <v>502190.52083333331</v>
      </c>
      <c r="AA45" s="1140">
        <f t="shared" si="50"/>
        <v>24770.833333333336</v>
      </c>
      <c r="AB45" s="1140">
        <f t="shared" si="50"/>
        <v>1658190.5208333333</v>
      </c>
      <c r="AC45" s="1140">
        <f t="shared" si="50"/>
        <v>19654.166666666668</v>
      </c>
      <c r="AD45" s="1140">
        <f t="shared" si="50"/>
        <v>3544590.520833333</v>
      </c>
      <c r="AE45" s="1140">
        <f t="shared" si="50"/>
        <v>19654.166666666668</v>
      </c>
      <c r="AF45" s="1140">
        <f t="shared" si="50"/>
        <v>980604.52083333326</v>
      </c>
      <c r="AG45" s="1140">
        <f t="shared" si="50"/>
        <v>19654.166666666668</v>
      </c>
      <c r="AH45" s="1140">
        <f t="shared" si="50"/>
        <v>511004.52083333331</v>
      </c>
      <c r="AI45" s="1140">
        <f t="shared" si="50"/>
        <v>19654.166666666668</v>
      </c>
      <c r="AJ45" s="1140">
        <f t="shared" si="50"/>
        <v>831004.52083333326</v>
      </c>
      <c r="AK45" s="1140">
        <f t="shared" si="50"/>
        <v>19654.166666666668</v>
      </c>
      <c r="AL45" s="1140">
        <f t="shared" si="50"/>
        <v>511004.52083333331</v>
      </c>
      <c r="AM45" s="1140">
        <f t="shared" si="50"/>
        <v>303757.76666666666</v>
      </c>
      <c r="AN45" s="1140">
        <f t="shared" si="50"/>
        <v>2071004.5208333333</v>
      </c>
      <c r="AO45" s="1140">
        <f t="shared" si="40"/>
        <v>15926793.35</v>
      </c>
      <c r="AQ45" s="835"/>
    </row>
    <row r="46" spans="1:43" x14ac:dyDescent="0.3">
      <c r="O46" s="766"/>
      <c r="P46" s="766"/>
      <c r="Q46" s="766"/>
      <c r="R46" s="766"/>
      <c r="S46" s="766"/>
      <c r="T46" s="766"/>
    </row>
    <row r="47" spans="1:43" s="1217" customFormat="1" ht="30.75" customHeight="1" x14ac:dyDescent="0.3">
      <c r="B47" s="1218"/>
      <c r="I47" s="1155"/>
      <c r="O47" s="1219"/>
      <c r="R47" s="1155"/>
      <c r="S47" s="1155"/>
      <c r="T47" s="1155"/>
      <c r="U47" s="1155"/>
      <c r="V47" s="1155"/>
      <c r="W47" s="1155"/>
      <c r="X47" s="1155"/>
      <c r="Y47" s="1155"/>
      <c r="Z47" s="1155"/>
      <c r="AA47" s="1155"/>
      <c r="AB47" s="1155"/>
      <c r="AC47" s="1155"/>
      <c r="AD47" s="1155"/>
      <c r="AE47" s="1155"/>
      <c r="AF47" s="1155"/>
      <c r="AG47" s="1155"/>
      <c r="AH47" s="1155"/>
      <c r="AI47" s="1155"/>
      <c r="AJ47" s="1155"/>
      <c r="AK47" s="1155"/>
      <c r="AL47" s="1155"/>
      <c r="AM47" s="1155"/>
      <c r="AN47" s="1155"/>
    </row>
    <row r="48" spans="1:43" s="1217" customFormat="1" x14ac:dyDescent="0.3">
      <c r="B48" s="1218"/>
      <c r="Q48" s="1219"/>
      <c r="R48" s="1219"/>
      <c r="S48" s="1219"/>
    </row>
    <row r="49" spans="2:30" s="1217" customFormat="1" x14ac:dyDescent="0.3">
      <c r="B49" s="1218"/>
      <c r="Q49" s="1219"/>
      <c r="R49" s="1219"/>
      <c r="S49" s="1219"/>
    </row>
    <row r="50" spans="2:30" s="1217" customFormat="1" x14ac:dyDescent="0.3">
      <c r="B50" s="1218"/>
      <c r="Q50" s="1219"/>
      <c r="R50" s="1219"/>
      <c r="AB50" s="1155"/>
      <c r="AD50" s="1155"/>
    </row>
    <row r="51" spans="2:30" s="1217" customFormat="1" x14ac:dyDescent="0.3">
      <c r="B51" s="1218"/>
      <c r="Q51" s="1157"/>
      <c r="R51" s="1157"/>
      <c r="S51" s="1155"/>
      <c r="AB51" s="1155"/>
      <c r="AD51" s="1155"/>
    </row>
    <row r="52" spans="2:30" s="1217" customFormat="1" x14ac:dyDescent="0.3">
      <c r="B52" s="1218"/>
      <c r="Q52" s="1155"/>
      <c r="R52" s="1155"/>
      <c r="T52" s="1219"/>
      <c r="AB52" s="1155"/>
      <c r="AD52" s="1155"/>
    </row>
    <row r="53" spans="2:30" s="1217" customFormat="1" x14ac:dyDescent="0.3">
      <c r="B53" s="1218"/>
      <c r="Q53" s="1219"/>
      <c r="R53" s="1219"/>
      <c r="T53" s="1219"/>
      <c r="AB53" s="1155"/>
      <c r="AD53" s="1155"/>
    </row>
    <row r="54" spans="2:30" s="1217" customFormat="1" x14ac:dyDescent="0.3">
      <c r="B54" s="1218"/>
      <c r="Q54" s="1219"/>
      <c r="R54" s="1219"/>
    </row>
    <row r="55" spans="2:30" s="1217" customFormat="1" x14ac:dyDescent="0.3">
      <c r="B55" s="1218"/>
      <c r="R55" s="1155"/>
      <c r="T55" s="1155"/>
      <c r="V55" s="1155"/>
      <c r="X55" s="1155"/>
      <c r="Z55" s="1155"/>
      <c r="AB55" s="1155"/>
      <c r="AC55" s="1157"/>
    </row>
    <row r="56" spans="2:30" s="1217" customFormat="1" x14ac:dyDescent="0.3">
      <c r="B56" s="1218"/>
    </row>
    <row r="57" spans="2:30" s="1217" customFormat="1" x14ac:dyDescent="0.3">
      <c r="B57" s="1218"/>
      <c r="P57" s="1220"/>
      <c r="Q57" s="1219"/>
    </row>
    <row r="58" spans="2:30" s="1217" customFormat="1" x14ac:dyDescent="0.3">
      <c r="B58" s="1218"/>
      <c r="P58" s="1220"/>
      <c r="Q58" s="1219"/>
    </row>
    <row r="59" spans="2:30" s="1217" customFormat="1" x14ac:dyDescent="0.3">
      <c r="B59" s="1218"/>
      <c r="P59" s="1220"/>
      <c r="Q59" s="1219"/>
    </row>
    <row r="60" spans="2:30" s="1217" customFormat="1" x14ac:dyDescent="0.3">
      <c r="B60" s="1218"/>
      <c r="P60" s="1220"/>
      <c r="Q60" s="1219"/>
      <c r="S60" s="1219"/>
    </row>
    <row r="61" spans="2:30" s="1217" customFormat="1" x14ac:dyDescent="0.3">
      <c r="B61" s="1218"/>
      <c r="P61" s="1220"/>
      <c r="Q61" s="1219"/>
    </row>
    <row r="62" spans="2:30" s="1217" customFormat="1" x14ac:dyDescent="0.3">
      <c r="B62" s="1218"/>
      <c r="P62" s="1220"/>
      <c r="Q62" s="1219"/>
    </row>
    <row r="63" spans="2:30" x14ac:dyDescent="0.3">
      <c r="Q63" s="1221"/>
      <c r="R63" s="1222"/>
      <c r="S63" s="1221"/>
    </row>
  </sheetData>
  <mergeCells count="29">
    <mergeCell ref="AI7:AJ7"/>
    <mergeCell ref="AK7:AL7"/>
    <mergeCell ref="AM7:AN7"/>
    <mergeCell ref="W7:X7"/>
    <mergeCell ref="Y7:Z7"/>
    <mergeCell ref="AA7:AB7"/>
    <mergeCell ref="AE7:AF7"/>
    <mergeCell ref="AG7:AH7"/>
    <mergeCell ref="A7:A8"/>
    <mergeCell ref="B7:B8"/>
    <mergeCell ref="E7:E8"/>
    <mergeCell ref="F7:F8"/>
    <mergeCell ref="G7:G8"/>
    <mergeCell ref="O6:P6"/>
    <mergeCell ref="AD6:AN6"/>
    <mergeCell ref="H7:H8"/>
    <mergeCell ref="B6:G6"/>
    <mergeCell ref="H6:I6"/>
    <mergeCell ref="J6:K6"/>
    <mergeCell ref="L6:N6"/>
    <mergeCell ref="AC7:AD7"/>
    <mergeCell ref="I7:I8"/>
    <mergeCell ref="J7:J8"/>
    <mergeCell ref="K7:K8"/>
    <mergeCell ref="O7:O8"/>
    <mergeCell ref="P7:P8"/>
    <mergeCell ref="Q7:R7"/>
    <mergeCell ref="S7:T7"/>
    <mergeCell ref="U7:V7"/>
  </mergeCells>
  <pageMargins left="0.23622047244094491" right="0.23622047244094491" top="0.74803149606299213" bottom="0.74803149606299213" header="0.31496062992125984" footer="0.31496062992125984"/>
  <pageSetup paperSize="8" scale="45" orientation="landscape"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15"/>
  <sheetViews>
    <sheetView zoomScaleNormal="100" workbookViewId="0">
      <pane ySplit="1" topLeftCell="A2" activePane="bottomLeft" state="frozen"/>
      <selection pane="bottomLeft" activeCell="E112" sqref="E112"/>
    </sheetView>
  </sheetViews>
  <sheetFormatPr defaultColWidth="9.109375" defaultRowHeight="12" x14ac:dyDescent="0.25"/>
  <cols>
    <col min="1" max="1" width="5" style="855" customWidth="1"/>
    <col min="2" max="2" width="76" style="840" customWidth="1"/>
    <col min="3" max="3" width="9.6640625" style="867" customWidth="1"/>
    <col min="4" max="5" width="11.44140625" style="848" customWidth="1"/>
    <col min="6" max="6" width="10.33203125" style="840" customWidth="1"/>
    <col min="7" max="7" width="11.109375" style="840" bestFit="1" customWidth="1"/>
    <col min="8" max="8" width="10.33203125" style="840" customWidth="1"/>
    <col min="9" max="9" width="11.109375" style="840" bestFit="1" customWidth="1"/>
    <col min="10" max="10" width="11.33203125" style="840" bestFit="1" customWidth="1"/>
    <col min="11" max="11" width="11.109375" style="840" bestFit="1" customWidth="1"/>
    <col min="12" max="12" width="11.33203125" style="840" bestFit="1" customWidth="1"/>
    <col min="13" max="13" width="11.109375" style="840" bestFit="1" customWidth="1"/>
    <col min="14" max="14" width="10.33203125" style="840" customWidth="1"/>
    <col min="15" max="15" width="11.109375" style="840" bestFit="1" customWidth="1"/>
    <col min="16" max="16" width="10" style="840" bestFit="1" customWidth="1"/>
    <col min="17" max="18" width="9.109375" style="840" customWidth="1"/>
    <col min="19" max="19" width="10.44140625" style="840" customWidth="1"/>
    <col min="20" max="25" width="9.109375" style="840" customWidth="1"/>
    <col min="26" max="26" width="9.109375" style="840"/>
    <col min="27" max="27" width="10" style="840" bestFit="1" customWidth="1"/>
    <col min="28" max="16384" width="9.109375" style="840"/>
  </cols>
  <sheetData>
    <row r="1" spans="1:25" ht="42.75" customHeight="1" x14ac:dyDescent="0.25">
      <c r="A1" s="1323" t="s">
        <v>485</v>
      </c>
      <c r="B1" s="1324"/>
      <c r="C1" s="863"/>
      <c r="D1" s="856" t="s">
        <v>836</v>
      </c>
      <c r="E1" s="856" t="s">
        <v>835</v>
      </c>
      <c r="F1" s="856" t="s">
        <v>811</v>
      </c>
      <c r="G1" s="856" t="s">
        <v>708</v>
      </c>
      <c r="H1" s="856" t="s">
        <v>812</v>
      </c>
      <c r="I1" s="856" t="s">
        <v>709</v>
      </c>
      <c r="J1" s="856" t="s">
        <v>813</v>
      </c>
      <c r="K1" s="856" t="s">
        <v>710</v>
      </c>
      <c r="L1" s="856" t="s">
        <v>814</v>
      </c>
      <c r="M1" s="856" t="s">
        <v>711</v>
      </c>
      <c r="N1" s="856" t="s">
        <v>815</v>
      </c>
      <c r="O1" s="856" t="s">
        <v>712</v>
      </c>
      <c r="P1" s="856" t="s">
        <v>816</v>
      </c>
      <c r="Q1" s="856" t="s">
        <v>713</v>
      </c>
      <c r="R1" s="856" t="s">
        <v>817</v>
      </c>
      <c r="S1" s="856" t="s">
        <v>714</v>
      </c>
      <c r="T1" s="856" t="s">
        <v>818</v>
      </c>
      <c r="U1" s="856" t="s">
        <v>715</v>
      </c>
      <c r="V1" s="856" t="s">
        <v>819</v>
      </c>
      <c r="W1" s="856" t="s">
        <v>716</v>
      </c>
      <c r="X1" s="856" t="s">
        <v>820</v>
      </c>
      <c r="Y1" s="856" t="s">
        <v>717</v>
      </c>
    </row>
    <row r="2" spans="1:25" ht="13.95" customHeight="1" x14ac:dyDescent="0.25">
      <c r="A2" s="841"/>
      <c r="B2" s="841"/>
      <c r="C2" s="863"/>
      <c r="D2" s="839"/>
      <c r="E2" s="839"/>
      <c r="F2" s="842"/>
      <c r="G2" s="842"/>
      <c r="H2" s="842"/>
      <c r="I2" s="842"/>
      <c r="J2" s="842"/>
      <c r="K2" s="842"/>
      <c r="L2" s="842"/>
      <c r="M2" s="842"/>
      <c r="N2" s="842"/>
      <c r="O2" s="842"/>
      <c r="P2" s="842"/>
      <c r="Q2" s="842"/>
      <c r="R2" s="842"/>
      <c r="S2" s="842"/>
      <c r="T2" s="842"/>
      <c r="U2" s="842"/>
      <c r="V2" s="842"/>
      <c r="W2" s="842"/>
      <c r="X2" s="842"/>
      <c r="Y2" s="842"/>
    </row>
    <row r="3" spans="1:25" ht="28.2" customHeight="1" x14ac:dyDescent="0.25">
      <c r="A3" s="1325" t="s">
        <v>794</v>
      </c>
      <c r="B3" s="1326"/>
      <c r="C3" s="863"/>
      <c r="D3" s="843"/>
      <c r="E3" s="843"/>
      <c r="F3" s="843"/>
      <c r="G3" s="843"/>
      <c r="H3" s="843"/>
      <c r="I3" s="843"/>
      <c r="J3" s="843"/>
      <c r="K3" s="843"/>
      <c r="L3" s="843"/>
      <c r="M3" s="843"/>
      <c r="N3" s="843"/>
      <c r="O3" s="843"/>
      <c r="P3" s="843"/>
      <c r="Q3" s="843"/>
      <c r="R3" s="843"/>
      <c r="S3" s="843"/>
      <c r="T3" s="843"/>
      <c r="U3" s="843"/>
      <c r="V3" s="843"/>
      <c r="W3" s="843"/>
      <c r="X3" s="843"/>
      <c r="Y3" s="843"/>
    </row>
    <row r="4" spans="1:25" x14ac:dyDescent="0.25">
      <c r="D4" s="867"/>
      <c r="E4" s="867"/>
      <c r="F4" s="862"/>
      <c r="G4" s="862"/>
      <c r="H4" s="862"/>
      <c r="I4" s="862"/>
      <c r="J4" s="862"/>
      <c r="K4" s="862"/>
      <c r="L4" s="862"/>
      <c r="M4" s="862"/>
      <c r="N4" s="862"/>
      <c r="O4" s="862"/>
      <c r="P4" s="862"/>
      <c r="Q4" s="862"/>
      <c r="R4" s="862"/>
      <c r="S4" s="862"/>
      <c r="T4" s="862"/>
      <c r="U4" s="862"/>
      <c r="V4" s="862"/>
      <c r="W4" s="862"/>
      <c r="X4" s="862"/>
      <c r="Y4" s="862"/>
    </row>
    <row r="5" spans="1:25" ht="13.95" customHeight="1" x14ac:dyDescent="0.25">
      <c r="A5" s="846">
        <v>1.1000000000000001</v>
      </c>
      <c r="B5" s="808" t="s">
        <v>495</v>
      </c>
      <c r="C5" s="862"/>
      <c r="D5" s="877"/>
      <c r="E5" s="877"/>
      <c r="F5" s="877"/>
      <c r="G5" s="892"/>
      <c r="H5" s="892"/>
      <c r="I5" s="892"/>
      <c r="J5" s="892"/>
      <c r="K5" s="892"/>
      <c r="L5" s="892"/>
      <c r="M5" s="892"/>
      <c r="N5" s="892"/>
      <c r="O5" s="892"/>
      <c r="P5" s="892"/>
      <c r="Q5" s="892"/>
      <c r="R5" s="892"/>
      <c r="S5" s="892"/>
      <c r="T5" s="892"/>
      <c r="U5" s="892"/>
      <c r="V5" s="892"/>
      <c r="W5" s="892"/>
      <c r="X5" s="892"/>
      <c r="Y5" s="892"/>
    </row>
    <row r="6" spans="1:25" ht="13.95" customHeight="1" x14ac:dyDescent="0.25">
      <c r="A6" s="811" t="s">
        <v>747</v>
      </c>
      <c r="B6" s="807" t="s">
        <v>520</v>
      </c>
      <c r="C6" s="863"/>
      <c r="D6" s="842"/>
      <c r="E6" s="842">
        <v>1000000</v>
      </c>
      <c r="F6" s="861"/>
      <c r="G6" s="1118">
        <f>+'ACTIVIDADES ANEXOS POD'!G8/2</f>
        <v>527000</v>
      </c>
      <c r="H6" s="885"/>
      <c r="I6" s="1118">
        <f>+'ACTIVIDADES ANEXOS POD'!G8/2</f>
        <v>527000</v>
      </c>
      <c r="J6" s="885"/>
      <c r="K6" s="1118">
        <v>74896.874999999898</v>
      </c>
      <c r="L6" s="885"/>
      <c r="M6" s="1118"/>
      <c r="N6" s="886"/>
      <c r="O6" s="1118">
        <v>39965.625</v>
      </c>
      <c r="P6" s="885"/>
      <c r="Q6" s="885"/>
      <c r="R6" s="888"/>
      <c r="S6" s="1118">
        <v>6216</v>
      </c>
      <c r="T6" s="885"/>
      <c r="U6" s="885"/>
      <c r="V6" s="885"/>
      <c r="W6" s="885"/>
      <c r="X6" s="885"/>
      <c r="Y6" s="885"/>
    </row>
    <row r="7" spans="1:25" ht="24" x14ac:dyDescent="0.25">
      <c r="A7" s="811" t="s">
        <v>748</v>
      </c>
      <c r="B7" s="807" t="s">
        <v>514</v>
      </c>
      <c r="C7" s="863"/>
      <c r="D7" s="842"/>
      <c r="E7" s="842"/>
      <c r="F7" s="842"/>
      <c r="G7" s="885">
        <v>50000</v>
      </c>
      <c r="H7" s="885"/>
      <c r="I7" s="885"/>
      <c r="J7" s="885"/>
      <c r="K7" s="885"/>
      <c r="L7" s="885"/>
      <c r="M7" s="885"/>
      <c r="N7" s="886"/>
      <c r="O7" s="885"/>
      <c r="P7" s="885"/>
      <c r="Q7" s="885"/>
      <c r="R7" s="888"/>
      <c r="S7" s="885"/>
      <c r="T7" s="885"/>
      <c r="U7" s="885"/>
      <c r="V7" s="885"/>
      <c r="W7" s="885"/>
      <c r="X7" s="885"/>
      <c r="Y7" s="885"/>
    </row>
    <row r="8" spans="1:25" x14ac:dyDescent="0.25">
      <c r="A8" s="811" t="s">
        <v>749</v>
      </c>
      <c r="B8" s="807" t="s">
        <v>849</v>
      </c>
      <c r="C8" s="863"/>
      <c r="D8" s="842"/>
      <c r="E8" s="842"/>
      <c r="F8" s="842"/>
      <c r="G8" s="885">
        <f>55000/2</f>
        <v>27500</v>
      </c>
      <c r="H8" s="842"/>
      <c r="I8" s="885">
        <f>55000/2</f>
        <v>27500</v>
      </c>
      <c r="J8" s="885"/>
      <c r="K8" s="885">
        <v>55000</v>
      </c>
      <c r="L8" s="885"/>
      <c r="M8" s="885"/>
      <c r="N8" s="886"/>
      <c r="O8" s="885"/>
      <c r="P8" s="885"/>
      <c r="Q8" s="885"/>
      <c r="R8" s="888"/>
      <c r="S8" s="885"/>
      <c r="T8" s="885"/>
      <c r="U8" s="885"/>
      <c r="V8" s="885"/>
      <c r="W8" s="885"/>
      <c r="X8" s="885"/>
      <c r="Y8" s="885"/>
    </row>
    <row r="9" spans="1:25" x14ac:dyDescent="0.25">
      <c r="A9" s="811" t="s">
        <v>750</v>
      </c>
      <c r="B9" s="807" t="s">
        <v>519</v>
      </c>
      <c r="C9" s="863"/>
      <c r="D9" s="842"/>
      <c r="E9" s="842"/>
      <c r="F9" s="885"/>
      <c r="G9" s="885">
        <f>+'ACTIVIDADES ANEXOS POD'!G11/2</f>
        <v>402500</v>
      </c>
      <c r="H9" s="885"/>
      <c r="I9" s="885">
        <f>+'ACTIVIDADES ANEXOS POD'!G11/2</f>
        <v>402500</v>
      </c>
      <c r="J9" s="885"/>
      <c r="K9" s="885">
        <f>+'ACTIVIDADES ANEXOS POD'!I11/2</f>
        <v>574000</v>
      </c>
      <c r="L9" s="885"/>
      <c r="M9" s="885">
        <f>+'ACTIVIDADES ANEXOS POD'!I11/2</f>
        <v>574000</v>
      </c>
      <c r="N9" s="886"/>
      <c r="O9" s="885">
        <f>+'ACTIVIDADES ANEXOS POD'!K11/2</f>
        <v>308000</v>
      </c>
      <c r="P9" s="885"/>
      <c r="Q9" s="885">
        <f>+'ACTIVIDADES ANEXOS POD'!K11/2</f>
        <v>308000</v>
      </c>
      <c r="R9" s="888"/>
      <c r="S9" s="885">
        <f>+'ACTIVIDADES ANEXOS POD'!M11</f>
        <v>91000</v>
      </c>
      <c r="T9" s="885"/>
      <c r="U9" s="885"/>
      <c r="V9" s="885"/>
      <c r="W9" s="885"/>
      <c r="X9" s="885"/>
      <c r="Y9" s="885"/>
    </row>
    <row r="10" spans="1:25" ht="24" x14ac:dyDescent="0.25">
      <c r="A10" s="811" t="s">
        <v>751</v>
      </c>
      <c r="B10" s="933" t="s">
        <v>797</v>
      </c>
      <c r="C10" s="863"/>
      <c r="D10" s="842"/>
      <c r="E10" s="842"/>
      <c r="F10" s="842"/>
      <c r="G10" s="885">
        <f>+'ACTIVIDADES ANEXOS POD'!G12/2</f>
        <v>1517500</v>
      </c>
      <c r="H10" s="842"/>
      <c r="I10" s="885">
        <f>+G10</f>
        <v>1517500</v>
      </c>
      <c r="J10" s="885"/>
      <c r="K10" s="885">
        <f>+'ACTIVIDADES ANEXOS POD'!I12/2</f>
        <v>1160000</v>
      </c>
      <c r="L10" s="885"/>
      <c r="M10" s="885">
        <f>+K10</f>
        <v>1160000</v>
      </c>
      <c r="N10" s="886"/>
      <c r="O10" s="885">
        <f>+'ACTIVIDADES ANEXOS POD'!K12/2</f>
        <v>287969.0675</v>
      </c>
      <c r="P10" s="885"/>
      <c r="Q10" s="885">
        <f>+O10</f>
        <v>287969.0675</v>
      </c>
      <c r="R10" s="888"/>
      <c r="S10" s="885"/>
      <c r="T10" s="885"/>
      <c r="U10" s="885"/>
      <c r="V10" s="885"/>
      <c r="W10" s="885"/>
      <c r="X10" s="885"/>
      <c r="Y10" s="885"/>
    </row>
    <row r="11" spans="1:25" ht="24" x14ac:dyDescent="0.25">
      <c r="A11" s="811" t="s">
        <v>752</v>
      </c>
      <c r="B11" s="965" t="s">
        <v>799</v>
      </c>
      <c r="C11" s="863"/>
      <c r="D11" s="842"/>
      <c r="E11" s="842"/>
      <c r="F11" s="842"/>
      <c r="G11" s="885">
        <f>+'ACTIVIDADES ANEXOS POD'!G13/2</f>
        <v>133500</v>
      </c>
      <c r="H11" s="842"/>
      <c r="I11" s="885">
        <f>+G11</f>
        <v>133500</v>
      </c>
      <c r="J11" s="885"/>
      <c r="K11" s="885"/>
      <c r="L11" s="885"/>
      <c r="M11" s="885"/>
      <c r="N11" s="886"/>
      <c r="O11" s="885"/>
      <c r="P11" s="885"/>
      <c r="Q11" s="885"/>
      <c r="R11" s="888"/>
      <c r="S11" s="885"/>
      <c r="T11" s="885"/>
      <c r="U11" s="885"/>
      <c r="V11" s="885"/>
      <c r="W11" s="885"/>
      <c r="X11" s="885"/>
      <c r="Y11" s="885"/>
    </row>
    <row r="12" spans="1:25" ht="13.95" customHeight="1" x14ac:dyDescent="0.25">
      <c r="A12" s="811" t="s">
        <v>753</v>
      </c>
      <c r="B12" s="807" t="s">
        <v>845</v>
      </c>
      <c r="C12" s="863"/>
      <c r="D12" s="842"/>
      <c r="E12" s="842"/>
      <c r="F12" s="861"/>
      <c r="G12" s="893">
        <v>20000</v>
      </c>
      <c r="H12" s="893"/>
      <c r="I12" s="893">
        <v>20000</v>
      </c>
      <c r="J12" s="893"/>
      <c r="K12" s="893"/>
      <c r="L12" s="893"/>
      <c r="M12" s="893"/>
      <c r="N12" s="894"/>
      <c r="O12" s="893"/>
      <c r="P12" s="893"/>
      <c r="Q12" s="893"/>
      <c r="R12" s="895"/>
      <c r="S12" s="893"/>
      <c r="T12" s="893"/>
      <c r="U12" s="893"/>
      <c r="V12" s="893"/>
      <c r="W12" s="893"/>
      <c r="X12" s="893"/>
      <c r="Y12" s="893"/>
    </row>
    <row r="13" spans="1:25" ht="13.95" customHeight="1" x14ac:dyDescent="0.25">
      <c r="A13" s="811" t="s">
        <v>754</v>
      </c>
      <c r="B13" s="933" t="s">
        <v>848</v>
      </c>
      <c r="C13" s="863"/>
      <c r="D13" s="915"/>
      <c r="E13" s="885">
        <v>187000</v>
      </c>
      <c r="F13" s="1215"/>
      <c r="G13" s="887">
        <f>+'ACTIVIDADES ANEXOS POD'!G15*0.2</f>
        <v>310000</v>
      </c>
      <c r="H13" s="885"/>
      <c r="I13" s="887">
        <f>+'ACTIVIDADES ANEXOS POD'!G15*0.8</f>
        <v>1240000</v>
      </c>
      <c r="J13" s="885"/>
      <c r="K13" s="887">
        <f>+'ACTIVIDADES ANEXOS POD'!I15</f>
        <v>2994000</v>
      </c>
      <c r="L13" s="885"/>
      <c r="M13" s="887"/>
      <c r="N13" s="886"/>
      <c r="O13" s="887">
        <f>+'ACTIVIDADES ANEXOS POD'!K15</f>
        <v>2346000</v>
      </c>
      <c r="P13" s="885"/>
      <c r="Q13" s="887"/>
      <c r="R13" s="888"/>
      <c r="S13" s="885">
        <f>+'ACTIVIDADES ANEXOS POD'!M15</f>
        <v>75200</v>
      </c>
      <c r="T13" s="885"/>
      <c r="U13" s="885"/>
      <c r="V13" s="885"/>
      <c r="W13" s="885"/>
      <c r="X13" s="885"/>
      <c r="Y13" s="885"/>
    </row>
    <row r="14" spans="1:25" ht="13.95" customHeight="1" x14ac:dyDescent="0.25">
      <c r="A14" s="811" t="s">
        <v>802</v>
      </c>
      <c r="B14" s="813" t="s">
        <v>701</v>
      </c>
      <c r="C14" s="862"/>
      <c r="D14" s="842"/>
      <c r="E14" s="842"/>
      <c r="F14" s="842"/>
      <c r="G14" s="885"/>
      <c r="H14" s="885"/>
      <c r="I14" s="885"/>
      <c r="J14" s="885"/>
      <c r="K14" s="885">
        <f>+'ACTIVIDADES ANEXOS POD'!I16</f>
        <v>116640</v>
      </c>
      <c r="L14" s="885"/>
      <c r="M14" s="885"/>
      <c r="N14" s="886"/>
      <c r="O14" s="885">
        <f>+'ACTIVIDADES ANEXOS POD'!K16</f>
        <v>77760</v>
      </c>
      <c r="P14" s="886"/>
      <c r="Q14" s="885"/>
      <c r="R14" s="888"/>
      <c r="S14" s="885"/>
      <c r="T14" s="885"/>
      <c r="U14" s="885"/>
      <c r="V14" s="885"/>
      <c r="W14" s="885"/>
      <c r="X14" s="885"/>
      <c r="Y14" s="885"/>
    </row>
    <row r="15" spans="1:25" ht="13.95" customHeight="1" x14ac:dyDescent="0.25">
      <c r="A15" s="811" t="s">
        <v>803</v>
      </c>
      <c r="B15" s="968" t="s">
        <v>804</v>
      </c>
      <c r="C15" s="863"/>
      <c r="D15" s="842"/>
      <c r="E15" s="842"/>
      <c r="F15" s="861"/>
      <c r="G15" s="893">
        <f>+'ACTIVIDADES ANEXOS POD'!G17/2</f>
        <v>225000</v>
      </c>
      <c r="H15" s="861"/>
      <c r="I15" s="893">
        <f>+G15</f>
        <v>225000</v>
      </c>
      <c r="J15" s="861"/>
      <c r="K15" s="893">
        <f>+G15</f>
        <v>225000</v>
      </c>
      <c r="L15" s="861"/>
      <c r="M15" s="893">
        <f>+G15</f>
        <v>225000</v>
      </c>
      <c r="N15" s="861"/>
      <c r="O15" s="893">
        <f>+G15</f>
        <v>225000</v>
      </c>
      <c r="P15" s="861"/>
      <c r="Q15" s="893">
        <f>+G15</f>
        <v>225000</v>
      </c>
      <c r="R15" s="861"/>
      <c r="S15" s="893">
        <f>+G15</f>
        <v>225000</v>
      </c>
      <c r="T15" s="861"/>
      <c r="U15" s="893">
        <f>+G15</f>
        <v>225000</v>
      </c>
      <c r="V15" s="861"/>
      <c r="W15" s="893">
        <f>+I15</f>
        <v>225000</v>
      </c>
      <c r="X15" s="861"/>
      <c r="Y15" s="893">
        <f>+K15</f>
        <v>225000</v>
      </c>
    </row>
    <row r="16" spans="1:25" ht="13.95" customHeight="1" x14ac:dyDescent="0.25">
      <c r="A16" s="883"/>
      <c r="B16" s="884"/>
      <c r="C16" s="863"/>
      <c r="D16" s="876"/>
      <c r="E16" s="876"/>
      <c r="F16" s="876"/>
      <c r="G16" s="891"/>
      <c r="H16" s="890"/>
      <c r="I16" s="891"/>
      <c r="J16" s="890"/>
      <c r="K16" s="891"/>
      <c r="L16" s="890"/>
      <c r="M16" s="891"/>
      <c r="N16" s="890"/>
      <c r="O16" s="891"/>
      <c r="P16" s="890"/>
      <c r="Q16" s="891"/>
      <c r="R16" s="890"/>
      <c r="S16" s="890"/>
      <c r="T16" s="890"/>
      <c r="U16" s="890"/>
      <c r="V16" s="890"/>
      <c r="W16" s="890"/>
      <c r="X16" s="890"/>
      <c r="Y16" s="890"/>
    </row>
    <row r="17" spans="1:25" ht="13.95" customHeight="1" x14ac:dyDescent="0.25">
      <c r="A17" s="844">
        <v>1.2</v>
      </c>
      <c r="B17" s="808" t="s">
        <v>758</v>
      </c>
      <c r="C17" s="863"/>
      <c r="D17" s="877"/>
      <c r="E17" s="877"/>
      <c r="F17" s="877"/>
      <c r="G17" s="892"/>
      <c r="H17" s="892"/>
      <c r="I17" s="892"/>
      <c r="J17" s="892"/>
      <c r="K17" s="892"/>
      <c r="L17" s="892"/>
      <c r="M17" s="892"/>
      <c r="N17" s="892"/>
      <c r="O17" s="892"/>
      <c r="P17" s="892"/>
      <c r="Q17" s="892"/>
      <c r="R17" s="892"/>
      <c r="S17" s="892"/>
      <c r="T17" s="892"/>
      <c r="U17" s="892"/>
      <c r="V17" s="892"/>
      <c r="W17" s="892"/>
      <c r="X17" s="892"/>
      <c r="Y17" s="892"/>
    </row>
    <row r="18" spans="1:25" ht="13.95" customHeight="1" x14ac:dyDescent="0.25">
      <c r="A18" s="811" t="s">
        <v>470</v>
      </c>
      <c r="B18" s="814" t="s">
        <v>521</v>
      </c>
      <c r="C18" s="863"/>
      <c r="D18" s="842"/>
      <c r="E18" s="842"/>
      <c r="F18" s="842"/>
      <c r="G18" s="893">
        <v>3794.0625</v>
      </c>
      <c r="H18" s="885"/>
      <c r="I18" s="893">
        <v>3794.0625</v>
      </c>
      <c r="J18" s="893"/>
      <c r="K18" s="893"/>
      <c r="L18" s="885"/>
      <c r="M18" s="893"/>
      <c r="N18" s="886"/>
      <c r="O18" s="893"/>
      <c r="P18" s="885"/>
      <c r="Q18" s="893"/>
      <c r="R18" s="888"/>
      <c r="S18" s="885"/>
      <c r="T18" s="885"/>
      <c r="U18" s="885"/>
      <c r="V18" s="885"/>
      <c r="W18" s="885"/>
      <c r="X18" s="885"/>
      <c r="Y18" s="885"/>
    </row>
    <row r="19" spans="1:25" ht="13.95" customHeight="1" x14ac:dyDescent="0.25">
      <c r="A19" s="811" t="s">
        <v>471</v>
      </c>
      <c r="B19" s="814" t="s">
        <v>595</v>
      </c>
      <c r="C19" s="863"/>
      <c r="D19" s="842"/>
      <c r="E19" s="842"/>
      <c r="F19" s="842"/>
      <c r="G19" s="893">
        <v>3794.0625</v>
      </c>
      <c r="H19" s="885"/>
      <c r="I19" s="893">
        <v>3794.0625</v>
      </c>
      <c r="J19" s="885"/>
      <c r="K19" s="893"/>
      <c r="L19" s="885"/>
      <c r="M19" s="893"/>
      <c r="N19" s="894"/>
      <c r="O19" s="893"/>
      <c r="P19" s="885"/>
      <c r="Q19" s="885"/>
      <c r="R19" s="888"/>
      <c r="S19" s="885"/>
      <c r="T19" s="885"/>
      <c r="U19" s="885"/>
      <c r="V19" s="885"/>
      <c r="W19" s="885"/>
      <c r="X19" s="885"/>
      <c r="Y19" s="885"/>
    </row>
    <row r="20" spans="1:25" ht="13.95" customHeight="1" x14ac:dyDescent="0.25">
      <c r="A20" s="811" t="s">
        <v>472</v>
      </c>
      <c r="B20" s="814" t="s">
        <v>522</v>
      </c>
      <c r="C20" s="863"/>
      <c r="D20" s="842"/>
      <c r="E20" s="842"/>
      <c r="F20" s="861"/>
      <c r="G20" s="885">
        <v>7588.125</v>
      </c>
      <c r="H20" s="885"/>
      <c r="I20" s="885">
        <v>7588.125</v>
      </c>
      <c r="J20" s="885"/>
      <c r="K20" s="885"/>
      <c r="L20" s="885"/>
      <c r="M20" s="885"/>
      <c r="N20" s="886"/>
      <c r="O20" s="885"/>
      <c r="P20" s="885"/>
      <c r="Q20" s="885"/>
      <c r="R20" s="888"/>
      <c r="S20" s="885"/>
      <c r="T20" s="885"/>
      <c r="U20" s="885"/>
      <c r="V20" s="885"/>
      <c r="W20" s="885"/>
      <c r="X20" s="885"/>
      <c r="Y20" s="885"/>
    </row>
    <row r="21" spans="1:25" ht="13.95" customHeight="1" x14ac:dyDescent="0.25">
      <c r="A21" s="811" t="s">
        <v>517</v>
      </c>
      <c r="B21" s="918" t="s">
        <v>762</v>
      </c>
      <c r="C21" s="863"/>
      <c r="D21" s="842"/>
      <c r="E21" s="842">
        <v>4742.625</v>
      </c>
      <c r="F21" s="842"/>
      <c r="G21" s="885">
        <v>18211.5</v>
      </c>
      <c r="H21" s="885"/>
      <c r="I21" s="885">
        <v>18211.5</v>
      </c>
      <c r="J21" s="885"/>
      <c r="K21" s="885"/>
      <c r="L21" s="885"/>
      <c r="M21" s="885"/>
      <c r="N21" s="886"/>
      <c r="O21" s="885"/>
      <c r="P21" s="885"/>
      <c r="Q21" s="885"/>
      <c r="R21" s="888"/>
      <c r="S21" s="885"/>
      <c r="T21" s="885"/>
      <c r="U21" s="885"/>
      <c r="V21" s="885"/>
      <c r="W21" s="885"/>
      <c r="X21" s="885"/>
      <c r="Y21" s="885"/>
    </row>
    <row r="22" spans="1:25" ht="28.2" customHeight="1" x14ac:dyDescent="0.25">
      <c r="A22" s="811" t="s">
        <v>518</v>
      </c>
      <c r="B22" s="815" t="s">
        <v>523</v>
      </c>
      <c r="C22" s="863"/>
      <c r="D22" s="878"/>
      <c r="E22" s="842"/>
      <c r="F22" s="864"/>
      <c r="G22" s="896"/>
      <c r="H22" s="896"/>
      <c r="I22" s="896"/>
      <c r="J22" s="896"/>
      <c r="K22" s="896">
        <f>+'ACTIVIDADES ANEXOS POD'!I24/2</f>
        <v>261787.5</v>
      </c>
      <c r="L22" s="896"/>
      <c r="M22" s="896">
        <f>+K22</f>
        <v>261787.5</v>
      </c>
      <c r="N22" s="896"/>
      <c r="O22" s="896">
        <f>+K22</f>
        <v>261787.5</v>
      </c>
      <c r="P22" s="896"/>
      <c r="Q22" s="896">
        <f>+K22</f>
        <v>261787.5</v>
      </c>
      <c r="R22" s="896"/>
      <c r="S22" s="896">
        <f>+K22</f>
        <v>261787.5</v>
      </c>
      <c r="T22" s="896"/>
      <c r="U22" s="896">
        <f>+K22</f>
        <v>261787.5</v>
      </c>
      <c r="V22" s="896"/>
      <c r="W22" s="896"/>
      <c r="X22" s="896"/>
      <c r="Y22" s="896"/>
    </row>
    <row r="23" spans="1:25" x14ac:dyDescent="0.25">
      <c r="A23" s="811" t="s">
        <v>532</v>
      </c>
      <c r="B23" s="918" t="s">
        <v>764</v>
      </c>
      <c r="C23" s="863"/>
      <c r="D23" s="842"/>
      <c r="E23" s="842">
        <v>7904.375</v>
      </c>
      <c r="F23" s="842"/>
      <c r="G23" s="885">
        <v>0</v>
      </c>
      <c r="H23" s="885"/>
      <c r="I23" s="885"/>
      <c r="J23" s="885"/>
      <c r="K23" s="885"/>
      <c r="L23" s="893"/>
      <c r="M23" s="885"/>
      <c r="N23" s="886"/>
      <c r="O23" s="885"/>
      <c r="P23" s="885"/>
      <c r="Q23" s="885"/>
      <c r="R23" s="888"/>
      <c r="S23" s="885"/>
      <c r="T23" s="885"/>
      <c r="U23" s="885"/>
      <c r="V23" s="885"/>
      <c r="W23" s="885"/>
      <c r="X23" s="885"/>
      <c r="Y23" s="885"/>
    </row>
    <row r="24" spans="1:25" ht="24" x14ac:dyDescent="0.25">
      <c r="A24" s="811" t="s">
        <v>533</v>
      </c>
      <c r="B24" s="918" t="s">
        <v>772</v>
      </c>
      <c r="C24" s="863"/>
      <c r="D24" s="842"/>
      <c r="E24" s="842">
        <f>+'ACTIVIDADES ANEXOS POD'!E26</f>
        <v>17832</v>
      </c>
      <c r="F24" s="842"/>
      <c r="G24" s="842">
        <f>+K24</f>
        <v>35664</v>
      </c>
      <c r="H24" s="842"/>
      <c r="I24" s="842">
        <f>+K24</f>
        <v>35664</v>
      </c>
      <c r="J24" s="842"/>
      <c r="K24" s="842">
        <f>+'ACTIVIDADES ANEXOS POD'!G26/2</f>
        <v>35664</v>
      </c>
      <c r="L24" s="842"/>
      <c r="M24" s="842">
        <f>+K24</f>
        <v>35664</v>
      </c>
      <c r="N24" s="842"/>
      <c r="O24" s="842">
        <f>+K24</f>
        <v>35664</v>
      </c>
      <c r="P24" s="842"/>
      <c r="Q24" s="842">
        <f>+K24</f>
        <v>35664</v>
      </c>
      <c r="R24" s="842"/>
      <c r="S24" s="842">
        <f>+K24</f>
        <v>35664</v>
      </c>
      <c r="T24" s="842"/>
      <c r="U24" s="842">
        <f>+K24</f>
        <v>35664</v>
      </c>
      <c r="V24" s="842"/>
      <c r="W24" s="842"/>
      <c r="X24" s="842"/>
      <c r="Y24" s="842"/>
    </row>
    <row r="25" spans="1:25" ht="13.95" customHeight="1" x14ac:dyDescent="0.25">
      <c r="A25" s="811" t="s">
        <v>593</v>
      </c>
      <c r="B25" s="827" t="s">
        <v>665</v>
      </c>
      <c r="C25" s="863"/>
      <c r="D25" s="842"/>
      <c r="E25" s="885">
        <f>+'ACTIVIDADES ANEXOS POD'!E27</f>
        <v>31854.999999999996</v>
      </c>
      <c r="F25" s="842"/>
      <c r="G25" s="893">
        <f>+'ACTIVIDADES ANEXOS POD'!G27</f>
        <v>17250</v>
      </c>
      <c r="H25" s="885"/>
      <c r="I25" s="893"/>
      <c r="J25" s="885"/>
      <c r="K25" s="893">
        <f>+'ACTIVIDADES ANEXOS POD'!I27</f>
        <v>17250</v>
      </c>
      <c r="L25" s="893"/>
      <c r="M25" s="893"/>
      <c r="N25" s="894"/>
      <c r="O25" s="893">
        <f>+'ACTIVIDADES ANEXOS POD'!K27</f>
        <v>17250</v>
      </c>
      <c r="P25" s="893"/>
      <c r="Q25" s="893"/>
      <c r="R25" s="895"/>
      <c r="S25" s="893">
        <f>+'ACTIVIDADES ANEXOS POD'!M27</f>
        <v>17250</v>
      </c>
      <c r="T25" s="893"/>
      <c r="U25" s="893"/>
      <c r="V25" s="893"/>
      <c r="W25" s="893"/>
      <c r="X25" s="893"/>
      <c r="Y25" s="893"/>
    </row>
    <row r="26" spans="1:25" ht="13.95" customHeight="1" x14ac:dyDescent="0.25">
      <c r="A26" s="811" t="s">
        <v>700</v>
      </c>
      <c r="B26" s="827" t="s">
        <v>666</v>
      </c>
      <c r="C26" s="863"/>
      <c r="D26" s="842"/>
      <c r="E26" s="885">
        <f>+'ACTIVIDADES ANEXOS POD'!E28</f>
        <v>45000</v>
      </c>
      <c r="F26" s="842"/>
      <c r="G26" s="885">
        <f>+'ACTIVIDADES ANEXOS POD'!G28/2</f>
        <v>33750</v>
      </c>
      <c r="H26" s="885"/>
      <c r="I26" s="885">
        <f>+G26</f>
        <v>33750</v>
      </c>
      <c r="J26" s="885"/>
      <c r="K26" s="885">
        <f>+G26</f>
        <v>33750</v>
      </c>
      <c r="L26" s="885"/>
      <c r="M26" s="885">
        <f>+G26</f>
        <v>33750</v>
      </c>
      <c r="N26" s="886"/>
      <c r="O26" s="885">
        <f>+G26</f>
        <v>33750</v>
      </c>
      <c r="P26" s="885"/>
      <c r="Q26" s="885">
        <f>+G26</f>
        <v>33750</v>
      </c>
      <c r="R26" s="888"/>
      <c r="S26" s="885">
        <f>+G26</f>
        <v>33750</v>
      </c>
      <c r="T26" s="885"/>
      <c r="U26" s="885">
        <f>+G26</f>
        <v>33750</v>
      </c>
      <c r="V26" s="885"/>
      <c r="W26" s="885"/>
      <c r="X26" s="885"/>
      <c r="Y26" s="885"/>
    </row>
    <row r="27" spans="1:25" ht="13.95" customHeight="1" x14ac:dyDescent="0.25">
      <c r="A27" s="811" t="s">
        <v>759</v>
      </c>
      <c r="B27" s="827" t="s">
        <v>668</v>
      </c>
      <c r="C27" s="863"/>
      <c r="D27" s="842"/>
      <c r="E27" s="842"/>
      <c r="F27" s="842"/>
      <c r="G27" s="885">
        <f>+'ACTIVIDADES ANEXOS POD'!G29/2</f>
        <v>52357.5</v>
      </c>
      <c r="H27" s="885"/>
      <c r="I27" s="885">
        <f>+G27</f>
        <v>52357.5</v>
      </c>
      <c r="J27" s="885"/>
      <c r="K27" s="885">
        <f>+G27</f>
        <v>52357.5</v>
      </c>
      <c r="L27" s="885"/>
      <c r="M27" s="885">
        <f>+G27</f>
        <v>52357.5</v>
      </c>
      <c r="N27" s="886"/>
      <c r="O27" s="885">
        <f>+G27</f>
        <v>52357.5</v>
      </c>
      <c r="P27" s="885"/>
      <c r="Q27" s="885">
        <f>+G27</f>
        <v>52357.5</v>
      </c>
      <c r="R27" s="888"/>
      <c r="S27" s="885">
        <f>+G27</f>
        <v>52357.5</v>
      </c>
      <c r="T27" s="885"/>
      <c r="U27" s="885">
        <f>+G27</f>
        <v>52357.5</v>
      </c>
      <c r="V27" s="885"/>
      <c r="W27" s="885"/>
      <c r="X27" s="885"/>
      <c r="Y27" s="885"/>
    </row>
    <row r="28" spans="1:25" ht="13.95" customHeight="1" x14ac:dyDescent="0.25">
      <c r="A28" s="811" t="s">
        <v>760</v>
      </c>
      <c r="B28" s="827" t="s">
        <v>670</v>
      </c>
      <c r="C28" s="863"/>
      <c r="D28" s="842"/>
      <c r="E28" s="842"/>
      <c r="F28" s="842">
        <v>9375</v>
      </c>
      <c r="G28" s="889"/>
      <c r="H28" s="885">
        <v>9375</v>
      </c>
      <c r="I28" s="889"/>
      <c r="J28" s="885"/>
      <c r="K28" s="889"/>
      <c r="L28" s="885"/>
      <c r="M28" s="889"/>
      <c r="N28" s="886"/>
      <c r="O28" s="889"/>
      <c r="P28" s="893"/>
      <c r="Q28" s="889"/>
      <c r="R28" s="895"/>
      <c r="S28" s="889"/>
      <c r="T28" s="893"/>
      <c r="U28" s="889"/>
      <c r="V28" s="893"/>
      <c r="W28" s="889"/>
      <c r="X28" s="893"/>
      <c r="Y28" s="889"/>
    </row>
    <row r="29" spans="1:25" ht="13.95" customHeight="1" x14ac:dyDescent="0.25">
      <c r="A29" s="811" t="s">
        <v>827</v>
      </c>
      <c r="B29" s="827" t="s">
        <v>672</v>
      </c>
      <c r="C29" s="863"/>
      <c r="D29" s="842"/>
      <c r="E29" s="842"/>
      <c r="F29" s="842"/>
      <c r="G29" s="885">
        <f>+'ACTIVIDADES ANEXOS POD'!G31/2</f>
        <v>34905</v>
      </c>
      <c r="H29" s="885"/>
      <c r="I29" s="885">
        <f>+G29</f>
        <v>34905</v>
      </c>
      <c r="J29" s="885"/>
      <c r="K29" s="885">
        <f>+G29</f>
        <v>34905</v>
      </c>
      <c r="L29" s="885"/>
      <c r="M29" s="885">
        <f>+G29</f>
        <v>34905</v>
      </c>
      <c r="N29" s="894"/>
      <c r="O29" s="885">
        <f>+G29</f>
        <v>34905</v>
      </c>
      <c r="P29" s="885"/>
      <c r="Q29" s="885">
        <f>+G29</f>
        <v>34905</v>
      </c>
      <c r="R29" s="895"/>
      <c r="S29" s="885">
        <f>+G29</f>
        <v>34905</v>
      </c>
      <c r="T29" s="885"/>
      <c r="U29" s="885">
        <f>+G29</f>
        <v>34905</v>
      </c>
      <c r="V29" s="885"/>
      <c r="W29" s="885"/>
      <c r="X29" s="885"/>
      <c r="Y29" s="885"/>
    </row>
    <row r="30" spans="1:25" ht="13.95" customHeight="1" x14ac:dyDescent="0.25">
      <c r="A30" s="811" t="s">
        <v>837</v>
      </c>
      <c r="B30" s="1169" t="s">
        <v>838</v>
      </c>
      <c r="C30" s="863"/>
      <c r="D30" s="842"/>
      <c r="E30" s="842">
        <f>+'ACTIVIDADES ANEXOS POD'!E32</f>
        <v>84348.277799999996</v>
      </c>
      <c r="F30" s="842"/>
      <c r="G30" s="885"/>
      <c r="H30" s="885">
        <v>284104</v>
      </c>
      <c r="I30" s="885"/>
      <c r="J30" s="885"/>
      <c r="K30" s="885"/>
      <c r="L30" s="885">
        <v>333092</v>
      </c>
      <c r="M30" s="885"/>
      <c r="N30" s="894"/>
      <c r="O30" s="885"/>
      <c r="P30" s="885">
        <f>+'ACTIVIDADES ANEXOS POD'!J32</f>
        <v>347778.22499999998</v>
      </c>
      <c r="Q30" s="885"/>
      <c r="R30" s="895"/>
      <c r="S30" s="885"/>
      <c r="T30" s="885">
        <f>+'ACTIVIDADES ANEXOS POD'!L32</f>
        <v>188893.20499999999</v>
      </c>
      <c r="U30" s="885"/>
      <c r="V30" s="885"/>
      <c r="W30" s="885"/>
      <c r="X30" s="885">
        <f>+'ACTIVIDADES ANEXOS POD'!N32</f>
        <v>10925</v>
      </c>
      <c r="Y30" s="885"/>
    </row>
    <row r="31" spans="1:25" ht="13.95" customHeight="1" x14ac:dyDescent="0.25">
      <c r="A31" s="845"/>
      <c r="B31" s="847"/>
      <c r="C31" s="863"/>
      <c r="D31" s="876"/>
      <c r="E31" s="876"/>
      <c r="F31" s="876"/>
      <c r="G31" s="891"/>
      <c r="H31" s="890"/>
      <c r="I31" s="891"/>
      <c r="J31" s="890"/>
      <c r="K31" s="891"/>
      <c r="L31" s="890"/>
      <c r="M31" s="891"/>
      <c r="N31" s="890"/>
      <c r="O31" s="891"/>
      <c r="P31" s="890"/>
      <c r="Q31" s="891"/>
      <c r="R31" s="890"/>
      <c r="S31" s="890"/>
      <c r="T31" s="890"/>
      <c r="U31" s="890"/>
      <c r="V31" s="890"/>
      <c r="W31" s="890"/>
      <c r="X31" s="890"/>
      <c r="Y31" s="890"/>
    </row>
    <row r="32" spans="1:25" ht="13.95" customHeight="1" x14ac:dyDescent="0.25">
      <c r="A32" s="846">
        <v>1.3</v>
      </c>
      <c r="B32" s="808" t="s">
        <v>774</v>
      </c>
      <c r="C32" s="863"/>
      <c r="D32" s="877"/>
      <c r="E32" s="877"/>
      <c r="F32" s="877"/>
      <c r="G32" s="892"/>
      <c r="H32" s="892"/>
      <c r="I32" s="892"/>
      <c r="J32" s="892"/>
      <c r="K32" s="892"/>
      <c r="L32" s="892"/>
      <c r="M32" s="892"/>
      <c r="N32" s="892"/>
      <c r="O32" s="892"/>
      <c r="P32" s="892"/>
      <c r="Q32" s="892"/>
      <c r="R32" s="892"/>
      <c r="S32" s="892"/>
      <c r="T32" s="892"/>
      <c r="U32" s="892"/>
      <c r="V32" s="892"/>
      <c r="W32" s="892"/>
      <c r="X32" s="892"/>
      <c r="Y32" s="892"/>
    </row>
    <row r="33" spans="1:25" ht="13.95" customHeight="1" x14ac:dyDescent="0.25">
      <c r="A33" s="811" t="s">
        <v>483</v>
      </c>
      <c r="B33" s="815" t="s">
        <v>525</v>
      </c>
      <c r="C33" s="863"/>
      <c r="D33" s="842"/>
      <c r="E33" s="842">
        <f>+'ACTIVIDADES ANEXOS POD'!E35</f>
        <v>34146.5625</v>
      </c>
      <c r="F33" s="842"/>
      <c r="G33" s="885">
        <f>+'ACTIVIDADES ANEXOS POD'!G35/2</f>
        <v>22764.375</v>
      </c>
      <c r="H33" s="885"/>
      <c r="I33" s="885">
        <f>+G33</f>
        <v>22764.375</v>
      </c>
      <c r="J33" s="885"/>
      <c r="K33" s="885">
        <f>+I33</f>
        <v>22764.375</v>
      </c>
      <c r="L33" s="885"/>
      <c r="M33" s="885">
        <f>+K33</f>
        <v>22764.375</v>
      </c>
      <c r="N33" s="886"/>
      <c r="O33" s="885">
        <f>+M33</f>
        <v>22764.375</v>
      </c>
      <c r="P33" s="885"/>
      <c r="Q33" s="885">
        <f>+O33</f>
        <v>22764.375</v>
      </c>
      <c r="R33" s="888"/>
      <c r="S33" s="885">
        <f>+Q33</f>
        <v>22764.375</v>
      </c>
      <c r="T33" s="885"/>
      <c r="U33" s="885">
        <f>+S33</f>
        <v>22764.375</v>
      </c>
      <c r="V33" s="885"/>
      <c r="W33" s="885"/>
      <c r="X33" s="885"/>
      <c r="Y33" s="885"/>
    </row>
    <row r="34" spans="1:25" ht="28.2" customHeight="1" x14ac:dyDescent="0.25">
      <c r="A34" s="811" t="s">
        <v>484</v>
      </c>
      <c r="B34" s="815" t="s">
        <v>526</v>
      </c>
      <c r="C34" s="863"/>
      <c r="D34" s="878"/>
      <c r="E34" s="842">
        <f>+'ACTIVIDADES ANEXOS POD'!E36</f>
        <v>34146.5625</v>
      </c>
      <c r="F34" s="864"/>
      <c r="G34" s="896">
        <f>+'ACTIVIDADES ANEXOS POD'!G36/2</f>
        <v>22764.375</v>
      </c>
      <c r="H34" s="896"/>
      <c r="I34" s="896">
        <f>+G34</f>
        <v>22764.375</v>
      </c>
      <c r="J34" s="896"/>
      <c r="K34" s="896">
        <f>+G34</f>
        <v>22764.375</v>
      </c>
      <c r="L34" s="896"/>
      <c r="M34" s="896">
        <f>+G34</f>
        <v>22764.375</v>
      </c>
      <c r="N34" s="896"/>
      <c r="O34" s="896">
        <f>+G34</f>
        <v>22764.375</v>
      </c>
      <c r="P34" s="896"/>
      <c r="Q34" s="896">
        <f>+G34</f>
        <v>22764.375</v>
      </c>
      <c r="R34" s="896"/>
      <c r="S34" s="896">
        <f>+G34</f>
        <v>22764.375</v>
      </c>
      <c r="T34" s="896"/>
      <c r="U34" s="896">
        <f>+G34</f>
        <v>22764.375</v>
      </c>
      <c r="V34" s="896"/>
      <c r="W34" s="896"/>
      <c r="X34" s="896"/>
      <c r="Y34" s="896"/>
    </row>
    <row r="35" spans="1:25" ht="13.95" customHeight="1" x14ac:dyDescent="0.25">
      <c r="A35" s="811" t="s">
        <v>474</v>
      </c>
      <c r="B35" s="815" t="s">
        <v>527</v>
      </c>
      <c r="C35" s="863"/>
      <c r="D35" s="842"/>
      <c r="E35" s="842"/>
      <c r="F35" s="842"/>
      <c r="G35" s="893">
        <f>+'ACTIVIDADES ANEXOS POD'!G37/2</f>
        <v>22764.375</v>
      </c>
      <c r="H35" s="885"/>
      <c r="I35" s="893">
        <f>+G35</f>
        <v>22764.375</v>
      </c>
      <c r="J35" s="893"/>
      <c r="K35" s="893">
        <f>+G35</f>
        <v>22764.375</v>
      </c>
      <c r="L35" s="893"/>
      <c r="M35" s="893">
        <f>+G35</f>
        <v>22764.375</v>
      </c>
      <c r="N35" s="894"/>
      <c r="O35" s="893">
        <f>+G35</f>
        <v>22764.375</v>
      </c>
      <c r="P35" s="893"/>
      <c r="Q35" s="893">
        <f>+G35</f>
        <v>22764.375</v>
      </c>
      <c r="R35" s="895"/>
      <c r="S35" s="893">
        <f>+G35</f>
        <v>22764.375</v>
      </c>
      <c r="T35" s="893"/>
      <c r="U35" s="893">
        <f>+S35</f>
        <v>22764.375</v>
      </c>
      <c r="V35" s="893"/>
      <c r="W35" s="893"/>
      <c r="X35" s="893"/>
      <c r="Y35" s="893"/>
    </row>
    <row r="36" spans="1:25" ht="13.95" customHeight="1" x14ac:dyDescent="0.25">
      <c r="A36" s="811" t="s">
        <v>486</v>
      </c>
      <c r="B36" s="985" t="s">
        <v>806</v>
      </c>
      <c r="C36" s="863"/>
      <c r="D36" s="842"/>
      <c r="E36" s="842"/>
      <c r="F36" s="842">
        <v>25000</v>
      </c>
      <c r="G36" s="893"/>
      <c r="H36" s="885"/>
      <c r="I36" s="893"/>
      <c r="J36" s="893"/>
      <c r="K36" s="893"/>
      <c r="L36" s="893"/>
      <c r="M36" s="893"/>
      <c r="N36" s="894"/>
      <c r="O36" s="893"/>
      <c r="P36" s="893"/>
      <c r="Q36" s="893"/>
      <c r="R36" s="895"/>
      <c r="S36" s="893"/>
      <c r="T36" s="893"/>
      <c r="U36" s="893"/>
      <c r="V36" s="893"/>
      <c r="W36" s="893"/>
      <c r="X36" s="893"/>
      <c r="Y36" s="893"/>
    </row>
    <row r="37" spans="1:25" ht="13.95" customHeight="1" x14ac:dyDescent="0.25">
      <c r="A37" s="811" t="s">
        <v>487</v>
      </c>
      <c r="B37" s="816" t="s">
        <v>529</v>
      </c>
      <c r="C37" s="863"/>
      <c r="D37" s="842"/>
      <c r="E37" s="842"/>
      <c r="F37" s="842"/>
      <c r="G37" s="893"/>
      <c r="H37" s="885"/>
      <c r="I37" s="893"/>
      <c r="J37" s="893"/>
      <c r="K37" s="893">
        <f>+'ACTIVIDADES ANEXOS POD'!I39/2</f>
        <v>30000</v>
      </c>
      <c r="L37" s="893"/>
      <c r="M37" s="893">
        <f>+K37</f>
        <v>30000</v>
      </c>
      <c r="N37" s="894"/>
      <c r="O37" s="893">
        <f>+K37</f>
        <v>30000</v>
      </c>
      <c r="P37" s="893"/>
      <c r="Q37" s="893">
        <f>+K37</f>
        <v>30000</v>
      </c>
      <c r="R37" s="895"/>
      <c r="S37" s="893"/>
      <c r="T37" s="893"/>
      <c r="U37" s="893"/>
      <c r="V37" s="893"/>
      <c r="W37" s="893"/>
      <c r="X37" s="893"/>
      <c r="Y37" s="893"/>
    </row>
    <row r="38" spans="1:25" ht="13.95" customHeight="1" x14ac:dyDescent="0.25">
      <c r="A38" s="811" t="s">
        <v>584</v>
      </c>
      <c r="B38" s="816" t="s">
        <v>531</v>
      </c>
      <c r="C38" s="863"/>
      <c r="D38" s="842"/>
      <c r="E38" s="842"/>
      <c r="F38" s="842">
        <f>+'ACTIVIDADES ANEXOS POD'!F40/2</f>
        <v>37000</v>
      </c>
      <c r="G38" s="893"/>
      <c r="H38" s="893">
        <f>+F38</f>
        <v>37000</v>
      </c>
      <c r="I38" s="893"/>
      <c r="J38" s="893">
        <f>+F38</f>
        <v>37000</v>
      </c>
      <c r="K38" s="893"/>
      <c r="L38" s="893">
        <f>+F38</f>
        <v>37000</v>
      </c>
      <c r="M38" s="893"/>
      <c r="N38" s="894">
        <f>+F38</f>
        <v>37000</v>
      </c>
      <c r="O38" s="893"/>
      <c r="P38" s="893">
        <f>+F38</f>
        <v>37000</v>
      </c>
      <c r="Q38" s="893"/>
      <c r="R38" s="893">
        <f>+F38</f>
        <v>37000</v>
      </c>
      <c r="S38" s="893"/>
      <c r="T38" s="893">
        <f>+R38</f>
        <v>37000</v>
      </c>
      <c r="U38" s="893"/>
      <c r="V38" s="893"/>
      <c r="W38" s="893"/>
      <c r="X38" s="893"/>
      <c r="Y38" s="893"/>
    </row>
    <row r="39" spans="1:25" ht="13.95" customHeight="1" x14ac:dyDescent="0.25">
      <c r="A39" s="811" t="s">
        <v>598</v>
      </c>
      <c r="B39" s="810" t="s">
        <v>543</v>
      </c>
      <c r="C39" s="863"/>
      <c r="D39" s="842"/>
      <c r="E39" s="842">
        <f>+'ACTIVIDADES ANEXOS POD'!E41</f>
        <v>22764.375</v>
      </c>
      <c r="F39" s="842"/>
      <c r="G39" s="893">
        <f>+'ACTIVIDADES ANEXOS POD'!G41/2</f>
        <v>15176.25</v>
      </c>
      <c r="H39" s="885"/>
      <c r="I39" s="893">
        <f>+G39</f>
        <v>15176.25</v>
      </c>
      <c r="J39" s="893"/>
      <c r="K39" s="893">
        <f>+I39</f>
        <v>15176.25</v>
      </c>
      <c r="L39" s="893"/>
      <c r="M39" s="893">
        <f>+K39</f>
        <v>15176.25</v>
      </c>
      <c r="N39" s="894"/>
      <c r="O39" s="893">
        <f>+M39</f>
        <v>15176.25</v>
      </c>
      <c r="P39" s="893"/>
      <c r="Q39" s="893">
        <f>+O39</f>
        <v>15176.25</v>
      </c>
      <c r="R39" s="895"/>
      <c r="S39" s="893">
        <f>+Q39</f>
        <v>15176.25</v>
      </c>
      <c r="T39" s="893"/>
      <c r="U39" s="893">
        <f>+S39</f>
        <v>15176.25</v>
      </c>
      <c r="V39" s="893"/>
      <c r="W39" s="893"/>
      <c r="X39" s="893"/>
      <c r="Y39" s="893"/>
    </row>
    <row r="40" spans="1:25" ht="13.95" customHeight="1" x14ac:dyDescent="0.25">
      <c r="A40" s="811" t="s">
        <v>661</v>
      </c>
      <c r="B40" s="810" t="s">
        <v>544</v>
      </c>
      <c r="C40" s="863"/>
      <c r="D40" s="842"/>
      <c r="E40" s="842">
        <f>+'ACTIVIDADES ANEXOS POD'!E42</f>
        <v>22764.375</v>
      </c>
      <c r="F40" s="842"/>
      <c r="G40" s="893">
        <f>+'ACTIVIDADES ANEXOS POD'!G42/2</f>
        <v>15176.25</v>
      </c>
      <c r="H40" s="885"/>
      <c r="I40" s="893">
        <f t="shared" ref="I40:I43" si="0">+G40</f>
        <v>15176.25</v>
      </c>
      <c r="J40" s="893"/>
      <c r="K40" s="893">
        <f t="shared" ref="K40:K43" si="1">+I40</f>
        <v>15176.25</v>
      </c>
      <c r="L40" s="893"/>
      <c r="M40" s="893">
        <f t="shared" ref="M40:M43" si="2">+K40</f>
        <v>15176.25</v>
      </c>
      <c r="N40" s="894"/>
      <c r="O40" s="893">
        <f t="shared" ref="O40:O43" si="3">+M40</f>
        <v>15176.25</v>
      </c>
      <c r="P40" s="893"/>
      <c r="Q40" s="893">
        <f t="shared" ref="Q40:Q43" si="4">+O40</f>
        <v>15176.25</v>
      </c>
      <c r="R40" s="895"/>
      <c r="S40" s="893">
        <f t="shared" ref="S40:S43" si="5">+Q40</f>
        <v>15176.25</v>
      </c>
      <c r="T40" s="893"/>
      <c r="U40" s="893">
        <f>+S40</f>
        <v>15176.25</v>
      </c>
      <c r="V40" s="893"/>
      <c r="W40" s="893"/>
      <c r="X40" s="893"/>
      <c r="Y40" s="893"/>
    </row>
    <row r="41" spans="1:25" ht="13.95" customHeight="1" x14ac:dyDescent="0.25">
      <c r="A41" s="811" t="s">
        <v>662</v>
      </c>
      <c r="B41" s="810" t="s">
        <v>546</v>
      </c>
      <c r="C41" s="863"/>
      <c r="D41" s="842"/>
      <c r="E41" s="842">
        <f>+'ACTIVIDADES ANEXOS POD'!E43</f>
        <v>22764.375</v>
      </c>
      <c r="F41" s="842"/>
      <c r="G41" s="893">
        <f>+'ACTIVIDADES ANEXOS POD'!G43/2</f>
        <v>15176.25</v>
      </c>
      <c r="H41" s="885"/>
      <c r="I41" s="893">
        <f t="shared" si="0"/>
        <v>15176.25</v>
      </c>
      <c r="J41" s="893"/>
      <c r="K41" s="893">
        <f t="shared" si="1"/>
        <v>15176.25</v>
      </c>
      <c r="L41" s="893"/>
      <c r="M41" s="893">
        <f t="shared" si="2"/>
        <v>15176.25</v>
      </c>
      <c r="N41" s="894"/>
      <c r="O41" s="893">
        <f t="shared" si="3"/>
        <v>15176.25</v>
      </c>
      <c r="P41" s="893"/>
      <c r="Q41" s="893">
        <f t="shared" si="4"/>
        <v>15176.25</v>
      </c>
      <c r="R41" s="895"/>
      <c r="S41" s="893">
        <f t="shared" si="5"/>
        <v>15176.25</v>
      </c>
      <c r="T41" s="893"/>
      <c r="U41" s="893">
        <f t="shared" ref="U41:U43" si="6">+S41</f>
        <v>15176.25</v>
      </c>
      <c r="V41" s="893"/>
      <c r="W41" s="893"/>
      <c r="X41" s="893"/>
      <c r="Y41" s="893"/>
    </row>
    <row r="42" spans="1:25" ht="13.95" customHeight="1" x14ac:dyDescent="0.25">
      <c r="A42" s="811" t="s">
        <v>663</v>
      </c>
      <c r="B42" s="810" t="s">
        <v>548</v>
      </c>
      <c r="C42" s="863"/>
      <c r="D42" s="842"/>
      <c r="E42" s="842">
        <f>+'ACTIVIDADES ANEXOS POD'!E44</f>
        <v>22764.375</v>
      </c>
      <c r="F42" s="842"/>
      <c r="G42" s="893">
        <f>+'ACTIVIDADES ANEXOS POD'!G44/2</f>
        <v>15176.25</v>
      </c>
      <c r="H42" s="885"/>
      <c r="I42" s="893">
        <f t="shared" si="0"/>
        <v>15176.25</v>
      </c>
      <c r="J42" s="893"/>
      <c r="K42" s="893">
        <f t="shared" si="1"/>
        <v>15176.25</v>
      </c>
      <c r="L42" s="893"/>
      <c r="M42" s="893">
        <f t="shared" si="2"/>
        <v>15176.25</v>
      </c>
      <c r="N42" s="894"/>
      <c r="O42" s="893">
        <f t="shared" si="3"/>
        <v>15176.25</v>
      </c>
      <c r="P42" s="893"/>
      <c r="Q42" s="893">
        <f t="shared" si="4"/>
        <v>15176.25</v>
      </c>
      <c r="R42" s="895"/>
      <c r="S42" s="893">
        <f t="shared" si="5"/>
        <v>15176.25</v>
      </c>
      <c r="T42" s="893"/>
      <c r="U42" s="893">
        <f t="shared" si="6"/>
        <v>15176.25</v>
      </c>
      <c r="V42" s="893"/>
      <c r="W42" s="893"/>
      <c r="X42" s="893"/>
      <c r="Y42" s="893"/>
    </row>
    <row r="43" spans="1:25" ht="13.95" customHeight="1" x14ac:dyDescent="0.25">
      <c r="A43" s="811" t="s">
        <v>664</v>
      </c>
      <c r="B43" s="810" t="s">
        <v>549</v>
      </c>
      <c r="C43" s="863"/>
      <c r="D43" s="842"/>
      <c r="E43" s="842">
        <f>+'ACTIVIDADES ANEXOS POD'!E45</f>
        <v>22764.375</v>
      </c>
      <c r="F43" s="842"/>
      <c r="G43" s="893">
        <f>+'ACTIVIDADES ANEXOS POD'!G45/2</f>
        <v>15176.25</v>
      </c>
      <c r="H43" s="885"/>
      <c r="I43" s="893">
        <f t="shared" si="0"/>
        <v>15176.25</v>
      </c>
      <c r="J43" s="893"/>
      <c r="K43" s="893">
        <f t="shared" si="1"/>
        <v>15176.25</v>
      </c>
      <c r="L43" s="893"/>
      <c r="M43" s="893">
        <f t="shared" si="2"/>
        <v>15176.25</v>
      </c>
      <c r="N43" s="894"/>
      <c r="O43" s="893">
        <f t="shared" si="3"/>
        <v>15176.25</v>
      </c>
      <c r="P43" s="893"/>
      <c r="Q43" s="893">
        <f t="shared" si="4"/>
        <v>15176.25</v>
      </c>
      <c r="R43" s="895"/>
      <c r="S43" s="893">
        <f t="shared" si="5"/>
        <v>15176.25</v>
      </c>
      <c r="T43" s="893"/>
      <c r="U43" s="893">
        <f t="shared" si="6"/>
        <v>15176.25</v>
      </c>
      <c r="V43" s="893"/>
      <c r="W43" s="893"/>
      <c r="X43" s="893"/>
      <c r="Y43" s="893"/>
    </row>
    <row r="44" spans="1:25" ht="13.95" customHeight="1" x14ac:dyDescent="0.25">
      <c r="A44" s="811"/>
      <c r="B44" s="810"/>
      <c r="C44" s="863"/>
      <c r="D44" s="876"/>
      <c r="E44" s="876"/>
      <c r="F44" s="876"/>
      <c r="G44" s="1117"/>
      <c r="H44" s="890"/>
      <c r="I44" s="1117"/>
      <c r="J44" s="1117"/>
      <c r="K44" s="1117"/>
      <c r="L44" s="1117"/>
      <c r="M44" s="1117"/>
      <c r="N44" s="1117"/>
      <c r="O44" s="1117"/>
      <c r="P44" s="1117"/>
      <c r="Q44" s="1117"/>
      <c r="R44" s="1117"/>
      <c r="S44" s="1117"/>
      <c r="T44" s="1117"/>
      <c r="U44" s="1117"/>
      <c r="V44" s="1117"/>
      <c r="W44" s="1117"/>
      <c r="X44" s="1117"/>
      <c r="Y44" s="1117"/>
    </row>
    <row r="45" spans="1:25" ht="13.95" customHeight="1" x14ac:dyDescent="0.25">
      <c r="A45" s="844">
        <v>1.4</v>
      </c>
      <c r="B45" s="844" t="s">
        <v>732</v>
      </c>
      <c r="C45" s="862"/>
      <c r="D45" s="865"/>
      <c r="E45" s="865"/>
      <c r="F45" s="865"/>
      <c r="G45" s="865"/>
      <c r="H45" s="865"/>
      <c r="I45" s="865"/>
      <c r="J45" s="865"/>
      <c r="K45" s="865"/>
      <c r="L45" s="865"/>
      <c r="M45" s="865"/>
      <c r="N45" s="865"/>
      <c r="O45" s="865"/>
      <c r="P45" s="865"/>
      <c r="Q45" s="866"/>
      <c r="R45" s="865"/>
      <c r="S45" s="865"/>
      <c r="T45" s="865"/>
      <c r="U45" s="865"/>
      <c r="V45" s="865"/>
      <c r="W45" s="865"/>
      <c r="X45" s="865"/>
      <c r="Y45" s="865"/>
    </row>
    <row r="46" spans="1:25" ht="15" customHeight="1" x14ac:dyDescent="0.25">
      <c r="A46" s="809" t="s">
        <v>733</v>
      </c>
      <c r="B46" s="857" t="s">
        <v>505</v>
      </c>
      <c r="C46" s="863"/>
      <c r="D46" s="842"/>
      <c r="E46" s="879">
        <f>+'ACTIVIDADES ANEXOS POD'!E48</f>
        <v>167500</v>
      </c>
      <c r="F46" s="842"/>
      <c r="G46" s="887">
        <f>+'ACTIVIDADES ANEXOS POD'!G48/2</f>
        <v>58500</v>
      </c>
      <c r="H46" s="885"/>
      <c r="I46" s="887">
        <f>+G46</f>
        <v>58500</v>
      </c>
      <c r="J46" s="885"/>
      <c r="K46" s="887">
        <f>+'ACTIVIDADES ANEXOS POD'!I48/2</f>
        <v>31500</v>
      </c>
      <c r="L46" s="885"/>
      <c r="M46" s="887">
        <f>+K46</f>
        <v>31500</v>
      </c>
      <c r="N46" s="886"/>
      <c r="O46" s="887">
        <f>+K46</f>
        <v>31500</v>
      </c>
      <c r="P46" s="885"/>
      <c r="Q46" s="887">
        <f>+K46</f>
        <v>31500</v>
      </c>
      <c r="R46" s="888"/>
      <c r="S46" s="885"/>
      <c r="T46" s="885"/>
      <c r="U46" s="885"/>
      <c r="V46" s="885"/>
      <c r="W46" s="885"/>
      <c r="X46" s="885"/>
      <c r="Y46" s="885"/>
    </row>
    <row r="47" spans="1:25" ht="14.25" customHeight="1" x14ac:dyDescent="0.25">
      <c r="A47" s="809" t="s">
        <v>734</v>
      </c>
      <c r="B47" s="858" t="s">
        <v>506</v>
      </c>
      <c r="C47" s="863"/>
      <c r="D47" s="842"/>
      <c r="E47" s="879">
        <f>+'ACTIVIDADES ANEXOS POD'!E49</f>
        <v>15176.25</v>
      </c>
      <c r="F47" s="842"/>
      <c r="G47" s="887">
        <f>+'ACTIVIDADES ANEXOS POD'!G49/2</f>
        <v>15176.25</v>
      </c>
      <c r="H47" s="885"/>
      <c r="I47" s="887">
        <f>+G47</f>
        <v>15176.25</v>
      </c>
      <c r="J47" s="885"/>
      <c r="K47" s="887">
        <f>+I47</f>
        <v>15176.25</v>
      </c>
      <c r="L47" s="885"/>
      <c r="M47" s="887">
        <f>+K47</f>
        <v>15176.25</v>
      </c>
      <c r="N47" s="886"/>
      <c r="O47" s="887">
        <f>+M47</f>
        <v>15176.25</v>
      </c>
      <c r="P47" s="885"/>
      <c r="Q47" s="887">
        <f>+O47</f>
        <v>15176.25</v>
      </c>
      <c r="R47" s="888"/>
      <c r="S47" s="885">
        <f>+Q47</f>
        <v>15176.25</v>
      </c>
      <c r="T47" s="885"/>
      <c r="U47" s="885">
        <f>+S47</f>
        <v>15176.25</v>
      </c>
      <c r="V47" s="885"/>
      <c r="W47" s="885"/>
      <c r="X47" s="885"/>
      <c r="Y47" s="885"/>
    </row>
    <row r="48" spans="1:25" ht="13.95" customHeight="1" x14ac:dyDescent="0.25">
      <c r="A48" s="809" t="s">
        <v>735</v>
      </c>
      <c r="B48" s="868" t="s">
        <v>725</v>
      </c>
      <c r="C48" s="863"/>
      <c r="D48" s="842"/>
      <c r="E48" s="880"/>
      <c r="F48" s="842"/>
      <c r="G48" s="887">
        <f>+'ACTIVIDADES ANEXOS POD'!G50/2</f>
        <v>30352.5</v>
      </c>
      <c r="H48" s="885"/>
      <c r="I48" s="887">
        <f>+G48</f>
        <v>30352.5</v>
      </c>
      <c r="J48" s="885"/>
      <c r="K48" s="887">
        <f>+G48</f>
        <v>30352.5</v>
      </c>
      <c r="L48" s="885"/>
      <c r="M48" s="887">
        <f>+G48</f>
        <v>30352.5</v>
      </c>
      <c r="N48" s="886"/>
      <c r="O48" s="887">
        <f>+G48</f>
        <v>30352.5</v>
      </c>
      <c r="P48" s="885"/>
      <c r="Q48" s="887">
        <f>+G48</f>
        <v>30352.5</v>
      </c>
      <c r="R48" s="888"/>
      <c r="S48" s="885">
        <f>+G48</f>
        <v>30352.5</v>
      </c>
      <c r="T48" s="885"/>
      <c r="U48" s="885">
        <f>+S48</f>
        <v>30352.5</v>
      </c>
      <c r="V48" s="885"/>
      <c r="W48" s="885"/>
      <c r="X48" s="885"/>
      <c r="Y48" s="885"/>
    </row>
    <row r="49" spans="1:25" ht="20.399999999999999" x14ac:dyDescent="0.25">
      <c r="A49" s="809" t="s">
        <v>736</v>
      </c>
      <c r="B49" s="859" t="s">
        <v>841</v>
      </c>
      <c r="C49" s="863"/>
      <c r="D49" s="842"/>
      <c r="E49" s="880"/>
      <c r="F49" s="842"/>
      <c r="G49" s="887"/>
      <c r="H49" s="885"/>
      <c r="I49" s="887">
        <f>+'ACTIVIDADES ANEXOS POD'!G51</f>
        <v>44070</v>
      </c>
      <c r="J49" s="885"/>
      <c r="K49" s="887"/>
      <c r="L49" s="885"/>
      <c r="M49" s="887">
        <f>+'ACTIVIDADES ANEXOS POD'!I51</f>
        <v>119070</v>
      </c>
      <c r="N49" s="886"/>
      <c r="O49" s="887"/>
      <c r="P49" s="885"/>
      <c r="Q49" s="887">
        <f>+'ACTIVIDADES ANEXOS POD'!K51</f>
        <v>119070</v>
      </c>
      <c r="R49" s="888"/>
      <c r="S49" s="885"/>
      <c r="T49" s="885"/>
      <c r="U49" s="885">
        <f>+'ACTIVIDADES ANEXOS POD'!M51</f>
        <v>119070</v>
      </c>
      <c r="V49" s="885"/>
      <c r="W49" s="885"/>
      <c r="X49" s="885"/>
      <c r="Y49" s="885"/>
    </row>
    <row r="50" spans="1:25" ht="20.399999999999999" x14ac:dyDescent="0.25">
      <c r="A50" s="809" t="s">
        <v>737</v>
      </c>
      <c r="B50" s="859" t="s">
        <v>847</v>
      </c>
      <c r="C50" s="863"/>
      <c r="D50" s="842"/>
      <c r="E50" s="828"/>
      <c r="F50" s="842"/>
      <c r="G50" s="887"/>
      <c r="H50" s="885"/>
      <c r="I50" s="887">
        <v>800000</v>
      </c>
      <c r="J50" s="885"/>
      <c r="K50" s="887"/>
      <c r="L50" s="885"/>
      <c r="M50" s="887">
        <v>800000</v>
      </c>
      <c r="N50" s="886"/>
      <c r="O50" s="887"/>
      <c r="P50" s="885"/>
      <c r="Q50" s="887"/>
      <c r="R50" s="888"/>
      <c r="S50" s="885"/>
      <c r="T50" s="885"/>
      <c r="U50" s="885"/>
      <c r="V50" s="885"/>
      <c r="W50" s="885"/>
      <c r="X50" s="885"/>
      <c r="Y50" s="885"/>
    </row>
    <row r="51" spans="1:25" ht="30.6" x14ac:dyDescent="0.25">
      <c r="A51" s="809" t="s">
        <v>738</v>
      </c>
      <c r="B51" s="860" t="s">
        <v>508</v>
      </c>
      <c r="C51" s="863"/>
      <c r="D51" s="842"/>
      <c r="E51" s="1216"/>
      <c r="F51" s="1196">
        <v>12600</v>
      </c>
      <c r="G51" s="887"/>
      <c r="H51" s="1197">
        <v>5400</v>
      </c>
      <c r="I51" s="887"/>
      <c r="J51" s="885"/>
      <c r="K51" s="887"/>
      <c r="L51" s="885"/>
      <c r="M51" s="887"/>
      <c r="N51" s="886"/>
      <c r="O51" s="887"/>
      <c r="P51" s="885"/>
      <c r="Q51" s="887"/>
      <c r="R51" s="888"/>
      <c r="S51" s="885"/>
      <c r="T51" s="885"/>
      <c r="U51" s="885"/>
      <c r="V51" s="885"/>
      <c r="W51" s="885"/>
      <c r="X51" s="885"/>
      <c r="Y51" s="885"/>
    </row>
    <row r="52" spans="1:25" ht="20.399999999999999" x14ac:dyDescent="0.25">
      <c r="A52" s="809" t="s">
        <v>739</v>
      </c>
      <c r="B52" s="860" t="s">
        <v>509</v>
      </c>
      <c r="C52" s="863"/>
      <c r="D52" s="842"/>
      <c r="E52" s="880"/>
      <c r="F52" s="1196">
        <v>14699.999999999998</v>
      </c>
      <c r="G52" s="887"/>
      <c r="H52" s="1198">
        <v>6300</v>
      </c>
      <c r="I52" s="887"/>
      <c r="J52" s="885"/>
      <c r="K52" s="887"/>
      <c r="L52" s="885"/>
      <c r="M52" s="887"/>
      <c r="N52" s="886"/>
      <c r="O52" s="887"/>
      <c r="P52" s="885"/>
      <c r="Q52" s="887"/>
      <c r="R52" s="888"/>
      <c r="S52" s="885"/>
      <c r="T52" s="885"/>
      <c r="U52" s="885"/>
      <c r="V52" s="885"/>
      <c r="W52" s="885"/>
      <c r="X52" s="885"/>
      <c r="Y52" s="885"/>
    </row>
    <row r="53" spans="1:25" ht="20.399999999999999" x14ac:dyDescent="0.25">
      <c r="A53" s="809" t="s">
        <v>740</v>
      </c>
      <c r="B53" s="860" t="s">
        <v>510</v>
      </c>
      <c r="C53" s="863"/>
      <c r="D53" s="842"/>
      <c r="E53" s="914"/>
      <c r="F53" s="842"/>
      <c r="G53" s="887"/>
      <c r="H53" s="1195"/>
      <c r="I53" s="887"/>
      <c r="J53" s="885"/>
      <c r="K53" s="887">
        <v>8726.25</v>
      </c>
      <c r="L53" s="885"/>
      <c r="M53" s="887"/>
      <c r="N53" s="886"/>
      <c r="O53" s="887"/>
      <c r="P53" s="885"/>
      <c r="Q53" s="887"/>
      <c r="R53" s="888"/>
      <c r="S53" s="885"/>
      <c r="T53" s="885"/>
      <c r="U53" s="885"/>
      <c r="V53" s="885"/>
      <c r="W53" s="885"/>
      <c r="X53" s="885"/>
      <c r="Y53" s="885"/>
    </row>
    <row r="54" spans="1:25" ht="20.399999999999999" x14ac:dyDescent="0.25">
      <c r="A54" s="809" t="s">
        <v>741</v>
      </c>
      <c r="B54" s="860" t="s">
        <v>513</v>
      </c>
      <c r="C54" s="863"/>
      <c r="D54" s="842"/>
      <c r="E54" s="842"/>
      <c r="F54" s="842"/>
      <c r="G54" s="887">
        <v>2908.75</v>
      </c>
      <c r="H54" s="885"/>
      <c r="I54" s="887">
        <v>2908.75</v>
      </c>
      <c r="J54" s="885"/>
      <c r="K54" s="887"/>
      <c r="L54" s="885"/>
      <c r="M54" s="887"/>
      <c r="N54" s="886"/>
      <c r="O54" s="887"/>
      <c r="P54" s="885"/>
      <c r="Q54" s="887"/>
      <c r="R54" s="888"/>
      <c r="S54" s="885"/>
      <c r="T54" s="885"/>
      <c r="U54" s="885"/>
      <c r="V54" s="885"/>
      <c r="W54" s="885"/>
      <c r="X54" s="885"/>
      <c r="Y54" s="885"/>
    </row>
    <row r="55" spans="1:25" ht="20.399999999999999" x14ac:dyDescent="0.25">
      <c r="A55" s="809" t="s">
        <v>742</v>
      </c>
      <c r="B55" s="860" t="s">
        <v>727</v>
      </c>
      <c r="C55" s="863"/>
      <c r="D55" s="842"/>
      <c r="E55" s="842"/>
      <c r="F55" s="842"/>
      <c r="G55" s="887"/>
      <c r="H55" s="885"/>
      <c r="I55" s="887"/>
      <c r="J55" s="885"/>
      <c r="K55" s="887">
        <v>5817.5</v>
      </c>
      <c r="L55" s="885"/>
      <c r="M55" s="887"/>
      <c r="N55" s="886"/>
      <c r="O55" s="887"/>
      <c r="P55" s="885"/>
      <c r="Q55" s="887"/>
      <c r="R55" s="888"/>
      <c r="S55" s="885"/>
      <c r="T55" s="885"/>
      <c r="U55" s="885"/>
      <c r="V55" s="885"/>
      <c r="W55" s="885"/>
      <c r="X55" s="885"/>
      <c r="Y55" s="885"/>
    </row>
    <row r="56" spans="1:25" x14ac:dyDescent="0.25">
      <c r="A56" s="809" t="s">
        <v>743</v>
      </c>
      <c r="B56" s="860" t="s">
        <v>545</v>
      </c>
      <c r="C56" s="863"/>
      <c r="D56" s="842"/>
      <c r="E56" s="842">
        <f>+'ACTIVIDADES ANEXOS POD'!E59</f>
        <v>15176.25</v>
      </c>
      <c r="F56" s="842"/>
      <c r="G56" s="885">
        <f>+'ACTIVIDADES ANEXOS POD'!G59/2</f>
        <v>15176.25</v>
      </c>
      <c r="H56" s="885"/>
      <c r="I56" s="885">
        <f>+G56</f>
        <v>15176.25</v>
      </c>
      <c r="J56" s="885"/>
      <c r="K56" s="885">
        <f>+G56</f>
        <v>15176.25</v>
      </c>
      <c r="L56" s="885"/>
      <c r="M56" s="885">
        <f>+G56</f>
        <v>15176.25</v>
      </c>
      <c r="N56" s="886"/>
      <c r="O56" s="885">
        <f>+G56</f>
        <v>15176.25</v>
      </c>
      <c r="P56" s="885"/>
      <c r="Q56" s="885">
        <f>+G56</f>
        <v>15176.25</v>
      </c>
      <c r="R56" s="885"/>
      <c r="S56" s="885">
        <f>+G56</f>
        <v>15176.25</v>
      </c>
      <c r="T56" s="885"/>
      <c r="U56" s="885">
        <f>+S56</f>
        <v>15176.25</v>
      </c>
      <c r="V56" s="885"/>
      <c r="W56" s="885"/>
      <c r="X56" s="885"/>
      <c r="Y56" s="885"/>
    </row>
    <row r="57" spans="1:25" ht="20.399999999999999" x14ac:dyDescent="0.25">
      <c r="A57" s="809" t="s">
        <v>744</v>
      </c>
      <c r="B57" s="860" t="s">
        <v>572</v>
      </c>
      <c r="C57" s="863"/>
      <c r="D57" s="842"/>
      <c r="E57" s="842"/>
      <c r="F57" s="842"/>
      <c r="G57" s="887">
        <v>60000</v>
      </c>
      <c r="H57" s="885"/>
      <c r="I57" s="887"/>
      <c r="J57" s="885"/>
      <c r="K57" s="887"/>
      <c r="L57" s="885"/>
      <c r="M57" s="887"/>
      <c r="N57" s="886"/>
      <c r="O57" s="887"/>
      <c r="P57" s="885"/>
      <c r="Q57" s="887"/>
      <c r="R57" s="888"/>
      <c r="S57" s="885"/>
      <c r="T57" s="885"/>
      <c r="U57" s="885"/>
      <c r="V57" s="885"/>
      <c r="W57" s="885"/>
      <c r="X57" s="885"/>
      <c r="Y57" s="885"/>
    </row>
    <row r="58" spans="1:25" ht="13.95" customHeight="1" x14ac:dyDescent="0.25">
      <c r="A58" s="811"/>
      <c r="B58" s="810"/>
      <c r="C58" s="863"/>
      <c r="D58" s="876"/>
      <c r="E58" s="876"/>
      <c r="F58" s="876"/>
      <c r="G58" s="1117"/>
      <c r="H58" s="890"/>
      <c r="I58" s="1117"/>
      <c r="J58" s="1117"/>
      <c r="K58" s="1117"/>
      <c r="L58" s="1117"/>
      <c r="M58" s="1117"/>
      <c r="N58" s="1117"/>
      <c r="O58" s="1117"/>
      <c r="P58" s="1117"/>
      <c r="Q58" s="1117"/>
      <c r="R58" s="1117"/>
      <c r="S58" s="1117"/>
      <c r="T58" s="1117"/>
      <c r="U58" s="1117"/>
      <c r="V58" s="1117"/>
      <c r="W58" s="1117"/>
      <c r="X58" s="1117"/>
      <c r="Y58" s="1117"/>
    </row>
    <row r="59" spans="1:25" ht="13.95" customHeight="1" x14ac:dyDescent="0.25">
      <c r="A59" s="1327" t="s">
        <v>723</v>
      </c>
      <c r="B59" s="1327"/>
      <c r="C59" s="863"/>
      <c r="D59" s="906"/>
      <c r="E59" s="906"/>
      <c r="F59" s="877"/>
      <c r="G59" s="892"/>
      <c r="H59" s="892"/>
      <c r="I59" s="892"/>
      <c r="J59" s="892"/>
      <c r="K59" s="892"/>
      <c r="L59" s="892"/>
      <c r="M59" s="892"/>
      <c r="N59" s="892"/>
      <c r="O59" s="892"/>
      <c r="P59" s="892"/>
      <c r="Q59" s="892"/>
      <c r="R59" s="892"/>
      <c r="S59" s="892"/>
      <c r="T59" s="892"/>
      <c r="U59" s="892"/>
      <c r="V59" s="892"/>
      <c r="W59" s="892"/>
      <c r="X59" s="892"/>
      <c r="Y59" s="892"/>
    </row>
    <row r="60" spans="1:25" ht="13.95" customHeight="1" x14ac:dyDescent="0.25">
      <c r="A60" s="869" t="s">
        <v>488</v>
      </c>
      <c r="B60" s="870" t="s">
        <v>535</v>
      </c>
      <c r="C60" s="863"/>
      <c r="D60" s="907"/>
      <c r="E60" s="1199">
        <f>+'ACTIVIDADES ANEXOS POD'!E64</f>
        <v>86046.13</v>
      </c>
      <c r="F60" s="842"/>
      <c r="G60" s="893"/>
      <c r="H60" s="885"/>
      <c r="I60" s="893"/>
      <c r="J60" s="893"/>
      <c r="K60" s="893"/>
      <c r="L60" s="893"/>
      <c r="M60" s="893"/>
      <c r="N60" s="894"/>
      <c r="O60" s="893"/>
      <c r="P60" s="893"/>
      <c r="Q60" s="893"/>
      <c r="R60" s="895"/>
      <c r="S60" s="893"/>
      <c r="T60" s="893"/>
      <c r="U60" s="893"/>
      <c r="V60" s="893"/>
      <c r="W60" s="893"/>
      <c r="X60" s="893"/>
      <c r="Y60" s="893"/>
    </row>
    <row r="61" spans="1:25" ht="13.95" customHeight="1" x14ac:dyDescent="0.25">
      <c r="A61" s="869" t="s">
        <v>489</v>
      </c>
      <c r="B61" s="870" t="s">
        <v>536</v>
      </c>
      <c r="C61" s="863"/>
      <c r="D61" s="907"/>
      <c r="E61" s="1199">
        <f>+'ACTIVIDADES ANEXOS POD'!E65</f>
        <v>29403.75</v>
      </c>
      <c r="F61" s="842"/>
      <c r="G61" s="893">
        <f>+'ACTIVIDADES ANEXOS POD'!G65/2</f>
        <v>20914.875</v>
      </c>
      <c r="H61" s="842"/>
      <c r="I61" s="893">
        <f>+G61</f>
        <v>20914.875</v>
      </c>
      <c r="J61" s="893"/>
      <c r="K61" s="893"/>
      <c r="L61" s="893"/>
      <c r="M61" s="893"/>
      <c r="N61" s="894"/>
      <c r="O61" s="893"/>
      <c r="P61" s="893"/>
      <c r="Q61" s="893"/>
      <c r="R61" s="895"/>
      <c r="S61" s="893"/>
      <c r="T61" s="893"/>
      <c r="U61" s="893"/>
      <c r="V61" s="893"/>
      <c r="W61" s="893"/>
      <c r="X61" s="893"/>
      <c r="Y61" s="893"/>
    </row>
    <row r="62" spans="1:25" ht="13.95" customHeight="1" x14ac:dyDescent="0.25">
      <c r="A62" s="869" t="s">
        <v>538</v>
      </c>
      <c r="B62" s="870" t="s">
        <v>537</v>
      </c>
      <c r="C62" s="863"/>
      <c r="D62" s="907"/>
      <c r="E62" s="1199">
        <f>+'ACTIVIDADES ANEXOS POD'!E66</f>
        <v>295366.5</v>
      </c>
      <c r="F62" s="842"/>
      <c r="G62" s="893">
        <f>+'ACTIVIDADES ANEXOS POD'!G66/2</f>
        <v>381015.75</v>
      </c>
      <c r="H62" s="885"/>
      <c r="I62" s="893">
        <f>+G62</f>
        <v>381015.75</v>
      </c>
      <c r="J62" s="893"/>
      <c r="K62" s="893">
        <f>+'ACTIVIDADES ANEXOS POD'!I66/2</f>
        <v>508399.5</v>
      </c>
      <c r="L62" s="893"/>
      <c r="M62" s="893">
        <f>+K62</f>
        <v>508399.5</v>
      </c>
      <c r="N62" s="894"/>
      <c r="O62" s="893">
        <f>+'ACTIVIDADES ANEXOS POD'!K66</f>
        <v>1409919</v>
      </c>
      <c r="P62" s="894"/>
      <c r="Q62" s="893"/>
      <c r="R62" s="895"/>
      <c r="S62" s="893"/>
      <c r="T62" s="893"/>
      <c r="U62" s="893"/>
      <c r="V62" s="893"/>
      <c r="W62" s="893"/>
      <c r="X62" s="893"/>
      <c r="Y62" s="893"/>
    </row>
    <row r="63" spans="1:25" ht="13.95" customHeight="1" x14ac:dyDescent="0.25">
      <c r="A63" s="869" t="s">
        <v>539</v>
      </c>
      <c r="B63" s="870" t="s">
        <v>542</v>
      </c>
      <c r="C63" s="863"/>
      <c r="D63" s="907"/>
      <c r="E63" s="1199">
        <f>+'ACTIVIDADES ANEXOS POD'!E67</f>
        <v>15176.25</v>
      </c>
      <c r="F63" s="842"/>
      <c r="G63" s="893">
        <f>+'ACTIVIDADES ANEXOS POD'!G67/2</f>
        <v>15176.25</v>
      </c>
      <c r="H63" s="885"/>
      <c r="I63" s="893">
        <f>+G63</f>
        <v>15176.25</v>
      </c>
      <c r="J63" s="893"/>
      <c r="K63" s="893">
        <f>+G63</f>
        <v>15176.25</v>
      </c>
      <c r="L63" s="893"/>
      <c r="M63" s="893">
        <f>+K63</f>
        <v>15176.25</v>
      </c>
      <c r="N63" s="894"/>
      <c r="O63" s="893">
        <f>+M63</f>
        <v>15176.25</v>
      </c>
      <c r="P63" s="893"/>
      <c r="Q63" s="893">
        <f>+O63</f>
        <v>15176.25</v>
      </c>
      <c r="R63" s="895"/>
      <c r="S63" s="893">
        <f>+Q63</f>
        <v>15176.25</v>
      </c>
      <c r="T63" s="893"/>
      <c r="U63" s="893">
        <f>+S63</f>
        <v>15176.25</v>
      </c>
      <c r="V63" s="893"/>
      <c r="W63" s="893"/>
      <c r="X63" s="893"/>
      <c r="Y63" s="893"/>
    </row>
    <row r="64" spans="1:25" ht="13.95" customHeight="1" x14ac:dyDescent="0.25">
      <c r="A64" s="869" t="s">
        <v>540</v>
      </c>
      <c r="B64" s="870" t="s">
        <v>547</v>
      </c>
      <c r="C64" s="863"/>
      <c r="D64" s="907"/>
      <c r="E64" s="1199">
        <f>+'ACTIVIDADES ANEXOS POD'!E68</f>
        <v>13090.5</v>
      </c>
      <c r="F64" s="842"/>
      <c r="G64" s="893">
        <v>13090.5</v>
      </c>
      <c r="H64" s="885"/>
      <c r="I64" s="893">
        <v>13090.5</v>
      </c>
      <c r="J64" s="893"/>
      <c r="K64" s="893">
        <v>13090.5</v>
      </c>
      <c r="L64" s="893"/>
      <c r="M64" s="893">
        <v>13090.5</v>
      </c>
      <c r="N64" s="894"/>
      <c r="O64" s="893">
        <v>13090.5</v>
      </c>
      <c r="P64" s="893"/>
      <c r="Q64" s="893">
        <v>13090.5</v>
      </c>
      <c r="R64" s="895"/>
      <c r="S64" s="893">
        <v>13090.5</v>
      </c>
      <c r="T64" s="893"/>
      <c r="U64" s="893">
        <v>13090.5</v>
      </c>
      <c r="V64" s="893"/>
      <c r="W64" s="893"/>
      <c r="X64" s="893"/>
      <c r="Y64" s="893"/>
    </row>
    <row r="65" spans="1:25" ht="13.95" customHeight="1" x14ac:dyDescent="0.25">
      <c r="A65" s="869" t="s">
        <v>541</v>
      </c>
      <c r="B65" s="870" t="s">
        <v>550</v>
      </c>
      <c r="C65" s="863"/>
      <c r="D65" s="907"/>
      <c r="E65" s="1199">
        <f>+'ACTIVIDADES ANEXOS POD'!E69</f>
        <v>20000</v>
      </c>
      <c r="F65" s="842"/>
      <c r="G65" s="893"/>
      <c r="H65" s="885"/>
      <c r="I65" s="893"/>
      <c r="J65" s="893"/>
      <c r="K65" s="893"/>
      <c r="L65" s="893"/>
      <c r="M65" s="893"/>
      <c r="N65" s="894"/>
      <c r="O65" s="893"/>
      <c r="P65" s="893"/>
      <c r="Q65" s="893"/>
      <c r="R65" s="895"/>
      <c r="S65" s="893"/>
      <c r="T65" s="893"/>
      <c r="U65" s="893"/>
      <c r="V65" s="893"/>
      <c r="W65" s="893"/>
      <c r="X65" s="893"/>
      <c r="Y65" s="893"/>
    </row>
    <row r="66" spans="1:25" ht="13.95" customHeight="1" x14ac:dyDescent="0.25">
      <c r="A66" s="869" t="s">
        <v>551</v>
      </c>
      <c r="B66" s="870" t="s">
        <v>552</v>
      </c>
      <c r="C66" s="863"/>
      <c r="D66" s="907"/>
      <c r="E66" s="1199">
        <f>+'ACTIVIDADES ANEXOS POD'!E70</f>
        <v>23250</v>
      </c>
      <c r="F66" s="842">
        <f>+'ACTIVIDADES ANEXOS POD'!F70/2</f>
        <v>24687.5</v>
      </c>
      <c r="G66" s="893"/>
      <c r="H66" s="885">
        <f>+F66</f>
        <v>24687.5</v>
      </c>
      <c r="I66" s="893"/>
      <c r="J66" s="893">
        <v>18750</v>
      </c>
      <c r="K66" s="893"/>
      <c r="L66" s="893">
        <v>18750</v>
      </c>
      <c r="M66" s="893"/>
      <c r="N66" s="894">
        <f>+'ACTIVIDADES ANEXOS POD'!J70/2</f>
        <v>16500</v>
      </c>
      <c r="O66" s="893"/>
      <c r="P66" s="893">
        <f>+N66</f>
        <v>16500</v>
      </c>
      <c r="Q66" s="893"/>
      <c r="R66" s="895"/>
      <c r="S66" s="893"/>
      <c r="T66" s="893"/>
      <c r="U66" s="893"/>
      <c r="V66" s="893"/>
      <c r="W66" s="893"/>
      <c r="X66" s="893"/>
      <c r="Y66" s="893"/>
    </row>
    <row r="67" spans="1:25" ht="13.95" customHeight="1" x14ac:dyDescent="0.25">
      <c r="A67" s="869" t="s">
        <v>554</v>
      </c>
      <c r="B67" s="870" t="s">
        <v>707</v>
      </c>
      <c r="C67" s="863"/>
      <c r="D67" s="907"/>
      <c r="E67" s="1199">
        <f>+'ACTIVIDADES ANEXOS POD'!E71</f>
        <v>112000</v>
      </c>
      <c r="F67" s="842"/>
      <c r="G67" s="893">
        <v>352000</v>
      </c>
      <c r="H67" s="885"/>
      <c r="I67" s="893">
        <v>352000</v>
      </c>
      <c r="J67" s="893"/>
      <c r="K67" s="893"/>
      <c r="L67" s="893"/>
      <c r="M67" s="893">
        <v>1056000</v>
      </c>
      <c r="N67" s="894"/>
      <c r="O67" s="893">
        <v>1158000</v>
      </c>
      <c r="P67" s="893"/>
      <c r="Q67" s="893"/>
      <c r="R67" s="895"/>
      <c r="S67" s="893"/>
      <c r="T67" s="893"/>
      <c r="U67" s="893"/>
      <c r="V67" s="893"/>
      <c r="W67" s="893"/>
      <c r="X67" s="893"/>
      <c r="Y67" s="893"/>
    </row>
    <row r="68" spans="1:25" ht="24" x14ac:dyDescent="0.25">
      <c r="A68" s="869" t="s">
        <v>556</v>
      </c>
      <c r="B68" s="870" t="s">
        <v>557</v>
      </c>
      <c r="D68" s="907"/>
      <c r="E68" s="1199">
        <f>+'ACTIVIDADES ANEXOS POD'!E72</f>
        <v>24000</v>
      </c>
      <c r="F68" s="842"/>
      <c r="G68" s="893">
        <v>20000</v>
      </c>
      <c r="H68" s="885"/>
      <c r="I68" s="893">
        <v>20000</v>
      </c>
      <c r="J68" s="893"/>
      <c r="K68" s="893">
        <v>12000</v>
      </c>
      <c r="L68" s="893"/>
      <c r="M68" s="893">
        <v>28000</v>
      </c>
      <c r="N68" s="894"/>
      <c r="O68" s="893">
        <v>12000</v>
      </c>
      <c r="P68" s="893"/>
      <c r="Q68" s="893">
        <v>28000</v>
      </c>
      <c r="R68" s="895"/>
      <c r="S68" s="893"/>
      <c r="T68" s="893"/>
      <c r="U68" s="893"/>
      <c r="V68" s="893"/>
      <c r="W68" s="893"/>
      <c r="X68" s="893"/>
      <c r="Y68" s="893"/>
    </row>
    <row r="69" spans="1:25" x14ac:dyDescent="0.25">
      <c r="A69" s="869" t="s">
        <v>558</v>
      </c>
      <c r="B69" s="870" t="s">
        <v>647</v>
      </c>
      <c r="D69" s="907"/>
      <c r="E69" s="1199">
        <f>+'ACTIVIDADES ANEXOS POD'!E73</f>
        <v>190875</v>
      </c>
      <c r="F69" s="842"/>
      <c r="G69" s="893">
        <v>67125</v>
      </c>
      <c r="H69" s="885"/>
      <c r="I69" s="893">
        <v>67125</v>
      </c>
      <c r="J69" s="893"/>
      <c r="K69" s="893">
        <v>31500</v>
      </c>
      <c r="L69" s="893"/>
      <c r="M69" s="893">
        <v>31500</v>
      </c>
      <c r="N69" s="894"/>
      <c r="O69" s="893">
        <v>31500</v>
      </c>
      <c r="P69" s="893"/>
      <c r="Q69" s="893">
        <v>31500</v>
      </c>
      <c r="R69" s="895"/>
      <c r="S69" s="893"/>
      <c r="T69" s="893"/>
      <c r="U69" s="893"/>
      <c r="V69" s="893"/>
      <c r="W69" s="893"/>
      <c r="X69" s="893"/>
      <c r="Y69" s="893"/>
    </row>
    <row r="70" spans="1:25" ht="24" x14ac:dyDescent="0.25">
      <c r="A70" s="869" t="s">
        <v>648</v>
      </c>
      <c r="B70" s="965" t="s">
        <v>777</v>
      </c>
      <c r="D70" s="907"/>
      <c r="E70" s="1199">
        <f>+'ACTIVIDADES ANEXOS POD'!E74</f>
        <v>17452.5</v>
      </c>
      <c r="F70" s="842"/>
      <c r="G70" s="893">
        <f>+'ACTIVIDADES ANEXOS POD'!G74/2</f>
        <v>34905</v>
      </c>
      <c r="H70" s="885"/>
      <c r="I70" s="893">
        <f>+G70</f>
        <v>34905</v>
      </c>
      <c r="J70" s="893"/>
      <c r="K70" s="893">
        <f>+I70</f>
        <v>34905</v>
      </c>
      <c r="L70" s="893"/>
      <c r="M70" s="893">
        <f>+K70</f>
        <v>34905</v>
      </c>
      <c r="N70" s="894"/>
      <c r="O70" s="893">
        <f>+M70</f>
        <v>34905</v>
      </c>
      <c r="P70" s="893"/>
      <c r="Q70" s="893">
        <f>+O70</f>
        <v>34905</v>
      </c>
      <c r="R70" s="895"/>
      <c r="S70" s="893"/>
      <c r="T70" s="893"/>
      <c r="U70" s="893"/>
      <c r="V70" s="893"/>
      <c r="W70" s="893"/>
      <c r="X70" s="893"/>
      <c r="Y70" s="893"/>
    </row>
    <row r="71" spans="1:25" ht="36" x14ac:dyDescent="0.25">
      <c r="A71" s="811" t="s">
        <v>490</v>
      </c>
      <c r="B71" s="965" t="s">
        <v>778</v>
      </c>
      <c r="D71" s="842"/>
      <c r="E71" s="881"/>
      <c r="F71" s="842"/>
      <c r="G71" s="893">
        <v>17452.5</v>
      </c>
      <c r="H71" s="885"/>
      <c r="I71" s="893">
        <v>17452.5</v>
      </c>
      <c r="J71" s="893"/>
      <c r="K71" s="893">
        <v>17452.5</v>
      </c>
      <c r="L71" s="893"/>
      <c r="M71" s="893">
        <v>17452.5</v>
      </c>
      <c r="N71" s="894"/>
      <c r="O71" s="893"/>
      <c r="P71" s="893"/>
      <c r="Q71" s="893"/>
      <c r="R71" s="895"/>
      <c r="S71" s="893"/>
      <c r="T71" s="893"/>
      <c r="U71" s="893"/>
      <c r="V71" s="893"/>
      <c r="W71" s="893"/>
      <c r="X71" s="893"/>
      <c r="Y71" s="893"/>
    </row>
    <row r="72" spans="1:25" x14ac:dyDescent="0.25">
      <c r="A72" s="811" t="s">
        <v>491</v>
      </c>
      <c r="B72" s="965" t="s">
        <v>559</v>
      </c>
      <c r="D72" s="842"/>
      <c r="E72" s="881">
        <f>+'ACTIVIDADES ANEXOS POD'!E78</f>
        <v>240000</v>
      </c>
      <c r="F72" s="842"/>
      <c r="G72" s="893">
        <v>352000</v>
      </c>
      <c r="H72" s="885"/>
      <c r="I72" s="893">
        <v>352000</v>
      </c>
      <c r="J72" s="893"/>
      <c r="K72" s="893"/>
      <c r="L72" s="893"/>
      <c r="M72" s="893"/>
      <c r="N72" s="894"/>
      <c r="O72" s="893"/>
      <c r="P72" s="893"/>
      <c r="Q72" s="893"/>
      <c r="R72" s="895"/>
      <c r="S72" s="893"/>
      <c r="T72" s="893"/>
      <c r="U72" s="893"/>
      <c r="V72" s="893"/>
      <c r="W72" s="893"/>
      <c r="X72" s="893"/>
      <c r="Y72" s="893"/>
    </row>
    <row r="73" spans="1:25" ht="24" x14ac:dyDescent="0.25">
      <c r="A73" s="811" t="s">
        <v>492</v>
      </c>
      <c r="B73" s="814" t="s">
        <v>562</v>
      </c>
      <c r="D73" s="842"/>
      <c r="E73" s="881">
        <f>+'ACTIVIDADES ANEXOS POD'!E79</f>
        <v>157072.5</v>
      </c>
      <c r="F73" s="842"/>
      <c r="G73" s="893">
        <v>165798.75</v>
      </c>
      <c r="H73" s="885"/>
      <c r="I73" s="893">
        <v>165798.75</v>
      </c>
      <c r="J73" s="893"/>
      <c r="K73" s="893">
        <v>349050</v>
      </c>
      <c r="L73" s="893"/>
      <c r="M73" s="893">
        <v>349050</v>
      </c>
      <c r="N73" s="894"/>
      <c r="O73" s="893">
        <v>349050</v>
      </c>
      <c r="P73" s="893"/>
      <c r="Q73" s="893">
        <v>349050</v>
      </c>
      <c r="R73" s="895"/>
      <c r="S73" s="893"/>
      <c r="T73" s="893"/>
      <c r="U73" s="893"/>
      <c r="V73" s="893"/>
      <c r="W73" s="893"/>
      <c r="X73" s="893"/>
      <c r="Y73" s="893"/>
    </row>
    <row r="74" spans="1:25" ht="24" x14ac:dyDescent="0.25">
      <c r="A74" s="811" t="s">
        <v>561</v>
      </c>
      <c r="B74" s="814" t="s">
        <v>563</v>
      </c>
      <c r="D74" s="842"/>
      <c r="E74" s="881"/>
      <c r="F74" s="842"/>
      <c r="G74" s="893">
        <v>17452.5</v>
      </c>
      <c r="H74" s="885"/>
      <c r="I74" s="893">
        <v>17452.5</v>
      </c>
      <c r="J74" s="893"/>
      <c r="K74" s="893">
        <v>17452.5</v>
      </c>
      <c r="L74" s="893"/>
      <c r="M74" s="893">
        <v>17452.5</v>
      </c>
      <c r="N74" s="894"/>
      <c r="O74" s="893"/>
      <c r="P74" s="893"/>
      <c r="Q74" s="893"/>
      <c r="R74" s="895"/>
      <c r="S74" s="893"/>
      <c r="T74" s="893"/>
      <c r="U74" s="893"/>
      <c r="V74" s="893"/>
      <c r="W74" s="893"/>
      <c r="X74" s="893"/>
      <c r="Y74" s="893"/>
    </row>
    <row r="75" spans="1:25" x14ac:dyDescent="0.25">
      <c r="A75" s="811" t="s">
        <v>564</v>
      </c>
      <c r="B75" s="827" t="s">
        <v>647</v>
      </c>
      <c r="D75" s="842"/>
      <c r="E75" s="881">
        <f>+'ACTIVIDADES ANEXOS POD'!E81</f>
        <v>190875</v>
      </c>
      <c r="F75" s="842"/>
      <c r="G75" s="893">
        <v>67125</v>
      </c>
      <c r="H75" s="885"/>
      <c r="I75" s="893">
        <v>67125</v>
      </c>
      <c r="J75" s="893"/>
      <c r="K75" s="893">
        <v>31500</v>
      </c>
      <c r="L75" s="893"/>
      <c r="M75" s="893">
        <v>31500</v>
      </c>
      <c r="N75" s="894"/>
      <c r="O75" s="893">
        <v>31500</v>
      </c>
      <c r="P75" s="893"/>
      <c r="Q75" s="893">
        <v>31500</v>
      </c>
      <c r="R75" s="895"/>
      <c r="S75" s="893"/>
      <c r="T75" s="893"/>
      <c r="U75" s="893"/>
      <c r="V75" s="893"/>
      <c r="W75" s="893"/>
      <c r="X75" s="893"/>
      <c r="Y75" s="893"/>
    </row>
    <row r="76" spans="1:25" x14ac:dyDescent="0.25">
      <c r="A76" s="811" t="s">
        <v>653</v>
      </c>
      <c r="B76" s="921" t="s">
        <v>780</v>
      </c>
      <c r="D76" s="842"/>
      <c r="E76" s="881"/>
      <c r="F76" s="842"/>
      <c r="G76" s="893">
        <v>150000</v>
      </c>
      <c r="H76" s="842"/>
      <c r="I76" s="893">
        <v>150000</v>
      </c>
      <c r="J76" s="893"/>
      <c r="K76" s="893"/>
      <c r="L76" s="893"/>
      <c r="M76" s="893">
        <v>750000</v>
      </c>
      <c r="N76" s="893"/>
      <c r="O76" s="893"/>
      <c r="P76" s="893"/>
      <c r="Q76" s="893"/>
      <c r="R76" s="893"/>
      <c r="S76" s="893"/>
      <c r="T76" s="893"/>
      <c r="U76" s="893"/>
      <c r="V76" s="893"/>
      <c r="W76" s="893"/>
      <c r="X76" s="893"/>
      <c r="Y76" s="893"/>
    </row>
    <row r="77" spans="1:25" x14ac:dyDescent="0.25">
      <c r="A77" s="883"/>
      <c r="B77" s="1123"/>
      <c r="D77" s="876"/>
      <c r="E77" s="876"/>
      <c r="F77" s="876"/>
      <c r="G77" s="891"/>
      <c r="H77" s="890"/>
      <c r="I77" s="891"/>
      <c r="J77" s="890"/>
      <c r="K77" s="891"/>
      <c r="L77" s="890"/>
      <c r="M77" s="891"/>
      <c r="N77" s="890"/>
      <c r="O77" s="891"/>
      <c r="P77" s="890"/>
      <c r="Q77" s="891"/>
      <c r="R77" s="890"/>
      <c r="S77" s="890"/>
      <c r="T77" s="890"/>
      <c r="U77" s="890"/>
      <c r="V77" s="890"/>
      <c r="W77" s="890"/>
      <c r="X77" s="890"/>
      <c r="Y77" s="890"/>
    </row>
    <row r="78" spans="1:25" x14ac:dyDescent="0.25">
      <c r="A78" s="1327" t="s">
        <v>499</v>
      </c>
      <c r="B78" s="1327"/>
      <c r="D78" s="877"/>
      <c r="E78" s="877"/>
      <c r="F78" s="877"/>
      <c r="G78" s="892"/>
      <c r="H78" s="892"/>
      <c r="I78" s="892"/>
      <c r="J78" s="892"/>
      <c r="K78" s="892"/>
      <c r="L78" s="892"/>
      <c r="M78" s="892"/>
      <c r="N78" s="892"/>
      <c r="O78" s="892"/>
      <c r="P78" s="892"/>
      <c r="Q78" s="892"/>
      <c r="R78" s="892"/>
      <c r="S78" s="892"/>
      <c r="T78" s="892"/>
      <c r="U78" s="892"/>
      <c r="V78" s="892"/>
      <c r="W78" s="892"/>
      <c r="X78" s="892"/>
      <c r="Y78" s="892"/>
    </row>
    <row r="79" spans="1:25" ht="36" x14ac:dyDescent="0.25">
      <c r="A79" s="811" t="s">
        <v>476</v>
      </c>
      <c r="B79" s="814" t="s">
        <v>602</v>
      </c>
      <c r="D79" s="842"/>
      <c r="E79" s="842"/>
      <c r="F79" s="842"/>
      <c r="G79" s="893">
        <f>+'ACTIVIDADES ANEXOS POD'!G86/2</f>
        <v>52357.5</v>
      </c>
      <c r="H79" s="842"/>
      <c r="I79" s="893">
        <f>+G79</f>
        <v>52357.5</v>
      </c>
      <c r="J79" s="842"/>
      <c r="K79" s="893">
        <f>+I79</f>
        <v>52357.5</v>
      </c>
      <c r="L79" s="842"/>
      <c r="M79" s="893">
        <f>+K79</f>
        <v>52357.5</v>
      </c>
      <c r="N79" s="842"/>
      <c r="O79" s="893">
        <f>+M79</f>
        <v>52357.5</v>
      </c>
      <c r="P79" s="842"/>
      <c r="Q79" s="893">
        <f>+O79</f>
        <v>52357.5</v>
      </c>
      <c r="R79" s="842"/>
      <c r="S79" s="893">
        <f>+Q79</f>
        <v>52357.5</v>
      </c>
      <c r="T79" s="842"/>
      <c r="U79" s="893">
        <f>+S79</f>
        <v>52357.5</v>
      </c>
      <c r="V79" s="842"/>
      <c r="W79" s="893"/>
      <c r="X79" s="842"/>
      <c r="Y79" s="893"/>
    </row>
    <row r="80" spans="1:25" ht="24" x14ac:dyDescent="0.25">
      <c r="A80" s="811" t="s">
        <v>477</v>
      </c>
      <c r="B80" s="814" t="s">
        <v>568</v>
      </c>
      <c r="D80" s="842"/>
      <c r="E80" s="842"/>
      <c r="F80" s="842"/>
      <c r="G80" s="893"/>
      <c r="H80" s="885"/>
      <c r="I80" s="893"/>
      <c r="J80" s="893"/>
      <c r="K80" s="893">
        <f>+'ACTIVIDADES ANEXOS POD'!I87/2</f>
        <v>83659.5</v>
      </c>
      <c r="L80" s="893"/>
      <c r="M80" s="893">
        <f>+K80</f>
        <v>83659.5</v>
      </c>
      <c r="N80" s="894"/>
      <c r="O80" s="893"/>
      <c r="P80" s="893"/>
      <c r="Q80" s="893"/>
      <c r="R80" s="895"/>
      <c r="S80" s="893"/>
      <c r="T80" s="893"/>
      <c r="U80" s="893"/>
      <c r="V80" s="893"/>
      <c r="W80" s="893"/>
      <c r="X80" s="893"/>
      <c r="Y80" s="893"/>
    </row>
    <row r="81" spans="1:27" ht="24" x14ac:dyDescent="0.25">
      <c r="A81" s="811" t="s">
        <v>478</v>
      </c>
      <c r="B81" s="871" t="s">
        <v>676</v>
      </c>
      <c r="D81" s="842"/>
      <c r="E81" s="842"/>
      <c r="F81" s="842"/>
      <c r="G81" s="893">
        <v>13089.375</v>
      </c>
      <c r="H81" s="885"/>
      <c r="I81" s="893">
        <v>13089.375</v>
      </c>
      <c r="J81" s="893"/>
      <c r="K81" s="893"/>
      <c r="L81" s="893"/>
      <c r="M81" s="893"/>
      <c r="N81" s="894"/>
      <c r="O81" s="893"/>
      <c r="P81" s="893"/>
      <c r="Q81" s="893"/>
      <c r="R81" s="895"/>
      <c r="S81" s="893"/>
      <c r="T81" s="893"/>
      <c r="U81" s="893"/>
      <c r="V81" s="893"/>
      <c r="W81" s="893"/>
      <c r="X81" s="893"/>
      <c r="Y81" s="893"/>
    </row>
    <row r="82" spans="1:27" ht="24" x14ac:dyDescent="0.25">
      <c r="A82" s="811" t="s">
        <v>479</v>
      </c>
      <c r="B82" s="871" t="s">
        <v>677</v>
      </c>
      <c r="D82" s="842"/>
      <c r="E82" s="842"/>
      <c r="F82" s="842"/>
      <c r="G82" s="893">
        <v>70569</v>
      </c>
      <c r="H82" s="885"/>
      <c r="I82" s="893">
        <v>70569</v>
      </c>
      <c r="J82" s="893"/>
      <c r="K82" s="893">
        <f>+I82</f>
        <v>70569</v>
      </c>
      <c r="L82" s="893"/>
      <c r="M82" s="893">
        <f>+K82</f>
        <v>70569</v>
      </c>
      <c r="N82" s="893"/>
      <c r="O82" s="893">
        <f>+M82</f>
        <v>70569</v>
      </c>
      <c r="P82" s="893"/>
      <c r="Q82" s="893">
        <f>+O82</f>
        <v>70569</v>
      </c>
      <c r="R82" s="895"/>
      <c r="S82" s="893"/>
      <c r="T82" s="893"/>
      <c r="U82" s="893"/>
      <c r="V82" s="893"/>
      <c r="W82" s="893"/>
      <c r="X82" s="893"/>
      <c r="Y82" s="893"/>
    </row>
    <row r="83" spans="1:27" ht="24" x14ac:dyDescent="0.25">
      <c r="A83" s="811" t="s">
        <v>480</v>
      </c>
      <c r="B83" s="871" t="s">
        <v>678</v>
      </c>
      <c r="D83" s="842"/>
      <c r="E83" s="842"/>
      <c r="F83" s="842"/>
      <c r="G83" s="885">
        <f>+'ACTIVIDADES ANEXOS POD'!G90/2</f>
        <v>34905</v>
      </c>
      <c r="H83" s="885"/>
      <c r="I83" s="885">
        <f>+G83</f>
        <v>34905</v>
      </c>
      <c r="J83" s="885"/>
      <c r="K83" s="885">
        <f>+I83</f>
        <v>34905</v>
      </c>
      <c r="L83" s="885"/>
      <c r="M83" s="885">
        <f>+K83</f>
        <v>34905</v>
      </c>
      <c r="N83" s="885"/>
      <c r="O83" s="885">
        <f>+M83</f>
        <v>34905</v>
      </c>
      <c r="P83" s="885"/>
      <c r="Q83" s="885">
        <f>+O83</f>
        <v>34905</v>
      </c>
      <c r="R83" s="885"/>
      <c r="S83" s="885">
        <f>+Q83</f>
        <v>34905</v>
      </c>
      <c r="T83" s="885"/>
      <c r="U83" s="885">
        <f>+S83</f>
        <v>34905</v>
      </c>
      <c r="V83" s="885"/>
      <c r="W83" s="885"/>
      <c r="X83" s="885"/>
      <c r="Y83" s="885"/>
    </row>
    <row r="84" spans="1:27" ht="24" x14ac:dyDescent="0.25">
      <c r="A84" s="811" t="s">
        <v>475</v>
      </c>
      <c r="B84" s="814" t="s">
        <v>575</v>
      </c>
      <c r="D84" s="842"/>
      <c r="E84" s="842"/>
      <c r="F84" s="842"/>
      <c r="G84" s="885">
        <f>+'ACTIVIDADES ANEXOS POD'!G93/2</f>
        <v>26178.75</v>
      </c>
      <c r="H84" s="885"/>
      <c r="I84" s="885">
        <f>+G84</f>
        <v>26178.75</v>
      </c>
      <c r="J84" s="885"/>
      <c r="K84" s="885">
        <f>+I84</f>
        <v>26178.75</v>
      </c>
      <c r="L84" s="885"/>
      <c r="M84" s="885">
        <f>+K84</f>
        <v>26178.75</v>
      </c>
      <c r="N84" s="885"/>
      <c r="O84" s="885">
        <f>+M84</f>
        <v>26178.75</v>
      </c>
      <c r="P84" s="885"/>
      <c r="Q84" s="885">
        <f>+O84</f>
        <v>26178.75</v>
      </c>
      <c r="R84" s="885"/>
      <c r="S84" s="885">
        <f>+Q84</f>
        <v>26178.75</v>
      </c>
      <c r="T84" s="885"/>
      <c r="U84" s="885">
        <f>+S84</f>
        <v>26178.75</v>
      </c>
      <c r="V84" s="885"/>
      <c r="W84" s="885"/>
      <c r="X84" s="885"/>
      <c r="Y84" s="885"/>
    </row>
    <row r="85" spans="1:27" x14ac:dyDescent="0.25">
      <c r="A85" s="811" t="s">
        <v>493</v>
      </c>
      <c r="B85" s="817" t="s">
        <v>583</v>
      </c>
      <c r="D85" s="842"/>
      <c r="E85" s="842"/>
      <c r="F85" s="842"/>
      <c r="G85" s="885">
        <v>75000</v>
      </c>
      <c r="H85" s="885"/>
      <c r="I85" s="885">
        <v>75000</v>
      </c>
      <c r="J85" s="885"/>
      <c r="K85" s="885">
        <v>750000</v>
      </c>
      <c r="L85" s="885"/>
      <c r="M85" s="885"/>
      <c r="N85" s="885"/>
      <c r="O85" s="885"/>
      <c r="P85" s="885"/>
      <c r="Q85" s="885"/>
      <c r="R85" s="885"/>
      <c r="S85" s="885"/>
      <c r="T85" s="885"/>
      <c r="U85" s="885"/>
      <c r="V85" s="885"/>
      <c r="W85" s="885"/>
      <c r="X85" s="885"/>
      <c r="Y85" s="885"/>
    </row>
    <row r="86" spans="1:27" ht="24" x14ac:dyDescent="0.25">
      <c r="A86" s="811" t="s">
        <v>569</v>
      </c>
      <c r="B86" s="814" t="s">
        <v>578</v>
      </c>
      <c r="D86" s="842"/>
      <c r="E86" s="1215"/>
      <c r="F86" s="842">
        <v>19800</v>
      </c>
      <c r="G86" s="885"/>
      <c r="H86" s="885">
        <v>29700</v>
      </c>
      <c r="I86" s="885"/>
      <c r="J86" s="885">
        <v>18563</v>
      </c>
      <c r="K86" s="885"/>
      <c r="L86" s="885">
        <v>18563</v>
      </c>
      <c r="M86" s="885"/>
      <c r="N86" s="885">
        <v>16500</v>
      </c>
      <c r="O86" s="885"/>
      <c r="P86" s="885">
        <v>16500</v>
      </c>
      <c r="Q86" s="885"/>
      <c r="R86" s="885"/>
      <c r="S86" s="885"/>
      <c r="T86" s="885"/>
      <c r="U86" s="885"/>
      <c r="V86" s="885"/>
      <c r="W86" s="885"/>
      <c r="X86" s="885"/>
      <c r="Y86" s="885"/>
    </row>
    <row r="87" spans="1:27" ht="24" x14ac:dyDescent="0.25">
      <c r="A87" s="811" t="s">
        <v>570</v>
      </c>
      <c r="B87" s="814" t="s">
        <v>706</v>
      </c>
      <c r="D87" s="842"/>
      <c r="E87" s="842"/>
      <c r="F87" s="842"/>
      <c r="G87" s="885"/>
      <c r="H87" s="885"/>
      <c r="I87" s="885"/>
      <c r="J87" s="885"/>
      <c r="K87" s="885">
        <v>1056000</v>
      </c>
      <c r="L87" s="885"/>
      <c r="M87" s="885"/>
      <c r="N87" s="885"/>
      <c r="O87" s="885"/>
      <c r="P87" s="885"/>
      <c r="Q87" s="885"/>
      <c r="R87" s="885"/>
      <c r="S87" s="885"/>
      <c r="T87" s="885"/>
      <c r="U87" s="885"/>
      <c r="V87" s="885"/>
      <c r="W87" s="885"/>
      <c r="X87" s="885"/>
      <c r="Y87" s="885"/>
    </row>
    <row r="88" spans="1:27" x14ac:dyDescent="0.25">
      <c r="A88" s="811" t="s">
        <v>577</v>
      </c>
      <c r="B88" s="827" t="s">
        <v>654</v>
      </c>
      <c r="D88" s="842"/>
      <c r="E88" s="842"/>
      <c r="F88" s="842"/>
      <c r="G88" s="885">
        <v>54850.5</v>
      </c>
      <c r="H88" s="885"/>
      <c r="I88" s="885">
        <v>54850.5</v>
      </c>
      <c r="J88" s="885"/>
      <c r="K88" s="885">
        <v>54850.5</v>
      </c>
      <c r="L88" s="885"/>
      <c r="M88" s="885">
        <v>54850.5</v>
      </c>
      <c r="N88" s="885"/>
      <c r="O88" s="885">
        <v>54850.5</v>
      </c>
      <c r="P88" s="885"/>
      <c r="Q88" s="885">
        <v>54850.5</v>
      </c>
      <c r="R88" s="885"/>
      <c r="S88" s="885"/>
      <c r="T88" s="885"/>
      <c r="U88" s="885"/>
      <c r="V88" s="885"/>
      <c r="W88" s="885"/>
      <c r="X88" s="885"/>
      <c r="Y88" s="885"/>
    </row>
    <row r="89" spans="1:27" ht="24" x14ac:dyDescent="0.25">
      <c r="A89" s="818" t="s">
        <v>603</v>
      </c>
      <c r="B89" s="814" t="s">
        <v>579</v>
      </c>
      <c r="D89" s="842"/>
      <c r="E89" s="842"/>
      <c r="F89" s="842"/>
      <c r="G89" s="885">
        <f>+'ACTIVIDADES ANEXOS POD'!G100/2</f>
        <v>669276</v>
      </c>
      <c r="H89" s="885"/>
      <c r="I89" s="885">
        <f>+G89</f>
        <v>669276</v>
      </c>
      <c r="J89" s="885"/>
      <c r="K89" s="885">
        <f>+I89</f>
        <v>669276</v>
      </c>
      <c r="L89" s="885"/>
      <c r="M89" s="885">
        <f>+K89</f>
        <v>669276</v>
      </c>
      <c r="N89" s="885"/>
      <c r="O89" s="885">
        <f>+M89</f>
        <v>669276</v>
      </c>
      <c r="P89" s="885"/>
      <c r="Q89" s="885">
        <f>+O89</f>
        <v>669276</v>
      </c>
      <c r="R89" s="885"/>
      <c r="S89" s="885">
        <f>+Q89</f>
        <v>669276</v>
      </c>
      <c r="T89" s="885"/>
      <c r="U89" s="885">
        <f>+S89</f>
        <v>669276</v>
      </c>
      <c r="V89" s="885"/>
      <c r="W89" s="885"/>
      <c r="X89" s="885"/>
      <c r="Y89" s="885"/>
    </row>
    <row r="90" spans="1:27" ht="24" x14ac:dyDescent="0.25">
      <c r="A90" s="818" t="s">
        <v>689</v>
      </c>
      <c r="B90" s="871" t="s">
        <v>692</v>
      </c>
      <c r="D90" s="842"/>
      <c r="E90" s="842"/>
      <c r="F90" s="842"/>
      <c r="G90" s="885">
        <v>34905</v>
      </c>
      <c r="H90" s="885"/>
      <c r="I90" s="885">
        <v>34905</v>
      </c>
      <c r="J90" s="885"/>
      <c r="K90" s="885">
        <v>34905</v>
      </c>
      <c r="L90" s="885"/>
      <c r="M90" s="885">
        <v>34905</v>
      </c>
      <c r="N90" s="885"/>
      <c r="O90" s="885"/>
      <c r="P90" s="885"/>
      <c r="Q90" s="885"/>
      <c r="R90" s="885"/>
      <c r="S90" s="885"/>
      <c r="T90" s="885"/>
      <c r="U90" s="885"/>
      <c r="V90" s="885"/>
      <c r="W90" s="885"/>
      <c r="X90" s="885"/>
      <c r="Y90" s="885"/>
    </row>
    <row r="91" spans="1:27" ht="24" x14ac:dyDescent="0.25">
      <c r="A91" s="818" t="s">
        <v>690</v>
      </c>
      <c r="B91" s="872" t="s">
        <v>693</v>
      </c>
      <c r="D91" s="842"/>
      <c r="E91" s="842"/>
      <c r="F91" s="842"/>
      <c r="G91" s="885">
        <v>70569</v>
      </c>
      <c r="H91" s="885"/>
      <c r="I91" s="885">
        <v>70569</v>
      </c>
      <c r="J91" s="885"/>
      <c r="K91" s="885">
        <v>70569</v>
      </c>
      <c r="L91" s="885"/>
      <c r="M91" s="885">
        <v>70569</v>
      </c>
      <c r="N91" s="885"/>
      <c r="O91" s="885">
        <v>70569</v>
      </c>
      <c r="P91" s="885"/>
      <c r="Q91" s="885">
        <v>70569</v>
      </c>
      <c r="R91" s="885"/>
      <c r="S91" s="885">
        <v>70569</v>
      </c>
      <c r="T91" s="885"/>
      <c r="U91" s="885">
        <v>70569</v>
      </c>
      <c r="V91" s="885"/>
      <c r="W91" s="885"/>
      <c r="X91" s="885"/>
      <c r="Y91" s="885"/>
    </row>
    <row r="92" spans="1:27" ht="24" x14ac:dyDescent="0.25">
      <c r="A92" s="818" t="s">
        <v>691</v>
      </c>
      <c r="B92" s="871" t="s">
        <v>694</v>
      </c>
      <c r="D92" s="842"/>
      <c r="E92" s="842"/>
      <c r="F92" s="842"/>
      <c r="G92" s="885">
        <v>35284.5</v>
      </c>
      <c r="H92" s="885"/>
      <c r="I92" s="885">
        <v>35284.5</v>
      </c>
      <c r="J92" s="885"/>
      <c r="K92" s="885">
        <v>35284.5</v>
      </c>
      <c r="L92" s="885"/>
      <c r="M92" s="885">
        <v>35284.5</v>
      </c>
      <c r="N92" s="885"/>
      <c r="O92" s="885">
        <v>35284.5</v>
      </c>
      <c r="P92" s="885"/>
      <c r="Q92" s="885">
        <v>35284.5</v>
      </c>
      <c r="R92" s="885"/>
      <c r="S92" s="885">
        <v>35284.5</v>
      </c>
      <c r="T92" s="885"/>
      <c r="U92" s="885">
        <v>35284.5</v>
      </c>
      <c r="V92" s="885"/>
      <c r="W92" s="885"/>
      <c r="X92" s="885"/>
      <c r="Y92" s="885"/>
    </row>
    <row r="93" spans="1:27" x14ac:dyDescent="0.25">
      <c r="A93" s="874"/>
      <c r="B93" s="875"/>
      <c r="D93" s="873"/>
      <c r="E93" s="873"/>
      <c r="F93" s="873"/>
      <c r="G93" s="897"/>
      <c r="H93" s="897"/>
      <c r="I93" s="897"/>
      <c r="J93" s="897"/>
      <c r="K93" s="897"/>
      <c r="L93" s="897"/>
      <c r="M93" s="897"/>
      <c r="N93" s="897"/>
      <c r="O93" s="897"/>
      <c r="P93" s="897"/>
      <c r="Q93" s="897"/>
      <c r="R93" s="897"/>
      <c r="S93" s="897"/>
      <c r="T93" s="897"/>
      <c r="U93" s="897"/>
      <c r="V93" s="897"/>
      <c r="W93" s="897"/>
      <c r="X93" s="897"/>
      <c r="Y93" s="897"/>
    </row>
    <row r="94" spans="1:27" x14ac:dyDescent="0.25">
      <c r="A94" s="1322" t="s">
        <v>718</v>
      </c>
      <c r="B94" s="1322" t="s">
        <v>719</v>
      </c>
      <c r="D94" s="851">
        <f>SUM(D46:D92)</f>
        <v>0</v>
      </c>
      <c r="E94" s="898">
        <f>SUM(E6:E92)</f>
        <v>3173257.9078000002</v>
      </c>
      <c r="F94" s="910">
        <f>SUM(F6:F92)</f>
        <v>143162.5</v>
      </c>
      <c r="G94" s="898">
        <f t="shared" ref="G94:Y94" si="7">SUM(G6:G92)</f>
        <v>6557643.125</v>
      </c>
      <c r="H94" s="910">
        <f t="shared" si="7"/>
        <v>396566.5</v>
      </c>
      <c r="I94" s="898">
        <f t="shared" si="7"/>
        <v>8204463.125</v>
      </c>
      <c r="J94" s="910">
        <f>SUM(J6:J92)-1</f>
        <v>74312</v>
      </c>
      <c r="K94" s="898">
        <f t="shared" si="7"/>
        <v>9885255</v>
      </c>
      <c r="L94" s="910">
        <f t="shared" si="7"/>
        <v>407405</v>
      </c>
      <c r="M94" s="898">
        <f t="shared" si="7"/>
        <v>7547994.375</v>
      </c>
      <c r="N94" s="910">
        <f t="shared" si="7"/>
        <v>70000</v>
      </c>
      <c r="O94" s="898">
        <f t="shared" si="7"/>
        <v>8055919.0674999999</v>
      </c>
      <c r="P94" s="910">
        <f t="shared" si="7"/>
        <v>417778.22499999998</v>
      </c>
      <c r="Q94" s="898">
        <f t="shared" si="7"/>
        <v>3142094.4424999999</v>
      </c>
      <c r="R94" s="910">
        <f t="shared" si="7"/>
        <v>37000</v>
      </c>
      <c r="S94" s="898">
        <f t="shared" si="7"/>
        <v>1954846.875</v>
      </c>
      <c r="T94" s="910">
        <f t="shared" si="7"/>
        <v>225893.20499999999</v>
      </c>
      <c r="U94" s="898">
        <f t="shared" si="7"/>
        <v>1884250.875</v>
      </c>
      <c r="V94" s="910">
        <f>SUM(V6:V92)</f>
        <v>0</v>
      </c>
      <c r="W94" s="898">
        <f>SUM(W6:W92)</f>
        <v>225000</v>
      </c>
      <c r="X94" s="910">
        <f t="shared" si="7"/>
        <v>10925</v>
      </c>
      <c r="Y94" s="898">
        <f t="shared" si="7"/>
        <v>225000</v>
      </c>
      <c r="AA94" s="889"/>
    </row>
    <row r="95" spans="1:27" x14ac:dyDescent="0.25">
      <c r="A95" s="849"/>
      <c r="B95" s="850"/>
      <c r="D95" s="873"/>
      <c r="E95" s="873"/>
      <c r="F95" s="1200"/>
      <c r="G95" s="1201"/>
      <c r="H95" s="897"/>
      <c r="I95" s="1201"/>
      <c r="J95" s="897"/>
      <c r="K95" s="1201"/>
      <c r="L95" s="897"/>
      <c r="M95" s="1201"/>
      <c r="N95" s="1201"/>
      <c r="O95" s="1201"/>
      <c r="P95" s="897"/>
      <c r="Q95" s="897"/>
      <c r="R95" s="1201"/>
      <c r="S95" s="1201"/>
      <c r="T95" s="897"/>
      <c r="U95" s="897"/>
      <c r="V95" s="1201"/>
      <c r="W95" s="1201"/>
      <c r="X95" s="897"/>
      <c r="Y95" s="897"/>
    </row>
    <row r="96" spans="1:27" x14ac:dyDescent="0.25">
      <c r="A96" s="849"/>
      <c r="B96" s="852" t="s">
        <v>481</v>
      </c>
      <c r="D96" s="842"/>
      <c r="E96" s="842"/>
      <c r="F96" s="842"/>
      <c r="G96" s="885"/>
      <c r="H96" s="885"/>
      <c r="I96" s="885"/>
      <c r="J96" s="885"/>
      <c r="K96" s="885"/>
      <c r="L96" s="885"/>
      <c r="M96" s="885"/>
      <c r="N96" s="885"/>
      <c r="O96" s="885"/>
      <c r="P96" s="885"/>
      <c r="Q96" s="885"/>
      <c r="R96" s="885"/>
      <c r="S96" s="885"/>
      <c r="T96" s="885"/>
      <c r="U96" s="885"/>
      <c r="V96" s="885"/>
      <c r="W96" s="885"/>
      <c r="X96" s="885"/>
      <c r="Y96" s="885"/>
    </row>
    <row r="97" spans="1:27" x14ac:dyDescent="0.25">
      <c r="A97" s="849">
        <v>1</v>
      </c>
      <c r="B97" s="853" t="s">
        <v>724</v>
      </c>
      <c r="D97" s="842"/>
      <c r="E97" s="842"/>
      <c r="F97" s="842"/>
      <c r="G97" s="885">
        <v>226000</v>
      </c>
      <c r="H97" s="885"/>
      <c r="I97" s="885">
        <v>226000</v>
      </c>
      <c r="J97" s="885"/>
      <c r="K97" s="885">
        <v>226000</v>
      </c>
      <c r="L97" s="885"/>
      <c r="M97" s="885">
        <v>226000</v>
      </c>
      <c r="N97" s="885"/>
      <c r="O97" s="885">
        <v>226000</v>
      </c>
      <c r="P97" s="885"/>
      <c r="Q97" s="885">
        <v>226000</v>
      </c>
      <c r="R97" s="885"/>
      <c r="S97" s="885">
        <v>226000</v>
      </c>
      <c r="T97" s="885"/>
      <c r="U97" s="885">
        <v>226000</v>
      </c>
      <c r="V97" s="885"/>
      <c r="W97" s="885"/>
      <c r="X97" s="885"/>
      <c r="Y97" s="885"/>
    </row>
    <row r="98" spans="1:27" x14ac:dyDescent="0.25">
      <c r="A98" s="849">
        <v>2</v>
      </c>
      <c r="B98" s="853" t="s">
        <v>822</v>
      </c>
      <c r="D98" s="842"/>
      <c r="E98" s="842"/>
      <c r="F98" s="842"/>
      <c r="G98" s="885">
        <v>18750</v>
      </c>
      <c r="H98" s="885"/>
      <c r="I98" s="885">
        <v>18750</v>
      </c>
      <c r="J98" s="885"/>
      <c r="K98" s="885">
        <v>18750</v>
      </c>
      <c r="L98" s="885"/>
      <c r="M98" s="885">
        <v>18750</v>
      </c>
      <c r="N98" s="885"/>
      <c r="O98" s="885">
        <v>18750</v>
      </c>
      <c r="P98" s="885"/>
      <c r="Q98" s="885">
        <v>18750</v>
      </c>
      <c r="R98" s="885"/>
      <c r="S98" s="885">
        <v>18750</v>
      </c>
      <c r="T98" s="885"/>
      <c r="U98" s="885">
        <v>18750</v>
      </c>
      <c r="V98" s="885"/>
      <c r="W98" s="885"/>
      <c r="X98" s="885"/>
      <c r="Y98" s="885"/>
    </row>
    <row r="99" spans="1:27" x14ac:dyDescent="0.25">
      <c r="A99" s="849">
        <v>3</v>
      </c>
      <c r="B99" s="853" t="s">
        <v>821</v>
      </c>
      <c r="D99" s="842"/>
      <c r="E99" s="842"/>
      <c r="F99" s="842"/>
      <c r="G99" s="885">
        <f>+'ACTIVIDADES ANEXOS POD'!G107+'ACTIVIDADES ANEXOS POD'!G109+'ACTIVIDADES ANEXOS POD'!G110</f>
        <v>124533.5</v>
      </c>
      <c r="H99" s="885"/>
      <c r="I99" s="885"/>
      <c r="J99" s="885"/>
      <c r="K99" s="885"/>
      <c r="L99" s="885"/>
      <c r="M99" s="885"/>
      <c r="N99" s="885"/>
      <c r="O99" s="885"/>
      <c r="P99" s="885"/>
      <c r="Q99" s="885"/>
      <c r="R99" s="885"/>
      <c r="S99" s="885"/>
      <c r="T99" s="885"/>
      <c r="U99" s="885"/>
      <c r="V99" s="885"/>
      <c r="W99" s="885"/>
      <c r="X99" s="885"/>
      <c r="Y99" s="885"/>
    </row>
    <row r="100" spans="1:27" x14ac:dyDescent="0.25">
      <c r="A100" s="849">
        <v>4</v>
      </c>
      <c r="B100" s="853" t="s">
        <v>482</v>
      </c>
      <c r="D100" s="842"/>
      <c r="E100" s="842"/>
      <c r="F100" s="842"/>
      <c r="G100" s="885"/>
      <c r="H100" s="885"/>
      <c r="I100" s="885"/>
      <c r="J100" s="885"/>
      <c r="K100" s="885">
        <v>10000</v>
      </c>
      <c r="L100" s="885"/>
      <c r="M100" s="885"/>
      <c r="N100" s="885"/>
      <c r="O100" s="885">
        <v>10000</v>
      </c>
      <c r="P100" s="885"/>
      <c r="Q100" s="885"/>
      <c r="R100" s="885"/>
      <c r="S100" s="885">
        <v>10000</v>
      </c>
      <c r="T100" s="885"/>
      <c r="U100" s="885"/>
      <c r="V100" s="885"/>
      <c r="W100" s="885">
        <v>10000</v>
      </c>
      <c r="X100" s="885"/>
      <c r="Y100" s="885"/>
    </row>
    <row r="101" spans="1:27" x14ac:dyDescent="0.25">
      <c r="A101" s="849">
        <v>5</v>
      </c>
      <c r="B101" s="853" t="s">
        <v>720</v>
      </c>
      <c r="D101" s="842"/>
      <c r="E101" s="842"/>
      <c r="F101" s="842"/>
      <c r="G101" s="885"/>
      <c r="H101" s="885"/>
      <c r="I101" s="885"/>
      <c r="J101" s="885"/>
      <c r="K101" s="885"/>
      <c r="L101" s="885"/>
      <c r="M101" s="885"/>
      <c r="N101" s="885"/>
      <c r="O101" s="885">
        <v>30000</v>
      </c>
      <c r="P101" s="885"/>
      <c r="Q101" s="885"/>
      <c r="R101" s="885"/>
      <c r="S101" s="885"/>
      <c r="T101" s="885"/>
      <c r="U101" s="885"/>
      <c r="V101" s="885"/>
      <c r="W101" s="885"/>
      <c r="X101" s="885"/>
      <c r="Y101" s="885"/>
    </row>
    <row r="102" spans="1:27" x14ac:dyDescent="0.25">
      <c r="A102" s="849">
        <v>6</v>
      </c>
      <c r="B102" s="853" t="s">
        <v>840</v>
      </c>
      <c r="D102" s="842"/>
      <c r="E102" s="842"/>
      <c r="F102" s="842"/>
      <c r="G102" s="885"/>
      <c r="H102" s="885"/>
      <c r="I102" s="885"/>
      <c r="J102" s="885"/>
      <c r="K102" s="885"/>
      <c r="L102" s="885"/>
      <c r="M102" s="885"/>
      <c r="N102" s="885"/>
      <c r="O102" s="885"/>
      <c r="P102" s="885"/>
      <c r="Q102" s="885"/>
      <c r="R102" s="885"/>
      <c r="S102" s="885"/>
      <c r="T102" s="885"/>
      <c r="U102" s="885"/>
      <c r="V102" s="885"/>
      <c r="W102" s="885">
        <v>40000</v>
      </c>
      <c r="X102" s="885"/>
      <c r="Y102" s="885"/>
    </row>
    <row r="103" spans="1:27" x14ac:dyDescent="0.25">
      <c r="A103" s="849">
        <v>7</v>
      </c>
      <c r="B103" s="853" t="s">
        <v>731</v>
      </c>
      <c r="D103" s="842"/>
      <c r="E103" s="842"/>
      <c r="F103" s="842"/>
      <c r="G103" s="885"/>
      <c r="H103" s="885"/>
      <c r="I103" s="885"/>
      <c r="J103" s="885"/>
      <c r="K103" s="885"/>
      <c r="L103" s="885"/>
      <c r="M103" s="885"/>
      <c r="N103" s="885"/>
      <c r="O103" s="885"/>
      <c r="P103" s="885"/>
      <c r="Q103" s="885"/>
      <c r="R103" s="885"/>
      <c r="S103" s="885"/>
      <c r="T103" s="885"/>
      <c r="U103" s="885"/>
      <c r="V103" s="885"/>
      <c r="W103" s="885">
        <v>125000</v>
      </c>
      <c r="X103" s="885"/>
      <c r="Y103" s="885"/>
    </row>
    <row r="104" spans="1:27" x14ac:dyDescent="0.25">
      <c r="A104" s="849">
        <v>8</v>
      </c>
      <c r="B104" s="853" t="s">
        <v>729</v>
      </c>
      <c r="D104" s="842"/>
      <c r="E104" s="842"/>
      <c r="F104" s="842">
        <v>5462.5</v>
      </c>
      <c r="G104" s="885"/>
      <c r="H104" s="842">
        <v>5462.5</v>
      </c>
      <c r="I104" s="885"/>
      <c r="J104" s="842">
        <v>5462.5</v>
      </c>
      <c r="K104" s="885"/>
      <c r="L104" s="842">
        <v>5462.5</v>
      </c>
      <c r="M104" s="885"/>
      <c r="N104" s="842">
        <v>5462.5</v>
      </c>
      <c r="O104" s="885"/>
      <c r="P104" s="842">
        <v>5462.5</v>
      </c>
      <c r="Q104" s="885"/>
      <c r="R104" s="842">
        <v>5462.5</v>
      </c>
      <c r="S104" s="885"/>
      <c r="T104" s="842">
        <v>5462.5</v>
      </c>
      <c r="U104" s="885"/>
      <c r="V104" s="842"/>
      <c r="W104" s="885"/>
      <c r="X104" s="842"/>
      <c r="Y104" s="885"/>
    </row>
    <row r="105" spans="1:27" x14ac:dyDescent="0.25">
      <c r="A105" s="849"/>
      <c r="B105" s="854"/>
      <c r="D105" s="839"/>
      <c r="E105" s="839"/>
      <c r="G105" s="889"/>
      <c r="H105" s="889"/>
      <c r="I105" s="889"/>
      <c r="J105" s="889"/>
      <c r="K105" s="889"/>
      <c r="L105" s="889"/>
      <c r="M105" s="889"/>
      <c r="N105" s="889"/>
      <c r="O105" s="889"/>
      <c r="P105" s="889"/>
      <c r="Q105" s="889"/>
      <c r="R105" s="889"/>
      <c r="S105" s="889"/>
      <c r="T105" s="889"/>
      <c r="U105" s="889"/>
      <c r="V105" s="889"/>
      <c r="W105" s="889"/>
      <c r="X105" s="889"/>
      <c r="Y105" s="889"/>
    </row>
    <row r="106" spans="1:27" x14ac:dyDescent="0.25">
      <c r="A106" s="1322" t="s">
        <v>721</v>
      </c>
      <c r="B106" s="1322" t="s">
        <v>719</v>
      </c>
      <c r="D106" s="851">
        <f>SUM(D84:D104)</f>
        <v>0</v>
      </c>
      <c r="E106" s="898">
        <f>SUM(E96:E104)</f>
        <v>0</v>
      </c>
      <c r="F106" s="910">
        <f>SUM(F96:F104)</f>
        <v>5462.5</v>
      </c>
      <c r="G106" s="898">
        <f>SUM(G96:G104)</f>
        <v>369283.5</v>
      </c>
      <c r="H106" s="910">
        <f t="shared" ref="H106:U106" si="8">SUM(H96:H104)</f>
        <v>5462.5</v>
      </c>
      <c r="I106" s="898">
        <f t="shared" si="8"/>
        <v>244750</v>
      </c>
      <c r="J106" s="910">
        <f t="shared" si="8"/>
        <v>5462.5</v>
      </c>
      <c r="K106" s="898">
        <f t="shared" si="8"/>
        <v>254750</v>
      </c>
      <c r="L106" s="910">
        <f t="shared" si="8"/>
        <v>5462.5</v>
      </c>
      <c r="M106" s="898">
        <f t="shared" si="8"/>
        <v>244750</v>
      </c>
      <c r="N106" s="910">
        <f t="shared" si="8"/>
        <v>5462.5</v>
      </c>
      <c r="O106" s="898">
        <f>SUM(O96:O104)</f>
        <v>284750</v>
      </c>
      <c r="P106" s="910">
        <f t="shared" si="8"/>
        <v>5462.5</v>
      </c>
      <c r="Q106" s="898">
        <f t="shared" si="8"/>
        <v>244750</v>
      </c>
      <c r="R106" s="910">
        <f t="shared" si="8"/>
        <v>5462.5</v>
      </c>
      <c r="S106" s="898">
        <f t="shared" si="8"/>
        <v>254750</v>
      </c>
      <c r="T106" s="910">
        <f t="shared" si="8"/>
        <v>5462.5</v>
      </c>
      <c r="U106" s="898">
        <f t="shared" si="8"/>
        <v>244750</v>
      </c>
      <c r="V106" s="910">
        <f t="shared" ref="V106:W106" si="9">SUM(V96:V104)</f>
        <v>0</v>
      </c>
      <c r="W106" s="898">
        <f t="shared" si="9"/>
        <v>175000</v>
      </c>
      <c r="X106" s="910">
        <f t="shared" ref="X106:Y106" si="10">SUM(X96:X104)</f>
        <v>0</v>
      </c>
      <c r="Y106" s="898">
        <f t="shared" si="10"/>
        <v>0</v>
      </c>
      <c r="AA106" s="889"/>
    </row>
    <row r="107" spans="1:27" s="862" customFormat="1" x14ac:dyDescent="0.25">
      <c r="A107" s="911"/>
      <c r="B107" s="912"/>
      <c r="C107" s="867"/>
      <c r="D107" s="863"/>
      <c r="E107" s="863"/>
      <c r="F107" s="867"/>
      <c r="G107" s="913"/>
      <c r="H107" s="913"/>
      <c r="I107" s="913"/>
      <c r="J107" s="913"/>
      <c r="K107" s="913"/>
      <c r="L107" s="913"/>
      <c r="M107" s="913"/>
      <c r="N107" s="913"/>
      <c r="O107" s="913"/>
      <c r="P107" s="913"/>
      <c r="Q107" s="913"/>
      <c r="R107" s="913"/>
      <c r="S107" s="913"/>
      <c r="T107" s="913"/>
      <c r="U107" s="913"/>
      <c r="V107" s="913"/>
      <c r="W107" s="913"/>
      <c r="X107" s="913"/>
      <c r="Y107" s="913"/>
    </row>
    <row r="108" spans="1:27" x14ac:dyDescent="0.25">
      <c r="A108" s="1322" t="s">
        <v>722</v>
      </c>
      <c r="B108" s="1322" t="s">
        <v>719</v>
      </c>
      <c r="D108" s="851">
        <f>+D94+D106</f>
        <v>0</v>
      </c>
      <c r="E108" s="851">
        <f t="shared" ref="E108:U108" si="11">+E94+E106</f>
        <v>3173257.9078000002</v>
      </c>
      <c r="F108" s="909">
        <f>+F94+F106</f>
        <v>148625</v>
      </c>
      <c r="G108" s="898">
        <f>+G94+G106</f>
        <v>6926926.625</v>
      </c>
      <c r="H108" s="910">
        <f t="shared" si="11"/>
        <v>402029</v>
      </c>
      <c r="I108" s="898">
        <f t="shared" si="11"/>
        <v>8449213.125</v>
      </c>
      <c r="J108" s="910">
        <f t="shared" si="11"/>
        <v>79774.5</v>
      </c>
      <c r="K108" s="898">
        <f t="shared" si="11"/>
        <v>10140005</v>
      </c>
      <c r="L108" s="910">
        <f t="shared" si="11"/>
        <v>412867.5</v>
      </c>
      <c r="M108" s="898">
        <f t="shared" si="11"/>
        <v>7792744.375</v>
      </c>
      <c r="N108" s="910">
        <f t="shared" si="11"/>
        <v>75462.5</v>
      </c>
      <c r="O108" s="898">
        <f t="shared" si="11"/>
        <v>8340669.0674999999</v>
      </c>
      <c r="P108" s="910">
        <f t="shared" si="11"/>
        <v>423240.72499999998</v>
      </c>
      <c r="Q108" s="898">
        <f t="shared" si="11"/>
        <v>3386844.4424999999</v>
      </c>
      <c r="R108" s="910">
        <f>+R94+R106</f>
        <v>42462.5</v>
      </c>
      <c r="S108" s="898">
        <f t="shared" si="11"/>
        <v>2209596.875</v>
      </c>
      <c r="T108" s="910">
        <f t="shared" si="11"/>
        <v>231355.70499999999</v>
      </c>
      <c r="U108" s="898">
        <f t="shared" si="11"/>
        <v>2129000.875</v>
      </c>
      <c r="V108" s="910">
        <f t="shared" ref="V108:W108" si="12">+V94+V106</f>
        <v>0</v>
      </c>
      <c r="W108" s="898">
        <f t="shared" si="12"/>
        <v>400000</v>
      </c>
      <c r="X108" s="910">
        <f t="shared" ref="X108:Y108" si="13">+X94+X106</f>
        <v>10925</v>
      </c>
      <c r="Y108" s="898">
        <f t="shared" si="13"/>
        <v>225000</v>
      </c>
      <c r="AA108" s="889"/>
    </row>
    <row r="109" spans="1:27" x14ac:dyDescent="0.25">
      <c r="A109" s="1124"/>
      <c r="B109" s="1125"/>
      <c r="C109" s="1126"/>
      <c r="D109" s="1127"/>
      <c r="E109" s="1127"/>
      <c r="F109" s="1128"/>
      <c r="G109" s="908"/>
      <c r="H109" s="908"/>
      <c r="I109" s="908"/>
      <c r="J109" s="908"/>
      <c r="K109" s="908"/>
      <c r="L109" s="908"/>
      <c r="M109" s="908"/>
      <c r="N109" s="908"/>
      <c r="O109" s="908"/>
      <c r="P109" s="908"/>
      <c r="Q109" s="908"/>
      <c r="R109" s="908"/>
      <c r="S109" s="908"/>
      <c r="T109" s="908"/>
      <c r="U109" s="908"/>
      <c r="V109" s="908"/>
      <c r="W109" s="908"/>
      <c r="X109" s="908"/>
      <c r="Y109" s="908"/>
      <c r="Z109" s="1129"/>
      <c r="AA109" s="1129"/>
    </row>
    <row r="110" spans="1:27" x14ac:dyDescent="0.25">
      <c r="A110" s="1130"/>
      <c r="B110" s="1129" t="s">
        <v>850</v>
      </c>
      <c r="C110" s="1126"/>
      <c r="D110" s="1128"/>
      <c r="E110" s="908"/>
      <c r="F110" s="1131"/>
      <c r="G110" s="1131"/>
      <c r="H110" s="1129"/>
      <c r="I110" s="1131"/>
      <c r="J110" s="1131"/>
      <c r="K110" s="1131"/>
      <c r="L110" s="1129"/>
      <c r="M110" s="1131"/>
      <c r="N110" s="1131"/>
      <c r="O110" s="1131"/>
      <c r="P110" s="1132"/>
      <c r="Q110" s="1129"/>
      <c r="R110" s="1131"/>
      <c r="S110" s="1131"/>
      <c r="T110" s="1129"/>
      <c r="U110" s="1129"/>
      <c r="V110" s="1129"/>
      <c r="W110" s="1131"/>
      <c r="X110" s="1131"/>
      <c r="Y110" s="1129"/>
      <c r="Z110" s="1129"/>
      <c r="AA110" s="1129"/>
    </row>
    <row r="111" spans="1:27" x14ac:dyDescent="0.25">
      <c r="A111" s="1130"/>
      <c r="B111" s="1129"/>
      <c r="C111" s="1126"/>
      <c r="D111" s="1128"/>
      <c r="E111" s="1128"/>
      <c r="F111" s="1129"/>
      <c r="G111" s="1129"/>
      <c r="H111" s="1129"/>
      <c r="I111" s="1129"/>
      <c r="J111" s="1129"/>
      <c r="K111" s="1129"/>
      <c r="L111" s="1129"/>
      <c r="M111" s="1129"/>
      <c r="N111" s="1129"/>
      <c r="O111" s="1129"/>
      <c r="P111" s="1129"/>
      <c r="Q111" s="1129"/>
      <c r="R111" s="1129"/>
      <c r="S111" s="1129"/>
      <c r="T111" s="1129"/>
      <c r="U111" s="1129"/>
      <c r="V111" s="1129"/>
      <c r="W111" s="1129"/>
      <c r="X111" s="1129"/>
      <c r="Y111" s="1129"/>
      <c r="Z111" s="1129"/>
      <c r="AA111" s="1129"/>
    </row>
    <row r="112" spans="1:27" x14ac:dyDescent="0.25">
      <c r="A112" s="1130"/>
      <c r="B112" s="1129"/>
      <c r="C112" s="1126"/>
      <c r="D112" s="1128"/>
      <c r="E112" s="1128"/>
      <c r="F112" s="1129"/>
      <c r="G112" s="1129"/>
      <c r="H112" s="1133"/>
      <c r="I112" s="1129"/>
      <c r="J112" s="1129"/>
      <c r="K112" s="1129"/>
      <c r="L112" s="1129"/>
      <c r="M112" s="1129"/>
      <c r="N112" s="1129"/>
      <c r="O112" s="1129"/>
      <c r="P112" s="1129"/>
      <c r="Q112" s="1129"/>
      <c r="R112" s="1129"/>
      <c r="S112" s="1129"/>
      <c r="T112" s="1129"/>
      <c r="U112" s="1129"/>
      <c r="V112" s="1129"/>
      <c r="W112" s="1129"/>
      <c r="X112" s="1129"/>
      <c r="Y112" s="1129"/>
      <c r="Z112" s="1129"/>
      <c r="AA112" s="1129"/>
    </row>
    <row r="113" spans="1:27" x14ac:dyDescent="0.25">
      <c r="A113" s="1130"/>
      <c r="B113" s="1129"/>
      <c r="C113" s="1126"/>
      <c r="D113" s="1128"/>
      <c r="E113" s="1128"/>
      <c r="F113" s="1129"/>
      <c r="G113" s="1129"/>
      <c r="H113" s="1133"/>
      <c r="I113" s="1129"/>
      <c r="J113" s="1129"/>
      <c r="K113" s="1129"/>
      <c r="L113" s="1129"/>
      <c r="M113" s="1129"/>
      <c r="N113" s="1129"/>
      <c r="O113" s="1129"/>
      <c r="P113" s="1129"/>
      <c r="Q113" s="1129"/>
      <c r="R113" s="1129"/>
      <c r="S113" s="1129"/>
      <c r="T113" s="1129"/>
      <c r="U113" s="1129"/>
      <c r="V113" s="1129"/>
      <c r="W113" s="1129"/>
      <c r="X113" s="1129"/>
      <c r="Y113" s="1129"/>
      <c r="Z113" s="1129"/>
      <c r="AA113" s="1129"/>
    </row>
    <row r="114" spans="1:27" x14ac:dyDescent="0.25">
      <c r="A114" s="1130"/>
      <c r="B114" s="1129"/>
      <c r="C114" s="1126"/>
      <c r="D114" s="1128"/>
      <c r="E114" s="1128"/>
      <c r="F114" s="1129"/>
      <c r="G114" s="1129"/>
      <c r="H114" s="1133"/>
      <c r="I114" s="1129"/>
      <c r="J114" s="1129"/>
      <c r="K114" s="1129"/>
      <c r="L114" s="1129"/>
      <c r="M114" s="1129"/>
      <c r="N114" s="1129"/>
      <c r="O114" s="1129"/>
      <c r="P114" s="1129"/>
      <c r="Q114" s="1129"/>
      <c r="R114" s="1129"/>
      <c r="S114" s="1129"/>
      <c r="T114" s="1129"/>
      <c r="U114" s="1129"/>
      <c r="V114" s="1129"/>
      <c r="W114" s="1129"/>
      <c r="X114" s="1129"/>
      <c r="Y114" s="1129"/>
      <c r="Z114" s="1129"/>
      <c r="AA114" s="1129"/>
    </row>
    <row r="115" spans="1:27" x14ac:dyDescent="0.25">
      <c r="A115" s="1130"/>
      <c r="B115" s="1129"/>
      <c r="C115" s="1126"/>
      <c r="D115" s="1128"/>
      <c r="E115" s="1128"/>
      <c r="F115" s="1129"/>
      <c r="G115" s="1129"/>
      <c r="H115" s="1129"/>
      <c r="I115" s="1129"/>
      <c r="J115" s="1129"/>
      <c r="K115" s="1129"/>
      <c r="L115" s="1129"/>
      <c r="M115" s="1129"/>
      <c r="N115" s="1129"/>
      <c r="O115" s="1129"/>
      <c r="P115" s="1129"/>
      <c r="Q115" s="1129"/>
      <c r="R115" s="1129"/>
      <c r="S115" s="1129"/>
      <c r="T115" s="1129"/>
      <c r="U115" s="1129"/>
      <c r="V115" s="1129"/>
      <c r="W115" s="1129"/>
      <c r="X115" s="1129"/>
      <c r="Y115" s="1129"/>
      <c r="Z115" s="1129"/>
      <c r="AA115" s="1129"/>
    </row>
  </sheetData>
  <mergeCells count="7">
    <mergeCell ref="A106:B106"/>
    <mergeCell ref="A108:B108"/>
    <mergeCell ref="A1:B1"/>
    <mergeCell ref="A3:B3"/>
    <mergeCell ref="A59:B59"/>
    <mergeCell ref="A78:B78"/>
    <mergeCell ref="A94:B94"/>
  </mergeCells>
  <pageMargins left="0.25" right="0.25" top="0.75" bottom="0.75" header="0.3" footer="0.3"/>
  <pageSetup scale="75" fitToWidth="0" orientation="landscape"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166"/>
  <sheetViews>
    <sheetView zoomScale="70" zoomScaleNormal="70" workbookViewId="0">
      <pane ySplit="3" topLeftCell="A65" activePane="bottomLeft" state="frozen"/>
      <selection pane="bottomLeft" activeCell="P137" sqref="P137:Q145"/>
    </sheetView>
  </sheetViews>
  <sheetFormatPr defaultColWidth="9.109375" defaultRowHeight="13.8" x14ac:dyDescent="0.25"/>
  <cols>
    <col min="1" max="1" width="5.88671875" style="929" bestFit="1" customWidth="1"/>
    <col min="2" max="2" width="3.6640625" style="929" bestFit="1" customWidth="1"/>
    <col min="3" max="3" width="76" style="930" customWidth="1"/>
    <col min="4" max="4" width="34.5546875" style="930" customWidth="1"/>
    <col min="5" max="5" width="13.33203125" style="930" bestFit="1" customWidth="1"/>
    <col min="6" max="6" width="14.88671875" style="930" bestFit="1" customWidth="1"/>
    <col min="7" max="7" width="16" style="930" bestFit="1" customWidth="1"/>
    <col min="8" max="8" width="14.88671875" style="930" bestFit="1" customWidth="1"/>
    <col min="9" max="9" width="16.44140625" style="930" bestFit="1" customWidth="1"/>
    <col min="10" max="10" width="14.33203125" style="930" customWidth="1"/>
    <col min="11" max="11" width="16.6640625" style="930" bestFit="1" customWidth="1"/>
    <col min="12" max="12" width="14.33203125" style="930" customWidth="1"/>
    <col min="13" max="13" width="16.44140625" style="930" bestFit="1" customWidth="1"/>
    <col min="14" max="14" width="12.44140625" style="930" customWidth="1"/>
    <col min="15" max="15" width="16" style="930" bestFit="1" customWidth="1"/>
    <col min="16" max="16" width="13.5546875" style="930" bestFit="1" customWidth="1"/>
    <col min="17" max="17" width="14.44140625" style="930" bestFit="1" customWidth="1"/>
    <col min="18" max="18" width="14.44140625" style="931" bestFit="1" customWidth="1"/>
    <col min="19" max="19" width="14.88671875" style="930" bestFit="1" customWidth="1"/>
    <col min="20" max="20" width="12.33203125" style="930" bestFit="1" customWidth="1"/>
    <col min="21" max="21" width="11.6640625" style="930" bestFit="1" customWidth="1"/>
    <col min="22" max="22" width="10" style="930" bestFit="1" customWidth="1"/>
    <col min="23" max="23" width="9.109375" style="930"/>
    <col min="24" max="24" width="9.5546875" style="930" bestFit="1" customWidth="1"/>
    <col min="25" max="25" width="9.109375" style="930"/>
    <col min="26" max="26" width="10.88671875" style="930" bestFit="1" customWidth="1"/>
    <col min="27" max="27" width="16.88671875" style="930" customWidth="1"/>
    <col min="28" max="16384" width="9.109375" style="930"/>
  </cols>
  <sheetData>
    <row r="1" spans="1:23" x14ac:dyDescent="0.25">
      <c r="H1" s="1015">
        <f>2275500-K12-J12</f>
        <v>1699561.865</v>
      </c>
      <c r="I1" s="1015">
        <f>4005000-K12</f>
        <v>3429061.8650000002</v>
      </c>
      <c r="J1" s="930" t="s">
        <v>788</v>
      </c>
      <c r="K1" s="930">
        <v>16</v>
      </c>
      <c r="N1" s="930" t="s">
        <v>792</v>
      </c>
      <c r="O1" s="930">
        <v>0.1</v>
      </c>
    </row>
    <row r="2" spans="1:23" x14ac:dyDescent="0.25">
      <c r="J2" s="930" t="s">
        <v>791</v>
      </c>
      <c r="K2" s="930">
        <v>1</v>
      </c>
      <c r="N2" s="930" t="s">
        <v>793</v>
      </c>
      <c r="O2" s="930">
        <v>0.9</v>
      </c>
    </row>
    <row r="3" spans="1:23" ht="30" customHeight="1" x14ac:dyDescent="0.25">
      <c r="A3" s="1349" t="s">
        <v>485</v>
      </c>
      <c r="B3" s="1349"/>
      <c r="C3" s="1348"/>
      <c r="D3" s="932" t="s">
        <v>507</v>
      </c>
      <c r="E3" s="932">
        <v>2017</v>
      </c>
      <c r="F3" s="1347">
        <v>2018</v>
      </c>
      <c r="G3" s="1348"/>
      <c r="H3" s="1347">
        <v>2019</v>
      </c>
      <c r="I3" s="1348"/>
      <c r="J3" s="1347">
        <v>2020</v>
      </c>
      <c r="K3" s="1348"/>
      <c r="L3" s="1347">
        <v>2021</v>
      </c>
      <c r="M3" s="1348"/>
      <c r="N3" s="1347">
        <v>2022</v>
      </c>
      <c r="O3" s="1348"/>
      <c r="P3" s="1347" t="s">
        <v>503</v>
      </c>
      <c r="Q3" s="1349"/>
      <c r="R3" s="1348"/>
    </row>
    <row r="4" spans="1:23" ht="13.95" customHeight="1" x14ac:dyDescent="0.25">
      <c r="A4" s="933"/>
      <c r="B4" s="933"/>
      <c r="C4" s="933"/>
      <c r="D4" s="933"/>
      <c r="E4" s="933"/>
      <c r="F4" s="934" t="s">
        <v>792</v>
      </c>
      <c r="G4" s="934" t="s">
        <v>793</v>
      </c>
      <c r="H4" s="934" t="s">
        <v>792</v>
      </c>
      <c r="I4" s="934" t="s">
        <v>793</v>
      </c>
      <c r="J4" s="934" t="s">
        <v>792</v>
      </c>
      <c r="K4" s="934" t="s">
        <v>793</v>
      </c>
      <c r="L4" s="934" t="s">
        <v>792</v>
      </c>
      <c r="M4" s="934" t="s">
        <v>793</v>
      </c>
      <c r="N4" s="934" t="s">
        <v>792</v>
      </c>
      <c r="O4" s="934" t="s">
        <v>793</v>
      </c>
      <c r="P4" s="934" t="s">
        <v>792</v>
      </c>
      <c r="Q4" s="934" t="s">
        <v>793</v>
      </c>
      <c r="R4" s="935"/>
    </row>
    <row r="5" spans="1:23" ht="30.6" customHeight="1" x14ac:dyDescent="0.25">
      <c r="A5" s="1350" t="s">
        <v>794</v>
      </c>
      <c r="B5" s="1350"/>
      <c r="C5" s="1350"/>
      <c r="D5" s="936"/>
      <c r="E5" s="937"/>
      <c r="F5" s="938">
        <f>+F47+F55+F7+F19+F34</f>
        <v>440853.6</v>
      </c>
      <c r="G5" s="938">
        <f>+G47+G55+G7+G19+G34</f>
        <v>9140024.75</v>
      </c>
      <c r="H5" s="938">
        <f t="shared" ref="H5:O5" si="0">+H47+H55+H7+H19+H34</f>
        <v>407091.8</v>
      </c>
      <c r="I5" s="938">
        <f t="shared" si="0"/>
        <v>9479087.375</v>
      </c>
      <c r="J5" s="938">
        <f t="shared" si="0"/>
        <v>421778.22499999998</v>
      </c>
      <c r="K5" s="938">
        <f t="shared" si="0"/>
        <v>5611670.5099999998</v>
      </c>
      <c r="L5" s="938">
        <f t="shared" si="0"/>
        <v>262893.20499999996</v>
      </c>
      <c r="M5" s="938">
        <f t="shared" si="0"/>
        <v>2005422.75</v>
      </c>
      <c r="N5" s="938">
        <f t="shared" si="0"/>
        <v>10925</v>
      </c>
      <c r="O5" s="938">
        <f t="shared" si="0"/>
        <v>450000</v>
      </c>
      <c r="P5" s="939"/>
      <c r="Q5" s="940"/>
      <c r="R5" s="941"/>
      <c r="W5" s="942" t="s">
        <v>581</v>
      </c>
    </row>
    <row r="6" spans="1:23" ht="26.4" customHeight="1" thickBot="1" x14ac:dyDescent="0.3">
      <c r="A6" s="1355">
        <v>1.1000000000000001</v>
      </c>
      <c r="B6" s="1356"/>
      <c r="C6" s="1357" t="s">
        <v>746</v>
      </c>
      <c r="D6" s="1358"/>
      <c r="E6" s="944"/>
      <c r="F6" s="945"/>
      <c r="G6" s="945"/>
      <c r="H6" s="945"/>
      <c r="I6" s="945"/>
      <c r="J6" s="945"/>
      <c r="K6" s="945"/>
      <c r="L6" s="945"/>
      <c r="M6" s="945"/>
      <c r="N6" s="945"/>
      <c r="O6" s="945"/>
      <c r="P6" s="1188"/>
      <c r="Q6" s="1188"/>
      <c r="R6" s="1189"/>
    </row>
    <row r="7" spans="1:23" ht="26.4" customHeight="1" thickBot="1" x14ac:dyDescent="0.3">
      <c r="A7" s="916"/>
      <c r="B7" s="917"/>
      <c r="C7" s="1359" t="s">
        <v>755</v>
      </c>
      <c r="D7" s="1359"/>
      <c r="E7" s="947">
        <f>SUM(E8:E17)</f>
        <v>1187000</v>
      </c>
      <c r="F7" s="947">
        <f>SUM(F8:F17)</f>
        <v>0</v>
      </c>
      <c r="G7" s="947">
        <f>SUM(G8:G17)</f>
        <v>7306000</v>
      </c>
      <c r="H7" s="947">
        <f t="shared" ref="H7:Q7" si="1">SUM(H8:H17)</f>
        <v>0</v>
      </c>
      <c r="I7" s="947">
        <f t="shared" si="1"/>
        <v>7158536.875</v>
      </c>
      <c r="J7" s="947">
        <f t="shared" si="1"/>
        <v>0</v>
      </c>
      <c r="K7" s="947">
        <f t="shared" si="1"/>
        <v>4105663.76</v>
      </c>
      <c r="L7" s="947">
        <f t="shared" si="1"/>
        <v>0</v>
      </c>
      <c r="M7" s="947">
        <f t="shared" si="1"/>
        <v>622416</v>
      </c>
      <c r="N7" s="947">
        <f t="shared" si="1"/>
        <v>0</v>
      </c>
      <c r="O7" s="1187">
        <f t="shared" si="1"/>
        <v>450000</v>
      </c>
      <c r="P7" s="1192">
        <f>SUM(P8:P17)</f>
        <v>1187000</v>
      </c>
      <c r="Q7" s="1193">
        <f t="shared" si="1"/>
        <v>19642616.634999998</v>
      </c>
      <c r="R7" s="1194">
        <f>SUM(R8:R17)</f>
        <v>20829616.634999998</v>
      </c>
    </row>
    <row r="8" spans="1:23" x14ac:dyDescent="0.25">
      <c r="A8" s="950" t="s">
        <v>747</v>
      </c>
      <c r="B8" s="950" t="s">
        <v>590</v>
      </c>
      <c r="C8" s="933" t="s">
        <v>520</v>
      </c>
      <c r="D8" s="933" t="s">
        <v>795</v>
      </c>
      <c r="E8" s="951">
        <v>1000000</v>
      </c>
      <c r="F8" s="952"/>
      <c r="G8" s="952">
        <v>1054000</v>
      </c>
      <c r="H8" s="956"/>
      <c r="I8" s="956">
        <f>((74896.8749999999))</f>
        <v>74896.874999999898</v>
      </c>
      <c r="J8" s="956"/>
      <c r="K8" s="956">
        <f>(39965.625)</f>
        <v>39965.625</v>
      </c>
      <c r="L8" s="956"/>
      <c r="M8" s="1161">
        <v>6216</v>
      </c>
      <c r="N8" s="952"/>
      <c r="O8" s="952"/>
      <c r="P8" s="1190">
        <f>+N8+L8+J8+H8+F8+E8</f>
        <v>1000000</v>
      </c>
      <c r="Q8" s="1191">
        <f>+G8+I8+K8+M8+O8</f>
        <v>1175078.5</v>
      </c>
      <c r="R8" s="984">
        <f>+Q8+P8</f>
        <v>2175078.5</v>
      </c>
      <c r="S8" s="1015"/>
    </row>
    <row r="9" spans="1:23" ht="24" x14ac:dyDescent="0.25">
      <c r="A9" s="950" t="s">
        <v>748</v>
      </c>
      <c r="B9" s="950" t="s">
        <v>591</v>
      </c>
      <c r="C9" s="933" t="s">
        <v>514</v>
      </c>
      <c r="D9" s="933" t="s">
        <v>515</v>
      </c>
      <c r="E9" s="955"/>
      <c r="F9" s="952"/>
      <c r="G9" s="956">
        <v>50000</v>
      </c>
      <c r="H9" s="956"/>
      <c r="I9" s="956"/>
      <c r="J9" s="956"/>
      <c r="K9" s="956"/>
      <c r="L9" s="956"/>
      <c r="M9" s="956"/>
      <c r="N9" s="952"/>
      <c r="O9" s="952"/>
      <c r="P9" s="946">
        <f t="shared" ref="P9:P17" si="2">+N9+L9+J9+H9+F9+E9</f>
        <v>0</v>
      </c>
      <c r="Q9" s="953">
        <f t="shared" ref="Q9:Q16" si="3">+G9+I9+K9+M9+O9</f>
        <v>50000</v>
      </c>
      <c r="R9" s="954">
        <f t="shared" ref="R9:R17" si="4">+Q9+P9</f>
        <v>50000</v>
      </c>
    </row>
    <row r="10" spans="1:23" ht="24" x14ac:dyDescent="0.25">
      <c r="A10" s="950" t="s">
        <v>749</v>
      </c>
      <c r="B10" s="950" t="s">
        <v>590</v>
      </c>
      <c r="C10" s="933" t="s">
        <v>534</v>
      </c>
      <c r="D10" s="957" t="s">
        <v>796</v>
      </c>
      <c r="E10" s="955"/>
      <c r="F10" s="952"/>
      <c r="G10" s="956">
        <v>55000</v>
      </c>
      <c r="H10" s="952"/>
      <c r="I10" s="956">
        <v>55000</v>
      </c>
      <c r="J10" s="956"/>
      <c r="K10" s="956"/>
      <c r="L10" s="956"/>
      <c r="M10" s="952"/>
      <c r="N10" s="952"/>
      <c r="O10" s="952"/>
      <c r="P10" s="946">
        <f t="shared" si="2"/>
        <v>0</v>
      </c>
      <c r="Q10" s="953">
        <f t="shared" si="3"/>
        <v>110000</v>
      </c>
      <c r="R10" s="954">
        <f t="shared" si="4"/>
        <v>110000</v>
      </c>
      <c r="S10" s="1015"/>
      <c r="U10" s="1135"/>
    </row>
    <row r="11" spans="1:23" x14ac:dyDescent="0.25">
      <c r="A11" s="950" t="s">
        <v>750</v>
      </c>
      <c r="B11" s="950" t="s">
        <v>590</v>
      </c>
      <c r="C11" s="958" t="s">
        <v>519</v>
      </c>
      <c r="D11" s="959"/>
      <c r="E11" s="960"/>
      <c r="F11" s="961"/>
      <c r="G11" s="961">
        <v>805000</v>
      </c>
      <c r="H11" s="961"/>
      <c r="I11" s="961">
        <v>1148000</v>
      </c>
      <c r="J11" s="961"/>
      <c r="K11" s="961">
        <v>616000</v>
      </c>
      <c r="L11" s="961"/>
      <c r="M11" s="961">
        <v>91000</v>
      </c>
      <c r="N11" s="961"/>
      <c r="O11" s="961"/>
      <c r="P11" s="946">
        <f t="shared" si="2"/>
        <v>0</v>
      </c>
      <c r="Q11" s="953">
        <f t="shared" si="3"/>
        <v>2660000</v>
      </c>
      <c r="R11" s="954">
        <f t="shared" si="4"/>
        <v>2660000</v>
      </c>
    </row>
    <row r="12" spans="1:23" ht="72" x14ac:dyDescent="0.25">
      <c r="A12" s="950" t="s">
        <v>751</v>
      </c>
      <c r="B12" s="950" t="s">
        <v>590</v>
      </c>
      <c r="C12" s="933" t="s">
        <v>797</v>
      </c>
      <c r="D12" s="957" t="s">
        <v>798</v>
      </c>
      <c r="E12" s="962"/>
      <c r="F12" s="963"/>
      <c r="G12" s="963">
        <v>3035000</v>
      </c>
      <c r="H12" s="963"/>
      <c r="I12" s="963">
        <v>2320000</v>
      </c>
      <c r="J12" s="963"/>
      <c r="K12" s="963">
        <f>2275500-1952415.865-10000+302854-40000</f>
        <v>575938.13500000001</v>
      </c>
      <c r="L12" s="964"/>
      <c r="M12" s="961"/>
      <c r="N12" s="961"/>
      <c r="O12" s="961"/>
      <c r="P12" s="946">
        <f t="shared" si="2"/>
        <v>0</v>
      </c>
      <c r="Q12" s="953">
        <f t="shared" si="3"/>
        <v>5930938.1349999998</v>
      </c>
      <c r="R12" s="954">
        <f t="shared" si="4"/>
        <v>5930938.1349999998</v>
      </c>
    </row>
    <row r="13" spans="1:23" ht="24" x14ac:dyDescent="0.25">
      <c r="A13" s="950" t="s">
        <v>752</v>
      </c>
      <c r="B13" s="950" t="s">
        <v>590</v>
      </c>
      <c r="C13" s="965" t="s">
        <v>799</v>
      </c>
      <c r="D13" s="966" t="s">
        <v>800</v>
      </c>
      <c r="E13" s="962"/>
      <c r="F13" s="963"/>
      <c r="G13" s="963">
        <v>267000</v>
      </c>
      <c r="H13" s="964"/>
      <c r="I13" s="964"/>
      <c r="J13" s="964"/>
      <c r="K13" s="964"/>
      <c r="L13" s="964"/>
      <c r="M13" s="961"/>
      <c r="N13" s="961"/>
      <c r="O13" s="961"/>
      <c r="P13" s="946">
        <f t="shared" si="2"/>
        <v>0</v>
      </c>
      <c r="Q13" s="953">
        <f t="shared" si="3"/>
        <v>267000</v>
      </c>
      <c r="R13" s="954">
        <f t="shared" si="4"/>
        <v>267000</v>
      </c>
    </row>
    <row r="14" spans="1:23" ht="24" x14ac:dyDescent="0.25">
      <c r="A14" s="950" t="s">
        <v>753</v>
      </c>
      <c r="B14" s="950" t="s">
        <v>586</v>
      </c>
      <c r="C14" s="933" t="s">
        <v>592</v>
      </c>
      <c r="D14" s="933" t="s">
        <v>516</v>
      </c>
      <c r="E14" s="955"/>
      <c r="F14" s="952"/>
      <c r="G14" s="956">
        <f>40000*K2</f>
        <v>40000</v>
      </c>
      <c r="H14" s="956"/>
      <c r="I14" s="956"/>
      <c r="J14" s="956"/>
      <c r="K14" s="956"/>
      <c r="L14" s="956"/>
      <c r="M14" s="952"/>
      <c r="N14" s="952"/>
      <c r="O14" s="952"/>
      <c r="P14" s="946">
        <f t="shared" si="2"/>
        <v>0</v>
      </c>
      <c r="Q14" s="953">
        <f t="shared" si="3"/>
        <v>40000</v>
      </c>
      <c r="R14" s="954">
        <f t="shared" si="4"/>
        <v>40000</v>
      </c>
    </row>
    <row r="15" spans="1:23" ht="165" customHeight="1" x14ac:dyDescent="0.25">
      <c r="A15" s="950" t="s">
        <v>754</v>
      </c>
      <c r="B15" s="950" t="s">
        <v>591</v>
      </c>
      <c r="C15" s="933" t="s">
        <v>756</v>
      </c>
      <c r="D15" s="933" t="s">
        <v>801</v>
      </c>
      <c r="E15" s="967">
        <v>187000</v>
      </c>
      <c r="F15" s="956"/>
      <c r="G15" s="956">
        <f>((50000+(400*2500)+500000)*K2)</f>
        <v>1550000</v>
      </c>
      <c r="H15" s="956"/>
      <c r="I15" s="956">
        <f>((50000+((5400*600)*0.6)+(400*2500))*K2)</f>
        <v>2994000</v>
      </c>
      <c r="J15" s="956"/>
      <c r="K15" s="956">
        <f>((50000+((5400*600)*0.4)+(400*2500))*K2)</f>
        <v>2346000</v>
      </c>
      <c r="L15" s="956"/>
      <c r="M15" s="956">
        <f>37600*K2+37600</f>
        <v>75200</v>
      </c>
      <c r="N15" s="956"/>
      <c r="O15" s="956"/>
      <c r="P15" s="946">
        <f t="shared" si="2"/>
        <v>187000</v>
      </c>
      <c r="Q15" s="953">
        <f t="shared" si="3"/>
        <v>6965200</v>
      </c>
      <c r="R15" s="954">
        <f t="shared" si="4"/>
        <v>7152200</v>
      </c>
    </row>
    <row r="16" spans="1:23" ht="36" x14ac:dyDescent="0.25">
      <c r="A16" s="950" t="s">
        <v>802</v>
      </c>
      <c r="B16" s="950" t="s">
        <v>586</v>
      </c>
      <c r="C16" s="968" t="s">
        <v>701</v>
      </c>
      <c r="D16" s="969" t="s">
        <v>757</v>
      </c>
      <c r="E16" s="960"/>
      <c r="F16" s="961"/>
      <c r="G16" s="961"/>
      <c r="H16" s="956"/>
      <c r="I16" s="956">
        <v>116640</v>
      </c>
      <c r="J16" s="956"/>
      <c r="K16" s="956">
        <v>77760</v>
      </c>
      <c r="L16" s="970"/>
      <c r="M16" s="961"/>
      <c r="N16" s="961"/>
      <c r="O16" s="961"/>
      <c r="P16" s="946">
        <f t="shared" si="2"/>
        <v>0</v>
      </c>
      <c r="Q16" s="953">
        <f t="shared" si="3"/>
        <v>194400</v>
      </c>
      <c r="R16" s="954">
        <f t="shared" si="4"/>
        <v>194400</v>
      </c>
    </row>
    <row r="17" spans="1:20" ht="24" x14ac:dyDescent="0.25">
      <c r="A17" s="950" t="s">
        <v>803</v>
      </c>
      <c r="B17" s="950" t="s">
        <v>585</v>
      </c>
      <c r="C17" s="968" t="s">
        <v>804</v>
      </c>
      <c r="D17" s="969" t="s">
        <v>805</v>
      </c>
      <c r="E17" s="960"/>
      <c r="F17" s="971"/>
      <c r="G17" s="971">
        <v>450000</v>
      </c>
      <c r="H17" s="971"/>
      <c r="I17" s="971">
        <v>450000</v>
      </c>
      <c r="J17" s="971"/>
      <c r="K17" s="971">
        <v>450000</v>
      </c>
      <c r="L17" s="971"/>
      <c r="M17" s="971">
        <v>450000</v>
      </c>
      <c r="N17" s="961"/>
      <c r="O17" s="1184">
        <v>450000</v>
      </c>
      <c r="P17" s="946">
        <f t="shared" si="2"/>
        <v>0</v>
      </c>
      <c r="Q17" s="953">
        <f>+G17+I17+K17+M17+O17</f>
        <v>2250000</v>
      </c>
      <c r="R17" s="954">
        <f t="shared" si="4"/>
        <v>2250000</v>
      </c>
    </row>
    <row r="18" spans="1:20" ht="23.4" customHeight="1" thickBot="1" x14ac:dyDescent="0.3">
      <c r="A18" s="972">
        <v>1.2</v>
      </c>
      <c r="B18" s="972"/>
      <c r="C18" s="973" t="s">
        <v>758</v>
      </c>
      <c r="D18" s="972"/>
      <c r="E18" s="972"/>
      <c r="F18" s="945"/>
      <c r="G18" s="945"/>
      <c r="H18" s="945"/>
      <c r="I18" s="945"/>
      <c r="J18" s="945"/>
      <c r="K18" s="945"/>
      <c r="L18" s="945"/>
      <c r="M18" s="945"/>
      <c r="N18" s="945"/>
      <c r="O18" s="945"/>
      <c r="P18" s="974"/>
      <c r="Q18" s="975"/>
      <c r="R18" s="975"/>
    </row>
    <row r="19" spans="1:20" ht="23.4" customHeight="1" thickBot="1" x14ac:dyDescent="0.3">
      <c r="A19" s="976"/>
      <c r="B19" s="976"/>
      <c r="C19" s="1353" t="s">
        <v>761</v>
      </c>
      <c r="D19" s="1354"/>
      <c r="E19" s="977">
        <f>SUM(E20:E32)</f>
        <v>191682.27779999998</v>
      </c>
      <c r="F19" s="977">
        <f t="shared" ref="F19:O19" si="5">SUM(F20:F32)</f>
        <v>302853.59999999998</v>
      </c>
      <c r="G19" s="977">
        <f t="shared" si="5"/>
        <v>397378.5</v>
      </c>
      <c r="H19" s="977">
        <f t="shared" si="5"/>
        <v>333091.8</v>
      </c>
      <c r="I19" s="977">
        <f t="shared" si="5"/>
        <v>854178</v>
      </c>
      <c r="J19" s="977">
        <f t="shared" si="5"/>
        <v>347778.22499999998</v>
      </c>
      <c r="K19" s="977">
        <f t="shared" si="5"/>
        <v>854178</v>
      </c>
      <c r="L19" s="977">
        <f t="shared" si="5"/>
        <v>188893.20499999999</v>
      </c>
      <c r="M19" s="977">
        <f t="shared" si="5"/>
        <v>854178</v>
      </c>
      <c r="N19" s="977">
        <f t="shared" si="5"/>
        <v>10925</v>
      </c>
      <c r="O19" s="977">
        <f t="shared" si="5"/>
        <v>0</v>
      </c>
      <c r="P19" s="978">
        <f>+N19+L19+J19+H19+F19+E19</f>
        <v>1375224.1078000001</v>
      </c>
      <c r="Q19" s="979">
        <f>+O19+M19+K19+I19+G19</f>
        <v>2959912.5</v>
      </c>
      <c r="R19" s="980">
        <f>+Q19+P19</f>
        <v>4335136.6078000003</v>
      </c>
    </row>
    <row r="20" spans="1:20" x14ac:dyDescent="0.25">
      <c r="A20" s="950" t="s">
        <v>470</v>
      </c>
      <c r="B20" s="950" t="s">
        <v>585</v>
      </c>
      <c r="C20" s="965" t="s">
        <v>521</v>
      </c>
      <c r="D20" s="957" t="s">
        <v>594</v>
      </c>
      <c r="E20" s="987"/>
      <c r="F20" s="981"/>
      <c r="G20" s="981">
        <f t="shared" ref="G20:G21" si="6">(20235/16)*6</f>
        <v>7588.125</v>
      </c>
      <c r="H20" s="981"/>
      <c r="I20" s="981"/>
      <c r="J20" s="981"/>
      <c r="K20" s="981"/>
      <c r="L20" s="981"/>
      <c r="M20" s="981"/>
      <c r="N20" s="981"/>
      <c r="O20" s="981"/>
      <c r="P20" s="982">
        <f>+N20+L20+J20+H20+F20+E20</f>
        <v>0</v>
      </c>
      <c r="Q20" s="983">
        <f>+G20+I20+K20+M20+O20</f>
        <v>7588.125</v>
      </c>
      <c r="R20" s="984">
        <f>+Q20+P20</f>
        <v>7588.125</v>
      </c>
    </row>
    <row r="21" spans="1:20" x14ac:dyDescent="0.25">
      <c r="A21" s="950" t="s">
        <v>471</v>
      </c>
      <c r="B21" s="950" t="s">
        <v>585</v>
      </c>
      <c r="C21" s="965" t="s">
        <v>771</v>
      </c>
      <c r="D21" s="957" t="s">
        <v>596</v>
      </c>
      <c r="E21" s="987"/>
      <c r="F21" s="981"/>
      <c r="G21" s="981">
        <f t="shared" si="6"/>
        <v>7588.125</v>
      </c>
      <c r="H21" s="981"/>
      <c r="I21" s="981"/>
      <c r="J21" s="981"/>
      <c r="K21" s="981"/>
      <c r="L21" s="981"/>
      <c r="M21" s="981"/>
      <c r="N21" s="981"/>
      <c r="O21" s="981"/>
      <c r="P21" s="982">
        <f t="shared" ref="P21:P31" si="7">+N21+L21+J21+H21+F21+E21</f>
        <v>0</v>
      </c>
      <c r="Q21" s="983">
        <f t="shared" ref="Q21:Q31" si="8">+G21+I21+K21+M21+O21</f>
        <v>7588.125</v>
      </c>
      <c r="R21" s="984">
        <f t="shared" ref="R21:R31" si="9">+Q21+P21</f>
        <v>7588.125</v>
      </c>
    </row>
    <row r="22" spans="1:20" ht="24" x14ac:dyDescent="0.25">
      <c r="A22" s="950" t="s">
        <v>472</v>
      </c>
      <c r="B22" s="950" t="s">
        <v>585</v>
      </c>
      <c r="C22" s="965" t="s">
        <v>522</v>
      </c>
      <c r="D22" s="957" t="s">
        <v>597</v>
      </c>
      <c r="E22" s="987"/>
      <c r="F22" s="981"/>
      <c r="G22" s="981">
        <f>(20235/16)*2*6</f>
        <v>15176.25</v>
      </c>
      <c r="H22" s="981"/>
      <c r="I22" s="981"/>
      <c r="J22" s="981"/>
      <c r="K22" s="981"/>
      <c r="L22" s="981"/>
      <c r="M22" s="981"/>
      <c r="N22" s="981"/>
      <c r="O22" s="981"/>
      <c r="P22" s="982">
        <f t="shared" si="7"/>
        <v>0</v>
      </c>
      <c r="Q22" s="983">
        <f t="shared" si="8"/>
        <v>15176.25</v>
      </c>
      <c r="R22" s="984">
        <f t="shared" si="9"/>
        <v>15176.25</v>
      </c>
    </row>
    <row r="23" spans="1:20" ht="24" x14ac:dyDescent="0.25">
      <c r="A23" s="950" t="s">
        <v>517</v>
      </c>
      <c r="B23" s="950" t="s">
        <v>585</v>
      </c>
      <c r="C23" s="918" t="s">
        <v>762</v>
      </c>
      <c r="D23" s="918" t="s">
        <v>763</v>
      </c>
      <c r="E23" s="987">
        <f>25294*3/16</f>
        <v>4742.625</v>
      </c>
      <c r="F23" s="981"/>
      <c r="G23" s="981">
        <f>(25294*12/16)+(23270*12/16)</f>
        <v>36423</v>
      </c>
      <c r="H23" s="981"/>
      <c r="I23" s="981"/>
      <c r="J23" s="981"/>
      <c r="K23" s="981"/>
      <c r="L23" s="981"/>
      <c r="M23" s="981"/>
      <c r="N23" s="981"/>
      <c r="O23" s="981"/>
      <c r="P23" s="982">
        <f t="shared" si="7"/>
        <v>4742.625</v>
      </c>
      <c r="Q23" s="983">
        <f t="shared" si="8"/>
        <v>36423</v>
      </c>
      <c r="R23" s="984">
        <f t="shared" si="9"/>
        <v>41165.625</v>
      </c>
    </row>
    <row r="24" spans="1:20" ht="24" customHeight="1" x14ac:dyDescent="0.25">
      <c r="A24" s="950" t="s">
        <v>518</v>
      </c>
      <c r="B24" s="950" t="s">
        <v>585</v>
      </c>
      <c r="C24" s="985" t="s">
        <v>523</v>
      </c>
      <c r="D24" s="957" t="s">
        <v>524</v>
      </c>
      <c r="E24" s="987"/>
      <c r="F24" s="981"/>
      <c r="G24" s="981"/>
      <c r="H24" s="981"/>
      <c r="I24" s="981">
        <f t="shared" ref="I24:M24" si="10">30*(23270/16)*12</f>
        <v>523575</v>
      </c>
      <c r="J24" s="981"/>
      <c r="K24" s="981">
        <f t="shared" si="10"/>
        <v>523575</v>
      </c>
      <c r="L24" s="981"/>
      <c r="M24" s="981">
        <f t="shared" si="10"/>
        <v>523575</v>
      </c>
      <c r="N24" s="981"/>
      <c r="O24" s="981"/>
      <c r="P24" s="982">
        <f t="shared" si="7"/>
        <v>0</v>
      </c>
      <c r="Q24" s="983">
        <f t="shared" si="8"/>
        <v>1570725</v>
      </c>
      <c r="R24" s="984">
        <f t="shared" si="9"/>
        <v>1570725</v>
      </c>
    </row>
    <row r="25" spans="1:20" ht="27.75" customHeight="1" x14ac:dyDescent="0.25">
      <c r="A25" s="950" t="s">
        <v>532</v>
      </c>
      <c r="B25" s="950" t="s">
        <v>585</v>
      </c>
      <c r="C25" s="918" t="s">
        <v>764</v>
      </c>
      <c r="D25" s="918" t="s">
        <v>765</v>
      </c>
      <c r="E25" s="987">
        <f>5*25294/16</f>
        <v>7904.375</v>
      </c>
      <c r="F25" s="981"/>
      <c r="G25" s="981"/>
      <c r="H25" s="981"/>
      <c r="I25" s="981"/>
      <c r="J25" s="981"/>
      <c r="K25" s="981"/>
      <c r="L25" s="981"/>
      <c r="M25" s="981"/>
      <c r="N25" s="981"/>
      <c r="O25" s="981"/>
      <c r="P25" s="982">
        <f t="shared" si="7"/>
        <v>7904.375</v>
      </c>
      <c r="Q25" s="983">
        <f t="shared" si="8"/>
        <v>0</v>
      </c>
      <c r="R25" s="984">
        <f t="shared" si="9"/>
        <v>7904.375</v>
      </c>
    </row>
    <row r="26" spans="1:20" ht="27.75" customHeight="1" x14ac:dyDescent="0.25">
      <c r="A26" s="950" t="s">
        <v>533</v>
      </c>
      <c r="B26" s="950" t="s">
        <v>585</v>
      </c>
      <c r="C26" s="918" t="s">
        <v>772</v>
      </c>
      <c r="D26" s="919" t="s">
        <v>773</v>
      </c>
      <c r="E26" s="987">
        <f>(25294*3/16)+(3*23270*3/16)</f>
        <v>17832</v>
      </c>
      <c r="F26" s="981"/>
      <c r="G26" s="981">
        <f t="shared" ref="G26:M26" si="11">(25294*12/16)+(3*23270*12/16)</f>
        <v>71328</v>
      </c>
      <c r="H26" s="981"/>
      <c r="I26" s="981">
        <f t="shared" si="11"/>
        <v>71328</v>
      </c>
      <c r="J26" s="981"/>
      <c r="K26" s="981">
        <f t="shared" si="11"/>
        <v>71328</v>
      </c>
      <c r="L26" s="981"/>
      <c r="M26" s="981">
        <f t="shared" si="11"/>
        <v>71328</v>
      </c>
      <c r="N26" s="981"/>
      <c r="O26" s="981"/>
      <c r="P26" s="982">
        <f t="shared" si="7"/>
        <v>17832</v>
      </c>
      <c r="Q26" s="983">
        <f t="shared" si="8"/>
        <v>285312</v>
      </c>
      <c r="R26" s="984">
        <f t="shared" si="9"/>
        <v>303144</v>
      </c>
    </row>
    <row r="27" spans="1:20" ht="72" x14ac:dyDescent="0.25">
      <c r="A27" s="950" t="s">
        <v>593</v>
      </c>
      <c r="B27" s="950" t="s">
        <v>590</v>
      </c>
      <c r="C27" s="965" t="s">
        <v>665</v>
      </c>
      <c r="D27" s="965" t="s">
        <v>766</v>
      </c>
      <c r="E27" s="987">
        <f>27700*1.15</f>
        <v>31854.999999999996</v>
      </c>
      <c r="F27" s="981"/>
      <c r="G27" s="981">
        <f t="shared" ref="G27:M27" si="12">15000*1.15</f>
        <v>17250</v>
      </c>
      <c r="H27" s="981"/>
      <c r="I27" s="981">
        <f t="shared" si="12"/>
        <v>17250</v>
      </c>
      <c r="J27" s="981"/>
      <c r="K27" s="981">
        <f t="shared" si="12"/>
        <v>17250</v>
      </c>
      <c r="L27" s="981"/>
      <c r="M27" s="981">
        <f t="shared" si="12"/>
        <v>17250</v>
      </c>
      <c r="N27" s="981"/>
      <c r="O27" s="981"/>
      <c r="P27" s="982">
        <f t="shared" si="7"/>
        <v>31854.999999999996</v>
      </c>
      <c r="Q27" s="983">
        <f t="shared" si="8"/>
        <v>69000</v>
      </c>
      <c r="R27" s="984">
        <f t="shared" si="9"/>
        <v>100855</v>
      </c>
    </row>
    <row r="28" spans="1:20" ht="27.75" customHeight="1" x14ac:dyDescent="0.25">
      <c r="A28" s="950" t="s">
        <v>700</v>
      </c>
      <c r="B28" s="950" t="s">
        <v>585</v>
      </c>
      <c r="C28" s="965" t="s">
        <v>767</v>
      </c>
      <c r="D28" s="986" t="s">
        <v>667</v>
      </c>
      <c r="E28" s="987">
        <f>3*30000*8/16</f>
        <v>45000</v>
      </c>
      <c r="F28" s="981"/>
      <c r="G28" s="981">
        <f t="shared" ref="G28:M28" si="13">3*30000*12/16</f>
        <v>67500</v>
      </c>
      <c r="H28" s="981"/>
      <c r="I28" s="981">
        <f t="shared" si="13"/>
        <v>67500</v>
      </c>
      <c r="J28" s="981"/>
      <c r="K28" s="981">
        <f t="shared" si="13"/>
        <v>67500</v>
      </c>
      <c r="L28" s="981"/>
      <c r="M28" s="981">
        <f t="shared" si="13"/>
        <v>67500</v>
      </c>
      <c r="N28" s="981"/>
      <c r="O28" s="981"/>
      <c r="P28" s="982">
        <f t="shared" si="7"/>
        <v>45000</v>
      </c>
      <c r="Q28" s="983">
        <f t="shared" si="8"/>
        <v>270000</v>
      </c>
      <c r="R28" s="984">
        <f t="shared" si="9"/>
        <v>315000</v>
      </c>
    </row>
    <row r="29" spans="1:20" ht="27.75" customHeight="1" x14ac:dyDescent="0.25">
      <c r="A29" s="950" t="s">
        <v>759</v>
      </c>
      <c r="B29" s="950" t="s">
        <v>585</v>
      </c>
      <c r="C29" s="965" t="s">
        <v>768</v>
      </c>
      <c r="D29" s="986" t="s">
        <v>669</v>
      </c>
      <c r="E29" s="987"/>
      <c r="F29" s="981"/>
      <c r="G29" s="981">
        <f t="shared" ref="G29:M29" si="14">6*23270*12/16</f>
        <v>104715</v>
      </c>
      <c r="H29" s="981"/>
      <c r="I29" s="981">
        <f t="shared" si="14"/>
        <v>104715</v>
      </c>
      <c r="J29" s="981"/>
      <c r="K29" s="981">
        <f t="shared" si="14"/>
        <v>104715</v>
      </c>
      <c r="L29" s="981"/>
      <c r="M29" s="981">
        <f t="shared" si="14"/>
        <v>104715</v>
      </c>
      <c r="N29" s="981"/>
      <c r="O29" s="981"/>
      <c r="P29" s="982">
        <f t="shared" si="7"/>
        <v>0</v>
      </c>
      <c r="Q29" s="983">
        <f t="shared" si="8"/>
        <v>418860</v>
      </c>
      <c r="R29" s="984">
        <f t="shared" si="9"/>
        <v>418860</v>
      </c>
    </row>
    <row r="30" spans="1:20" ht="27.75" customHeight="1" x14ac:dyDescent="0.25">
      <c r="A30" s="950" t="s">
        <v>760</v>
      </c>
      <c r="B30" s="950" t="s">
        <v>585</v>
      </c>
      <c r="C30" s="965" t="s">
        <v>769</v>
      </c>
      <c r="D30" s="986" t="s">
        <v>671</v>
      </c>
      <c r="E30" s="987"/>
      <c r="F30" s="981">
        <v>18750</v>
      </c>
      <c r="G30" s="981"/>
      <c r="H30" s="981"/>
      <c r="I30" s="981"/>
      <c r="J30" s="981"/>
      <c r="K30" s="981"/>
      <c r="L30" s="981"/>
      <c r="M30" s="981"/>
      <c r="N30" s="981"/>
      <c r="O30" s="981"/>
      <c r="P30" s="982">
        <f t="shared" si="7"/>
        <v>18750</v>
      </c>
      <c r="Q30" s="983">
        <f t="shared" si="8"/>
        <v>0</v>
      </c>
      <c r="R30" s="984">
        <f t="shared" si="9"/>
        <v>18750</v>
      </c>
      <c r="T30" s="930">
        <v>18750</v>
      </c>
    </row>
    <row r="31" spans="1:20" ht="27.75" customHeight="1" x14ac:dyDescent="0.25">
      <c r="A31" s="950" t="s">
        <v>827</v>
      </c>
      <c r="B31" s="950" t="s">
        <v>585</v>
      </c>
      <c r="C31" s="965" t="s">
        <v>770</v>
      </c>
      <c r="D31" s="986" t="s">
        <v>673</v>
      </c>
      <c r="E31" s="987"/>
      <c r="F31" s="981"/>
      <c r="G31" s="981">
        <f t="shared" ref="G31:M31" si="15">4*23270*12/16</f>
        <v>69810</v>
      </c>
      <c r="H31" s="981"/>
      <c r="I31" s="981">
        <f t="shared" si="15"/>
        <v>69810</v>
      </c>
      <c r="J31" s="981"/>
      <c r="K31" s="981">
        <f t="shared" si="15"/>
        <v>69810</v>
      </c>
      <c r="L31" s="981"/>
      <c r="M31" s="981">
        <f t="shared" si="15"/>
        <v>69810</v>
      </c>
      <c r="N31" s="981"/>
      <c r="O31" s="981"/>
      <c r="P31" s="982">
        <f t="shared" si="7"/>
        <v>0</v>
      </c>
      <c r="Q31" s="983">
        <f t="shared" si="8"/>
        <v>279240</v>
      </c>
      <c r="R31" s="984">
        <f t="shared" si="9"/>
        <v>279240</v>
      </c>
      <c r="S31" s="1015">
        <f>SUM(R20:R31)-R27</f>
        <v>2985141.5</v>
      </c>
    </row>
    <row r="32" spans="1:20" ht="27.75" customHeight="1" x14ac:dyDescent="0.25">
      <c r="A32" s="950" t="s">
        <v>837</v>
      </c>
      <c r="B32" s="950" t="s">
        <v>591</v>
      </c>
      <c r="C32" s="1169" t="s">
        <v>838</v>
      </c>
      <c r="D32" s="1170" t="s">
        <v>839</v>
      </c>
      <c r="E32" s="1177">
        <f>1405804.63*0.06</f>
        <v>84348.277799999996</v>
      </c>
      <c r="F32" s="981">
        <f>4735060*0.06</f>
        <v>284103.59999999998</v>
      </c>
      <c r="G32" s="981"/>
      <c r="H32" s="981">
        <f>5551530*0.06</f>
        <v>333091.8</v>
      </c>
      <c r="I32" s="981"/>
      <c r="J32" s="981">
        <f>5796303.75*0.06</f>
        <v>347778.22499999998</v>
      </c>
      <c r="K32" s="981"/>
      <c r="L32" s="981">
        <f>(3288336.75*0.06)-8047-360</f>
        <v>188893.20499999999</v>
      </c>
      <c r="M32" s="981"/>
      <c r="N32" s="1162">
        <v>10925</v>
      </c>
      <c r="O32" s="981"/>
      <c r="P32" s="982">
        <f t="shared" ref="P32" si="16">+N32+L32+J32+H32+F32+E32</f>
        <v>1249140.1078000001</v>
      </c>
      <c r="Q32" s="983">
        <f t="shared" ref="Q32" si="17">+G32+I32+K32+M32+O32</f>
        <v>0</v>
      </c>
      <c r="R32" s="984">
        <f t="shared" ref="R32" si="18">+Q32+P32</f>
        <v>1249140.1078000001</v>
      </c>
      <c r="S32" s="1015"/>
    </row>
    <row r="33" spans="1:20" ht="17.25" customHeight="1" thickBot="1" x14ac:dyDescent="0.3">
      <c r="A33" s="988">
        <v>1.3</v>
      </c>
      <c r="B33" s="988"/>
      <c r="C33" s="1357" t="s">
        <v>774</v>
      </c>
      <c r="D33" s="1358"/>
      <c r="E33" s="945"/>
      <c r="F33" s="945"/>
      <c r="G33" s="945"/>
      <c r="H33" s="945"/>
      <c r="I33" s="945"/>
      <c r="J33" s="945"/>
      <c r="K33" s="945"/>
      <c r="L33" s="945"/>
      <c r="M33" s="945"/>
      <c r="N33" s="945"/>
      <c r="O33" s="945"/>
      <c r="P33" s="974"/>
      <c r="Q33" s="975"/>
      <c r="R33" s="975"/>
    </row>
    <row r="34" spans="1:20" ht="22.5" customHeight="1" thickBot="1" x14ac:dyDescent="0.3">
      <c r="A34" s="989"/>
      <c r="B34" s="989"/>
      <c r="C34" s="1360" t="s">
        <v>852</v>
      </c>
      <c r="D34" s="1361"/>
      <c r="E34" s="990">
        <f t="shared" ref="E34:F34" si="19">SUM(E35:E45)</f>
        <v>182115</v>
      </c>
      <c r="F34" s="990">
        <f t="shared" si="19"/>
        <v>99000</v>
      </c>
      <c r="G34" s="990">
        <f>SUM(G35:G45)</f>
        <v>288348.75</v>
      </c>
      <c r="H34" s="990">
        <f t="shared" ref="H34:O34" si="20">SUM(H35:H45)</f>
        <v>74000</v>
      </c>
      <c r="I34" s="990">
        <f t="shared" si="20"/>
        <v>348348.75</v>
      </c>
      <c r="J34" s="990">
        <f t="shared" si="20"/>
        <v>74000</v>
      </c>
      <c r="K34" s="990">
        <f t="shared" si="20"/>
        <v>348348.75</v>
      </c>
      <c r="L34" s="990">
        <f t="shared" si="20"/>
        <v>74000</v>
      </c>
      <c r="M34" s="990">
        <f t="shared" si="20"/>
        <v>288348.75</v>
      </c>
      <c r="N34" s="990">
        <f t="shared" si="20"/>
        <v>0</v>
      </c>
      <c r="O34" s="990">
        <f t="shared" si="20"/>
        <v>0</v>
      </c>
      <c r="P34" s="978">
        <f>+N34+L34+J34+H34+F34+E34</f>
        <v>503115</v>
      </c>
      <c r="Q34" s="991">
        <f>+G34+I34+K34+M34+O34</f>
        <v>1273395</v>
      </c>
      <c r="R34" s="980">
        <f>+Q34+P34</f>
        <v>1776510</v>
      </c>
    </row>
    <row r="35" spans="1:20" ht="24.6" customHeight="1" x14ac:dyDescent="0.25">
      <c r="A35" s="950" t="s">
        <v>483</v>
      </c>
      <c r="B35" s="950" t="s">
        <v>585</v>
      </c>
      <c r="C35" s="985" t="s">
        <v>525</v>
      </c>
      <c r="D35" s="957" t="s">
        <v>589</v>
      </c>
      <c r="E35" s="955">
        <f t="shared" ref="E35:E36" si="21">3*(20235/16)*9</f>
        <v>34146.5625</v>
      </c>
      <c r="F35" s="989"/>
      <c r="G35" s="992">
        <f t="shared" ref="G35:M37" si="22">3*(20235/16)*12</f>
        <v>45528.75</v>
      </c>
      <c r="H35" s="992"/>
      <c r="I35" s="992">
        <f t="shared" si="22"/>
        <v>45528.75</v>
      </c>
      <c r="J35" s="992"/>
      <c r="K35" s="992">
        <f t="shared" si="22"/>
        <v>45528.75</v>
      </c>
      <c r="L35" s="989"/>
      <c r="M35" s="989">
        <f t="shared" si="22"/>
        <v>45528.75</v>
      </c>
      <c r="N35" s="989"/>
      <c r="O35" s="989"/>
      <c r="P35" s="982">
        <f>+N35+L35+J35+H35+F35+E35</f>
        <v>34146.5625</v>
      </c>
      <c r="Q35" s="983">
        <f>+G35+I35+K35+M35+O35</f>
        <v>182115</v>
      </c>
      <c r="R35" s="984">
        <f>+Q35+P35</f>
        <v>216261.5625</v>
      </c>
      <c r="S35" s="1015"/>
    </row>
    <row r="36" spans="1:20" ht="24" x14ac:dyDescent="0.25">
      <c r="A36" s="950" t="s">
        <v>484</v>
      </c>
      <c r="B36" s="950" t="s">
        <v>585</v>
      </c>
      <c r="C36" s="985" t="s">
        <v>526</v>
      </c>
      <c r="D36" s="993" t="s">
        <v>511</v>
      </c>
      <c r="E36" s="955">
        <f t="shared" si="21"/>
        <v>34146.5625</v>
      </c>
      <c r="F36" s="989"/>
      <c r="G36" s="992">
        <f t="shared" si="22"/>
        <v>45528.75</v>
      </c>
      <c r="H36" s="992"/>
      <c r="I36" s="992">
        <f t="shared" si="22"/>
        <v>45528.75</v>
      </c>
      <c r="J36" s="992"/>
      <c r="K36" s="992">
        <f t="shared" si="22"/>
        <v>45528.75</v>
      </c>
      <c r="L36" s="989"/>
      <c r="M36" s="989">
        <f t="shared" si="22"/>
        <v>45528.75</v>
      </c>
      <c r="N36" s="989"/>
      <c r="O36" s="989"/>
      <c r="P36" s="982">
        <f t="shared" ref="P36:P45" si="23">+N36+L36+J36+H36+F36+E36</f>
        <v>34146.5625</v>
      </c>
      <c r="Q36" s="983">
        <f t="shared" ref="Q36:Q45" si="24">+G36+I36+K36+M36+O36</f>
        <v>182115</v>
      </c>
      <c r="R36" s="984">
        <f t="shared" ref="R36:R45" si="25">+Q36+P36</f>
        <v>216261.5625</v>
      </c>
    </row>
    <row r="37" spans="1:20" ht="24" x14ac:dyDescent="0.25">
      <c r="A37" s="950" t="s">
        <v>474</v>
      </c>
      <c r="B37" s="950" t="s">
        <v>585</v>
      </c>
      <c r="C37" s="985" t="s">
        <v>527</v>
      </c>
      <c r="D37" s="993" t="s">
        <v>511</v>
      </c>
      <c r="E37" s="955"/>
      <c r="F37" s="989"/>
      <c r="G37" s="992">
        <f t="shared" si="22"/>
        <v>45528.75</v>
      </c>
      <c r="H37" s="992"/>
      <c r="I37" s="992">
        <f t="shared" si="22"/>
        <v>45528.75</v>
      </c>
      <c r="J37" s="992"/>
      <c r="K37" s="992">
        <f t="shared" si="22"/>
        <v>45528.75</v>
      </c>
      <c r="L37" s="989"/>
      <c r="M37" s="989">
        <f t="shared" si="22"/>
        <v>45528.75</v>
      </c>
      <c r="N37" s="989"/>
      <c r="O37" s="989"/>
      <c r="P37" s="982">
        <f t="shared" si="23"/>
        <v>0</v>
      </c>
      <c r="Q37" s="983">
        <f t="shared" si="24"/>
        <v>182115</v>
      </c>
      <c r="R37" s="984">
        <f t="shared" si="25"/>
        <v>182115</v>
      </c>
    </row>
    <row r="38" spans="1:20" ht="24" x14ac:dyDescent="0.25">
      <c r="A38" s="950" t="s">
        <v>486</v>
      </c>
      <c r="B38" s="950" t="s">
        <v>585</v>
      </c>
      <c r="C38" s="985" t="s">
        <v>806</v>
      </c>
      <c r="D38" s="993" t="s">
        <v>528</v>
      </c>
      <c r="E38" s="955"/>
      <c r="F38" s="989">
        <v>25000</v>
      </c>
      <c r="G38" s="992"/>
      <c r="H38" s="992"/>
      <c r="I38" s="992"/>
      <c r="J38" s="992"/>
      <c r="K38" s="992"/>
      <c r="L38" s="989"/>
      <c r="M38" s="989"/>
      <c r="N38" s="994"/>
      <c r="O38" s="994"/>
      <c r="P38" s="982">
        <f t="shared" si="23"/>
        <v>25000</v>
      </c>
      <c r="Q38" s="983">
        <f t="shared" si="24"/>
        <v>0</v>
      </c>
      <c r="R38" s="984">
        <f t="shared" si="25"/>
        <v>25000</v>
      </c>
      <c r="T38" s="930">
        <v>25000</v>
      </c>
    </row>
    <row r="39" spans="1:20" x14ac:dyDescent="0.25">
      <c r="A39" s="950" t="s">
        <v>487</v>
      </c>
      <c r="B39" s="950" t="s">
        <v>591</v>
      </c>
      <c r="C39" s="995" t="s">
        <v>529</v>
      </c>
      <c r="D39" s="986" t="s">
        <v>530</v>
      </c>
      <c r="E39" s="955"/>
      <c r="F39" s="989"/>
      <c r="G39" s="992"/>
      <c r="H39" s="992"/>
      <c r="I39" s="992">
        <f>60000</f>
        <v>60000</v>
      </c>
      <c r="J39" s="992"/>
      <c r="K39" s="992">
        <f>+I39</f>
        <v>60000</v>
      </c>
      <c r="L39" s="989"/>
      <c r="M39" s="989"/>
      <c r="N39" s="994"/>
      <c r="O39" s="994"/>
      <c r="P39" s="982">
        <f t="shared" si="23"/>
        <v>0</v>
      </c>
      <c r="Q39" s="983">
        <f t="shared" si="24"/>
        <v>120000</v>
      </c>
      <c r="R39" s="984">
        <f t="shared" si="25"/>
        <v>120000</v>
      </c>
    </row>
    <row r="40" spans="1:20" ht="36" x14ac:dyDescent="0.25">
      <c r="A40" s="950" t="s">
        <v>584</v>
      </c>
      <c r="B40" s="950" t="s">
        <v>588</v>
      </c>
      <c r="C40" s="1166" t="s">
        <v>531</v>
      </c>
      <c r="D40" s="1167" t="s">
        <v>698</v>
      </c>
      <c r="E40" s="1172"/>
      <c r="F40" s="1171">
        <v>74000</v>
      </c>
      <c r="G40" s="1171"/>
      <c r="H40" s="1171">
        <v>74000</v>
      </c>
      <c r="I40" s="1171"/>
      <c r="J40" s="1171">
        <v>74000</v>
      </c>
      <c r="K40" s="1171"/>
      <c r="L40" s="1171">
        <v>74000</v>
      </c>
      <c r="M40" s="1171"/>
      <c r="N40" s="1171"/>
      <c r="O40" s="1171"/>
      <c r="P40" s="982">
        <f t="shared" si="23"/>
        <v>296000</v>
      </c>
      <c r="Q40" s="983">
        <f t="shared" si="24"/>
        <v>0</v>
      </c>
      <c r="R40" s="984">
        <f t="shared" si="25"/>
        <v>296000</v>
      </c>
    </row>
    <row r="41" spans="1:20" ht="24" x14ac:dyDescent="0.25">
      <c r="A41" s="950" t="s">
        <v>598</v>
      </c>
      <c r="B41" s="950" t="s">
        <v>585</v>
      </c>
      <c r="C41" s="993" t="s">
        <v>543</v>
      </c>
      <c r="D41" s="957" t="s">
        <v>599</v>
      </c>
      <c r="E41" s="1172">
        <f t="shared" ref="E41:E45" si="26">2*(20235/16)*9</f>
        <v>22764.375</v>
      </c>
      <c r="F41" s="1171"/>
      <c r="G41" s="1171">
        <f t="shared" ref="G41:M45" si="27">2*(20235/16)*12</f>
        <v>30352.5</v>
      </c>
      <c r="H41" s="1171"/>
      <c r="I41" s="1171">
        <f t="shared" si="27"/>
        <v>30352.5</v>
      </c>
      <c r="J41" s="1171"/>
      <c r="K41" s="1171">
        <f t="shared" si="27"/>
        <v>30352.5</v>
      </c>
      <c r="L41" s="1171"/>
      <c r="M41" s="1171">
        <f t="shared" si="27"/>
        <v>30352.5</v>
      </c>
      <c r="N41" s="989"/>
      <c r="O41" s="989"/>
      <c r="P41" s="982">
        <f t="shared" si="23"/>
        <v>22764.375</v>
      </c>
      <c r="Q41" s="983">
        <f t="shared" si="24"/>
        <v>121410</v>
      </c>
      <c r="R41" s="984">
        <f t="shared" si="25"/>
        <v>144174.375</v>
      </c>
    </row>
    <row r="42" spans="1:20" ht="24" x14ac:dyDescent="0.25">
      <c r="A42" s="950" t="s">
        <v>661</v>
      </c>
      <c r="B42" s="950" t="s">
        <v>585</v>
      </c>
      <c r="C42" s="993" t="s">
        <v>544</v>
      </c>
      <c r="D42" s="957" t="s">
        <v>589</v>
      </c>
      <c r="E42" s="1172">
        <f t="shared" si="26"/>
        <v>22764.375</v>
      </c>
      <c r="F42" s="1171"/>
      <c r="G42" s="1171">
        <f t="shared" si="27"/>
        <v>30352.5</v>
      </c>
      <c r="H42" s="1171"/>
      <c r="I42" s="1171">
        <f t="shared" si="27"/>
        <v>30352.5</v>
      </c>
      <c r="J42" s="1171"/>
      <c r="K42" s="1171">
        <f t="shared" si="27"/>
        <v>30352.5</v>
      </c>
      <c r="L42" s="1171"/>
      <c r="M42" s="1171">
        <f t="shared" si="27"/>
        <v>30352.5</v>
      </c>
      <c r="N42" s="989"/>
      <c r="O42" s="989"/>
      <c r="P42" s="982">
        <f t="shared" si="23"/>
        <v>22764.375</v>
      </c>
      <c r="Q42" s="983">
        <f t="shared" si="24"/>
        <v>121410</v>
      </c>
      <c r="R42" s="984">
        <f t="shared" si="25"/>
        <v>144174.375</v>
      </c>
    </row>
    <row r="43" spans="1:20" ht="24" x14ac:dyDescent="0.25">
      <c r="A43" s="950" t="s">
        <v>662</v>
      </c>
      <c r="B43" s="950" t="s">
        <v>585</v>
      </c>
      <c r="C43" s="993" t="s">
        <v>546</v>
      </c>
      <c r="D43" s="957" t="s">
        <v>589</v>
      </c>
      <c r="E43" s="1172">
        <f t="shared" si="26"/>
        <v>22764.375</v>
      </c>
      <c r="F43" s="1171"/>
      <c r="G43" s="1171">
        <f t="shared" si="27"/>
        <v>30352.5</v>
      </c>
      <c r="H43" s="1171"/>
      <c r="I43" s="1171">
        <f t="shared" si="27"/>
        <v>30352.5</v>
      </c>
      <c r="J43" s="1171"/>
      <c r="K43" s="1171">
        <f t="shared" si="27"/>
        <v>30352.5</v>
      </c>
      <c r="L43" s="1171"/>
      <c r="M43" s="1171">
        <f t="shared" si="27"/>
        <v>30352.5</v>
      </c>
      <c r="N43" s="989"/>
      <c r="O43" s="989"/>
      <c r="P43" s="982">
        <f t="shared" si="23"/>
        <v>22764.375</v>
      </c>
      <c r="Q43" s="983">
        <f t="shared" si="24"/>
        <v>121410</v>
      </c>
      <c r="R43" s="984">
        <f t="shared" si="25"/>
        <v>144174.375</v>
      </c>
    </row>
    <row r="44" spans="1:20" ht="24" x14ac:dyDescent="0.25">
      <c r="A44" s="950" t="s">
        <v>663</v>
      </c>
      <c r="B44" s="950" t="s">
        <v>585</v>
      </c>
      <c r="C44" s="993" t="s">
        <v>548</v>
      </c>
      <c r="D44" s="957" t="s">
        <v>589</v>
      </c>
      <c r="E44" s="1172">
        <f t="shared" si="26"/>
        <v>22764.375</v>
      </c>
      <c r="F44" s="1171"/>
      <c r="G44" s="1171">
        <f t="shared" si="27"/>
        <v>30352.5</v>
      </c>
      <c r="H44" s="1171"/>
      <c r="I44" s="1171">
        <f t="shared" si="27"/>
        <v>30352.5</v>
      </c>
      <c r="J44" s="1171"/>
      <c r="K44" s="1171">
        <f t="shared" si="27"/>
        <v>30352.5</v>
      </c>
      <c r="L44" s="1171"/>
      <c r="M44" s="1171">
        <f t="shared" si="27"/>
        <v>30352.5</v>
      </c>
      <c r="N44" s="989"/>
      <c r="O44" s="989"/>
      <c r="P44" s="982">
        <f t="shared" si="23"/>
        <v>22764.375</v>
      </c>
      <c r="Q44" s="983">
        <f t="shared" si="24"/>
        <v>121410</v>
      </c>
      <c r="R44" s="984">
        <f t="shared" si="25"/>
        <v>144174.375</v>
      </c>
    </row>
    <row r="45" spans="1:20" ht="24.6" thickBot="1" x14ac:dyDescent="0.3">
      <c r="A45" s="950" t="s">
        <v>664</v>
      </c>
      <c r="B45" s="950" t="s">
        <v>585</v>
      </c>
      <c r="C45" s="993" t="s">
        <v>549</v>
      </c>
      <c r="D45" s="957" t="s">
        <v>589</v>
      </c>
      <c r="E45" s="1172">
        <f t="shared" si="26"/>
        <v>22764.375</v>
      </c>
      <c r="F45" s="1171"/>
      <c r="G45" s="1171">
        <f t="shared" si="27"/>
        <v>30352.5</v>
      </c>
      <c r="H45" s="1171"/>
      <c r="I45" s="1171">
        <f t="shared" si="27"/>
        <v>30352.5</v>
      </c>
      <c r="J45" s="1171"/>
      <c r="K45" s="1171">
        <f t="shared" si="27"/>
        <v>30352.5</v>
      </c>
      <c r="L45" s="1171"/>
      <c r="M45" s="1171">
        <f t="shared" si="27"/>
        <v>30352.5</v>
      </c>
      <c r="N45" s="989"/>
      <c r="O45" s="989"/>
      <c r="P45" s="982">
        <f t="shared" si="23"/>
        <v>22764.375</v>
      </c>
      <c r="Q45" s="983">
        <f t="shared" si="24"/>
        <v>121410</v>
      </c>
      <c r="R45" s="984">
        <f t="shared" si="25"/>
        <v>144174.375</v>
      </c>
    </row>
    <row r="46" spans="1:20" ht="21" customHeight="1" thickBot="1" x14ac:dyDescent="0.3">
      <c r="A46" s="1351">
        <v>1.4</v>
      </c>
      <c r="B46" s="1352"/>
      <c r="C46" s="1357" t="s">
        <v>732</v>
      </c>
      <c r="D46" s="1358"/>
      <c r="E46" s="998"/>
      <c r="F46" s="998"/>
      <c r="G46" s="999">
        <f>+G47+G55</f>
        <v>1148297.5</v>
      </c>
      <c r="H46" s="999"/>
      <c r="I46" s="998"/>
      <c r="J46" s="998"/>
      <c r="K46" s="998"/>
      <c r="L46" s="998"/>
      <c r="M46" s="998"/>
      <c r="N46" s="998"/>
      <c r="O46" s="1000"/>
      <c r="P46" s="1001">
        <f>+P47+P55</f>
        <v>236852.5</v>
      </c>
      <c r="Q46" s="1002">
        <f>+Q47+Q55</f>
        <v>2810281.25</v>
      </c>
      <c r="R46" s="1003">
        <f>+R47+R55</f>
        <v>3047133.75</v>
      </c>
    </row>
    <row r="47" spans="1:20" ht="14.4" thickBot="1" x14ac:dyDescent="0.3">
      <c r="A47" s="1004"/>
      <c r="B47" s="1004"/>
      <c r="C47" s="1362" t="s">
        <v>745</v>
      </c>
      <c r="D47" s="1363"/>
      <c r="E47" s="1005">
        <f t="shared" ref="E47:F47" si="28">SUM(E48:E54)</f>
        <v>182676.25</v>
      </c>
      <c r="F47" s="1005">
        <f t="shared" si="28"/>
        <v>39000</v>
      </c>
      <c r="G47" s="1005">
        <f>SUM(G48:G54)</f>
        <v>1052127.5</v>
      </c>
      <c r="H47" s="1005">
        <f t="shared" ref="H47:O47" si="29">SUM(H48:H54)</f>
        <v>0</v>
      </c>
      <c r="I47" s="1005">
        <f t="shared" si="29"/>
        <v>1073127.5</v>
      </c>
      <c r="J47" s="1005">
        <f t="shared" si="29"/>
        <v>0</v>
      </c>
      <c r="K47" s="1005">
        <f t="shared" si="29"/>
        <v>273127.5</v>
      </c>
      <c r="L47" s="1005">
        <f t="shared" si="29"/>
        <v>0</v>
      </c>
      <c r="M47" s="1005">
        <f t="shared" si="29"/>
        <v>210127.5</v>
      </c>
      <c r="N47" s="1005">
        <f t="shared" si="29"/>
        <v>0</v>
      </c>
      <c r="O47" s="1006">
        <f t="shared" si="29"/>
        <v>0</v>
      </c>
      <c r="P47" s="978">
        <f>+N47+L47+J47+H47+F47+E47</f>
        <v>221676.25</v>
      </c>
      <c r="Q47" s="991">
        <f>+G47+I47+K47+M47+O47</f>
        <v>2608510</v>
      </c>
      <c r="R47" s="980">
        <f>+Q47+P47</f>
        <v>2830186.25</v>
      </c>
    </row>
    <row r="48" spans="1:20" x14ac:dyDescent="0.25">
      <c r="A48" s="1004" t="s">
        <v>733</v>
      </c>
      <c r="B48" s="1004" t="s">
        <v>585</v>
      </c>
      <c r="C48" s="993" t="s">
        <v>505</v>
      </c>
      <c r="D48" s="993" t="s">
        <v>659</v>
      </c>
      <c r="E48" s="955">
        <v>167500</v>
      </c>
      <c r="F48" s="1007"/>
      <c r="G48" s="1007">
        <v>117000</v>
      </c>
      <c r="H48" s="1007"/>
      <c r="I48" s="1007">
        <v>63000</v>
      </c>
      <c r="J48" s="1007"/>
      <c r="K48" s="1007">
        <v>63000</v>
      </c>
      <c r="L48" s="1007"/>
      <c r="M48" s="1007"/>
      <c r="N48" s="1007"/>
      <c r="O48" s="1007"/>
      <c r="P48" s="982">
        <f>+N48+L48+J48+H48+F48+E48</f>
        <v>167500</v>
      </c>
      <c r="Q48" s="983">
        <f>+G48+I48+K48+M48+O48</f>
        <v>243000</v>
      </c>
      <c r="R48" s="984">
        <f>+Q48+P48</f>
        <v>410500</v>
      </c>
    </row>
    <row r="49" spans="1:21" ht="24" x14ac:dyDescent="0.25">
      <c r="A49" s="1004" t="s">
        <v>734</v>
      </c>
      <c r="B49" s="1008" t="s">
        <v>585</v>
      </c>
      <c r="C49" s="993" t="s">
        <v>506</v>
      </c>
      <c r="D49" s="993" t="s">
        <v>511</v>
      </c>
      <c r="E49" s="955">
        <f>2*(20235/16)*6</f>
        <v>15176.25</v>
      </c>
      <c r="F49" s="1007"/>
      <c r="G49" s="1007">
        <f t="shared" ref="G49:M49" si="30">2*(20235/16)*12</f>
        <v>30352.5</v>
      </c>
      <c r="H49" s="1007"/>
      <c r="I49" s="1007">
        <f t="shared" si="30"/>
        <v>30352.5</v>
      </c>
      <c r="J49" s="1007"/>
      <c r="K49" s="1007">
        <f t="shared" si="30"/>
        <v>30352.5</v>
      </c>
      <c r="L49" s="1007"/>
      <c r="M49" s="1007">
        <f t="shared" si="30"/>
        <v>30352.5</v>
      </c>
      <c r="N49" s="1007"/>
      <c r="O49" s="1007"/>
      <c r="P49" s="982">
        <f t="shared" ref="P49:P54" si="31">+N49+L49+J49+H49+F49+E49</f>
        <v>15176.25</v>
      </c>
      <c r="Q49" s="983">
        <f t="shared" ref="Q49:Q54" si="32">+G49+I49+K49+M49+O49</f>
        <v>121410</v>
      </c>
      <c r="R49" s="984">
        <f t="shared" ref="R49:R54" si="33">+Q49+P49</f>
        <v>136586.25</v>
      </c>
    </row>
    <row r="50" spans="1:21" ht="24" x14ac:dyDescent="0.25">
      <c r="A50" s="1004" t="s">
        <v>735</v>
      </c>
      <c r="B50" s="950" t="s">
        <v>585</v>
      </c>
      <c r="C50" s="933" t="s">
        <v>641</v>
      </c>
      <c r="D50" s="957" t="s">
        <v>639</v>
      </c>
      <c r="E50" s="955"/>
      <c r="F50" s="1007"/>
      <c r="G50" s="1007">
        <f t="shared" ref="G50:M50" si="34">4*(20235/16)*12</f>
        <v>60705</v>
      </c>
      <c r="H50" s="1007"/>
      <c r="I50" s="1007">
        <f t="shared" si="34"/>
        <v>60705</v>
      </c>
      <c r="J50" s="1007"/>
      <c r="K50" s="1007">
        <f t="shared" si="34"/>
        <v>60705</v>
      </c>
      <c r="L50" s="1007"/>
      <c r="M50" s="1007">
        <f t="shared" si="34"/>
        <v>60705</v>
      </c>
      <c r="N50" s="1007"/>
      <c r="O50" s="1007"/>
      <c r="P50" s="982">
        <f t="shared" si="31"/>
        <v>0</v>
      </c>
      <c r="Q50" s="983">
        <f t="shared" si="32"/>
        <v>242820</v>
      </c>
      <c r="R50" s="984">
        <f t="shared" si="33"/>
        <v>242820</v>
      </c>
    </row>
    <row r="51" spans="1:21" ht="36" x14ac:dyDescent="0.25">
      <c r="A51" s="1004" t="s">
        <v>736</v>
      </c>
      <c r="B51" s="950" t="s">
        <v>591</v>
      </c>
      <c r="C51" s="933" t="s">
        <v>638</v>
      </c>
      <c r="D51" s="957" t="s">
        <v>642</v>
      </c>
      <c r="E51" s="955"/>
      <c r="F51" s="1007"/>
      <c r="G51" s="1007">
        <f>+(1469*30)</f>
        <v>44070</v>
      </c>
      <c r="H51" s="1007"/>
      <c r="I51" s="1007">
        <f t="shared" ref="I51:M51" si="35">+(1469+2500)*30</f>
        <v>119070</v>
      </c>
      <c r="J51" s="1007"/>
      <c r="K51" s="1007">
        <f t="shared" si="35"/>
        <v>119070</v>
      </c>
      <c r="L51" s="1007"/>
      <c r="M51" s="1007">
        <f t="shared" si="35"/>
        <v>119070</v>
      </c>
      <c r="N51" s="1007"/>
      <c r="O51" s="1183"/>
      <c r="P51" s="982">
        <f t="shared" si="31"/>
        <v>0</v>
      </c>
      <c r="Q51" s="983">
        <f t="shared" si="32"/>
        <v>401280</v>
      </c>
      <c r="R51" s="984">
        <f t="shared" si="33"/>
        <v>401280</v>
      </c>
    </row>
    <row r="52" spans="1:21" ht="30.6" x14ac:dyDescent="0.25">
      <c r="A52" s="1004" t="s">
        <v>737</v>
      </c>
      <c r="B52" s="950" t="s">
        <v>586</v>
      </c>
      <c r="C52" s="1009" t="s">
        <v>728</v>
      </c>
      <c r="D52" s="812" t="s">
        <v>587</v>
      </c>
      <c r="E52" s="955"/>
      <c r="F52" s="1007"/>
      <c r="G52" s="1007">
        <v>800000</v>
      </c>
      <c r="H52" s="1007"/>
      <c r="I52" s="1007">
        <v>800000</v>
      </c>
      <c r="J52" s="1007"/>
      <c r="K52" s="1007"/>
      <c r="L52" s="1007"/>
      <c r="M52" s="1007"/>
      <c r="N52" s="829"/>
      <c r="O52" s="829"/>
      <c r="P52" s="982">
        <f t="shared" si="31"/>
        <v>0</v>
      </c>
      <c r="Q52" s="983">
        <f t="shared" si="32"/>
        <v>1600000</v>
      </c>
      <c r="R52" s="984">
        <f t="shared" si="33"/>
        <v>1600000</v>
      </c>
    </row>
    <row r="53" spans="1:21" ht="36" x14ac:dyDescent="0.25">
      <c r="A53" s="1004" t="s">
        <v>738</v>
      </c>
      <c r="B53" s="950" t="s">
        <v>588</v>
      </c>
      <c r="C53" s="1163" t="s">
        <v>508</v>
      </c>
      <c r="D53" s="1163" t="s">
        <v>643</v>
      </c>
      <c r="E53" s="955"/>
      <c r="F53" s="1007">
        <v>18000</v>
      </c>
      <c r="G53" s="1007"/>
      <c r="H53" s="1007"/>
      <c r="I53" s="1007"/>
      <c r="J53" s="1007"/>
      <c r="K53" s="1007"/>
      <c r="L53" s="1007"/>
      <c r="M53" s="1007"/>
      <c r="N53" s="1007"/>
      <c r="O53" s="1007"/>
      <c r="P53" s="982">
        <f t="shared" si="31"/>
        <v>18000</v>
      </c>
      <c r="Q53" s="983">
        <f t="shared" si="32"/>
        <v>0</v>
      </c>
      <c r="R53" s="984">
        <f t="shared" si="33"/>
        <v>18000</v>
      </c>
    </row>
    <row r="54" spans="1:21" ht="24.6" thickBot="1" x14ac:dyDescent="0.3">
      <c r="A54" s="1004" t="s">
        <v>739</v>
      </c>
      <c r="B54" s="950" t="s">
        <v>588</v>
      </c>
      <c r="C54" s="1164" t="s">
        <v>509</v>
      </c>
      <c r="D54" s="1164" t="s">
        <v>644</v>
      </c>
      <c r="E54" s="1013"/>
      <c r="F54" s="1014">
        <v>21000</v>
      </c>
      <c r="G54" s="1014"/>
      <c r="H54" s="1014"/>
      <c r="I54" s="1014"/>
      <c r="J54" s="1014"/>
      <c r="K54" s="1014"/>
      <c r="L54" s="1014"/>
      <c r="M54" s="1014"/>
      <c r="N54" s="1014"/>
      <c r="O54" s="1014"/>
      <c r="P54" s="982">
        <f t="shared" si="31"/>
        <v>21000</v>
      </c>
      <c r="Q54" s="983">
        <f t="shared" si="32"/>
        <v>0</v>
      </c>
      <c r="R54" s="984">
        <f t="shared" si="33"/>
        <v>21000</v>
      </c>
      <c r="U54" s="1015"/>
    </row>
    <row r="55" spans="1:21" ht="14.4" thickBot="1" x14ac:dyDescent="0.3">
      <c r="A55" s="1004"/>
      <c r="B55" s="1008"/>
      <c r="C55" s="1364" t="s">
        <v>846</v>
      </c>
      <c r="D55" s="1364"/>
      <c r="E55" s="1016">
        <f t="shared" ref="E55:F55" si="36">SUM(E56:E60)</f>
        <v>15176.25</v>
      </c>
      <c r="F55" s="1016">
        <f t="shared" si="36"/>
        <v>0</v>
      </c>
      <c r="G55" s="1016">
        <f>SUM(G56:G60)</f>
        <v>96170</v>
      </c>
      <c r="H55" s="1016">
        <f t="shared" ref="H55:O55" si="37">SUM(H56:H60)</f>
        <v>0</v>
      </c>
      <c r="I55" s="1016">
        <f t="shared" si="37"/>
        <v>44896.25</v>
      </c>
      <c r="J55" s="1016">
        <f t="shared" si="37"/>
        <v>0</v>
      </c>
      <c r="K55" s="1016">
        <f t="shared" si="37"/>
        <v>30352.5</v>
      </c>
      <c r="L55" s="1016">
        <f t="shared" si="37"/>
        <v>0</v>
      </c>
      <c r="M55" s="1016">
        <f t="shared" si="37"/>
        <v>30352.5</v>
      </c>
      <c r="N55" s="1016">
        <f t="shared" si="37"/>
        <v>0</v>
      </c>
      <c r="O55" s="1017">
        <f t="shared" si="37"/>
        <v>0</v>
      </c>
      <c r="P55" s="978">
        <f>+N55+L55+J55+H55+F55+E55</f>
        <v>15176.25</v>
      </c>
      <c r="Q55" s="991">
        <f>+G55+I55+K55+M55+O55</f>
        <v>201771.25</v>
      </c>
      <c r="R55" s="980">
        <f>+Q55+P55</f>
        <v>216947.5</v>
      </c>
    </row>
    <row r="56" spans="1:21" ht="24" x14ac:dyDescent="0.25">
      <c r="A56" s="1004" t="s">
        <v>740</v>
      </c>
      <c r="B56" s="950" t="s">
        <v>585</v>
      </c>
      <c r="C56" s="1018" t="s">
        <v>510</v>
      </c>
      <c r="D56" s="957" t="s">
        <v>660</v>
      </c>
      <c r="E56" s="1021"/>
      <c r="F56" s="1019"/>
      <c r="G56" s="1019"/>
      <c r="H56" s="1019"/>
      <c r="I56" s="1019">
        <f>(23270/16)*6</f>
        <v>8726.25</v>
      </c>
      <c r="J56" s="1019"/>
      <c r="K56" s="1019"/>
      <c r="L56" s="1019"/>
      <c r="M56" s="1019"/>
      <c r="N56" s="1019"/>
      <c r="O56" s="1019"/>
      <c r="P56" s="982">
        <f>+N56+L56+J56+H56+F56+E56</f>
        <v>0</v>
      </c>
      <c r="Q56" s="983">
        <f>+G56+I56+K56+M56+O56</f>
        <v>8726.25</v>
      </c>
      <c r="R56" s="984">
        <f>+Q56+P56</f>
        <v>8726.25</v>
      </c>
    </row>
    <row r="57" spans="1:21" ht="24" x14ac:dyDescent="0.25">
      <c r="A57" s="1004" t="s">
        <v>741</v>
      </c>
      <c r="B57" s="950" t="s">
        <v>585</v>
      </c>
      <c r="C57" s="933" t="s">
        <v>513</v>
      </c>
      <c r="D57" s="957" t="s">
        <v>512</v>
      </c>
      <c r="E57" s="1021"/>
      <c r="F57" s="1019"/>
      <c r="G57" s="1019">
        <f>(23270/16)*4</f>
        <v>5817.5</v>
      </c>
      <c r="H57" s="1019"/>
      <c r="I57" s="1019"/>
      <c r="J57" s="1019"/>
      <c r="K57" s="1019"/>
      <c r="L57" s="1019"/>
      <c r="M57" s="1019"/>
      <c r="N57" s="1019"/>
      <c r="O57" s="1019"/>
      <c r="P57" s="982">
        <f t="shared" ref="P57:P60" si="38">+N57+L57+J57+H57+F57+E57</f>
        <v>0</v>
      </c>
      <c r="Q57" s="983">
        <f t="shared" ref="Q57:Q60" si="39">+G57+I57+K57+M57+O57</f>
        <v>5817.5</v>
      </c>
      <c r="R57" s="954">
        <f t="shared" ref="R57:R60" si="40">+Q57+P57</f>
        <v>5817.5</v>
      </c>
      <c r="U57" s="1015"/>
    </row>
    <row r="58" spans="1:21" ht="24" x14ac:dyDescent="0.25">
      <c r="A58" s="1004" t="s">
        <v>742</v>
      </c>
      <c r="B58" s="950" t="s">
        <v>585</v>
      </c>
      <c r="C58" s="933" t="s">
        <v>726</v>
      </c>
      <c r="D58" s="957" t="s">
        <v>512</v>
      </c>
      <c r="E58" s="1021"/>
      <c r="F58" s="1019"/>
      <c r="G58" s="1019"/>
      <c r="H58" s="1019"/>
      <c r="I58" s="1019">
        <f>(23270/16)*4</f>
        <v>5817.5</v>
      </c>
      <c r="J58" s="1019"/>
      <c r="K58" s="1019"/>
      <c r="L58" s="1019"/>
      <c r="M58" s="1019"/>
      <c r="N58" s="1019"/>
      <c r="O58" s="1019"/>
      <c r="P58" s="982">
        <f t="shared" si="38"/>
        <v>0</v>
      </c>
      <c r="Q58" s="983">
        <f t="shared" si="39"/>
        <v>5817.5</v>
      </c>
      <c r="R58" s="954">
        <f t="shared" si="40"/>
        <v>5817.5</v>
      </c>
      <c r="T58" s="1015">
        <f>+Q56+Q57+Q58</f>
        <v>20361.25</v>
      </c>
    </row>
    <row r="59" spans="1:21" ht="24" x14ac:dyDescent="0.25">
      <c r="A59" s="1004" t="s">
        <v>743</v>
      </c>
      <c r="B59" s="950" t="s">
        <v>585</v>
      </c>
      <c r="C59" s="933" t="s">
        <v>545</v>
      </c>
      <c r="D59" s="957" t="s">
        <v>589</v>
      </c>
      <c r="E59" s="1021">
        <f>2*(20235/16)*6</f>
        <v>15176.25</v>
      </c>
      <c r="F59" s="1019"/>
      <c r="G59" s="1019">
        <f t="shared" ref="G59:M59" si="41">2*(20235/16)*12</f>
        <v>30352.5</v>
      </c>
      <c r="H59" s="1019"/>
      <c r="I59" s="1019">
        <f t="shared" si="41"/>
        <v>30352.5</v>
      </c>
      <c r="J59" s="1019"/>
      <c r="K59" s="1019">
        <f t="shared" si="41"/>
        <v>30352.5</v>
      </c>
      <c r="L59" s="1019"/>
      <c r="M59" s="1019">
        <f t="shared" si="41"/>
        <v>30352.5</v>
      </c>
      <c r="N59" s="1019"/>
      <c r="O59" s="1019"/>
      <c r="P59" s="982">
        <f t="shared" si="38"/>
        <v>15176.25</v>
      </c>
      <c r="Q59" s="983">
        <f t="shared" si="39"/>
        <v>121410</v>
      </c>
      <c r="R59" s="954">
        <f t="shared" si="40"/>
        <v>136586.25</v>
      </c>
    </row>
    <row r="60" spans="1:21" ht="36" x14ac:dyDescent="0.25">
      <c r="A60" s="1004" t="s">
        <v>744</v>
      </c>
      <c r="B60" s="950" t="s">
        <v>586</v>
      </c>
      <c r="C60" s="933" t="s">
        <v>572</v>
      </c>
      <c r="D60" s="993" t="s">
        <v>571</v>
      </c>
      <c r="E60" s="1021"/>
      <c r="F60" s="1019"/>
      <c r="G60" s="1019">
        <f>(3)*20000</f>
        <v>60000</v>
      </c>
      <c r="H60" s="1019"/>
      <c r="I60" s="1019"/>
      <c r="J60" s="1019"/>
      <c r="K60" s="1019"/>
      <c r="L60" s="1019"/>
      <c r="M60" s="1019"/>
      <c r="N60" s="1019"/>
      <c r="O60" s="1019"/>
      <c r="P60" s="982">
        <f t="shared" si="38"/>
        <v>0</v>
      </c>
      <c r="Q60" s="983">
        <f t="shared" si="39"/>
        <v>60000</v>
      </c>
      <c r="R60" s="954">
        <f t="shared" si="40"/>
        <v>60000</v>
      </c>
    </row>
    <row r="61" spans="1:21" ht="23.4" customHeight="1" x14ac:dyDescent="0.25">
      <c r="A61" s="1329" t="s">
        <v>496</v>
      </c>
      <c r="B61" s="1329"/>
      <c r="C61" s="1329"/>
      <c r="D61" s="936"/>
      <c r="E61" s="1021"/>
      <c r="F61" s="1022">
        <f>+F63+F76</f>
        <v>49375</v>
      </c>
      <c r="G61" s="1022">
        <f>+G63+G76</f>
        <v>3348112.25</v>
      </c>
      <c r="H61" s="1022"/>
      <c r="I61" s="1022"/>
      <c r="J61" s="1022"/>
      <c r="K61" s="1022"/>
      <c r="L61" s="1022"/>
      <c r="M61" s="1022"/>
      <c r="N61" s="1022"/>
      <c r="O61" s="1022"/>
      <c r="P61" s="1022"/>
      <c r="Q61" s="1023"/>
      <c r="R61" s="1023"/>
    </row>
    <row r="62" spans="1:21" ht="24" customHeight="1" thickBot="1" x14ac:dyDescent="0.3">
      <c r="A62" s="972">
        <v>2.1</v>
      </c>
      <c r="B62" s="972"/>
      <c r="C62" s="1024" t="s">
        <v>497</v>
      </c>
      <c r="D62" s="972"/>
      <c r="E62" s="944"/>
      <c r="F62" s="945"/>
      <c r="G62" s="945"/>
      <c r="H62" s="945"/>
      <c r="I62" s="945"/>
      <c r="J62" s="945"/>
      <c r="K62" s="945"/>
      <c r="L62" s="945"/>
      <c r="M62" s="945"/>
      <c r="N62" s="945"/>
      <c r="O62" s="945"/>
      <c r="P62" s="974">
        <f>+P63+P76</f>
        <v>1534483.13</v>
      </c>
      <c r="Q62" s="974">
        <f t="shared" ref="Q62:R62" si="42">+Q63+Q76</f>
        <v>10846060.75</v>
      </c>
      <c r="R62" s="974">
        <f t="shared" si="42"/>
        <v>12380543.879999999</v>
      </c>
    </row>
    <row r="63" spans="1:21" ht="24" customHeight="1" thickBot="1" x14ac:dyDescent="0.3">
      <c r="A63" s="920"/>
      <c r="B63" s="920"/>
      <c r="C63" s="1330" t="s">
        <v>688</v>
      </c>
      <c r="D63" s="1331"/>
      <c r="E63" s="1025">
        <f t="shared" ref="E63" si="43">SUM(E64:E74)</f>
        <v>826660.63</v>
      </c>
      <c r="F63" s="1026">
        <f>SUM(F64:F74)</f>
        <v>49375</v>
      </c>
      <c r="G63" s="1026">
        <f>SUM(G64:G74)</f>
        <v>1808454.75</v>
      </c>
      <c r="H63" s="1026">
        <f t="shared" ref="H63:O63" si="44">SUM(H64:H74)</f>
        <v>37500</v>
      </c>
      <c r="I63" s="1026">
        <f t="shared" si="44"/>
        <v>2302142.5</v>
      </c>
      <c r="J63" s="1026">
        <f t="shared" si="44"/>
        <v>33000</v>
      </c>
      <c r="K63" s="1026">
        <f t="shared" si="44"/>
        <v>2797262.5</v>
      </c>
      <c r="L63" s="1026">
        <f t="shared" si="44"/>
        <v>0</v>
      </c>
      <c r="M63" s="1026">
        <f t="shared" si="44"/>
        <v>56533.5</v>
      </c>
      <c r="N63" s="1026">
        <f t="shared" si="44"/>
        <v>0</v>
      </c>
      <c r="O63" s="1027">
        <f t="shared" si="44"/>
        <v>0</v>
      </c>
      <c r="P63" s="978">
        <f>+N63+L63+J63+H63+F63+E63</f>
        <v>946535.63</v>
      </c>
      <c r="Q63" s="991">
        <f>+G63+I63+K63+M63+O63</f>
        <v>6964393.25</v>
      </c>
      <c r="R63" s="980">
        <f>+Q63+P63</f>
        <v>7910928.8799999999</v>
      </c>
    </row>
    <row r="64" spans="1:21" ht="42" customHeight="1" x14ac:dyDescent="0.25">
      <c r="A64" s="950" t="s">
        <v>488</v>
      </c>
      <c r="B64" s="950" t="s">
        <v>585</v>
      </c>
      <c r="C64" s="965" t="s">
        <v>535</v>
      </c>
      <c r="D64" s="957" t="s">
        <v>649</v>
      </c>
      <c r="E64" s="1030">
        <v>86046.13</v>
      </c>
      <c r="F64" s="1168"/>
      <c r="G64" s="1168"/>
      <c r="H64" s="1168"/>
      <c r="I64" s="1168"/>
      <c r="J64" s="1168"/>
      <c r="K64" s="1029"/>
      <c r="L64" s="1029"/>
      <c r="M64" s="1029"/>
      <c r="N64" s="1028"/>
      <c r="O64" s="1029"/>
      <c r="P64" s="982">
        <f>+N64+L64+J64+H64+F64+E64</f>
        <v>86046.13</v>
      </c>
      <c r="Q64" s="983">
        <f>+G64+I64+K64+M64+O64</f>
        <v>0</v>
      </c>
      <c r="R64" s="984">
        <f>+Q64+P64</f>
        <v>86046.13</v>
      </c>
    </row>
    <row r="65" spans="1:18" ht="36" x14ac:dyDescent="0.25">
      <c r="A65" s="950" t="s">
        <v>489</v>
      </c>
      <c r="B65" s="950" t="s">
        <v>585</v>
      </c>
      <c r="C65" s="965" t="s">
        <v>536</v>
      </c>
      <c r="D65" s="957" t="s">
        <v>650</v>
      </c>
      <c r="E65" s="1030">
        <f>3*(31364/16)*5</f>
        <v>29403.75</v>
      </c>
      <c r="F65" s="1168"/>
      <c r="G65" s="1168">
        <f>((31364/16)*3*6)+(1*(17454/16)*6)</f>
        <v>41829.75</v>
      </c>
      <c r="H65" s="1168"/>
      <c r="I65" s="1168"/>
      <c r="J65" s="1168"/>
      <c r="K65" s="1029"/>
      <c r="L65" s="1029"/>
      <c r="M65" s="1029"/>
      <c r="N65" s="1029"/>
      <c r="O65" s="1029"/>
      <c r="P65" s="982">
        <f t="shared" ref="P65:P74" si="45">+N65+L65+J65+H65+F65+E65</f>
        <v>29403.75</v>
      </c>
      <c r="Q65" s="983">
        <f t="shared" ref="Q65:Q74" si="46">+G65+I65+K65+M65+O65</f>
        <v>41829.75</v>
      </c>
      <c r="R65" s="984">
        <f t="shared" ref="R65:R74" si="47">+Q65+P65</f>
        <v>71233.5</v>
      </c>
    </row>
    <row r="66" spans="1:18" ht="96" x14ac:dyDescent="0.25">
      <c r="A66" s="950" t="s">
        <v>538</v>
      </c>
      <c r="B66" s="950" t="s">
        <v>585</v>
      </c>
      <c r="C66" s="965" t="s">
        <v>537</v>
      </c>
      <c r="D66" s="957" t="s">
        <v>651</v>
      </c>
      <c r="E66" s="1030">
        <f>+(16*(31364/16)*9)+(2*(17454/16)*6)</f>
        <v>295366.5</v>
      </c>
      <c r="F66" s="1168"/>
      <c r="G66" s="1168">
        <f>+(17*(31364/16)*12)+(20*(23270/16)*12)+(1*(17454/16)*12)</f>
        <v>762031.5</v>
      </c>
      <c r="H66" s="1168"/>
      <c r="I66" s="1168">
        <f>+(18*(31364/16)*12)+(34*(23270/16)*12)</f>
        <v>1016799</v>
      </c>
      <c r="J66" s="1168"/>
      <c r="K66" s="1029">
        <f>+(31*(31364/16)*12)+(52*(17454/16)*12)</f>
        <v>1409919</v>
      </c>
      <c r="L66" s="1029"/>
      <c r="M66" s="1029"/>
      <c r="N66" s="1029"/>
      <c r="O66" s="1029"/>
      <c r="P66" s="982">
        <f t="shared" si="45"/>
        <v>295366.5</v>
      </c>
      <c r="Q66" s="983">
        <f t="shared" si="46"/>
        <v>3188749.5</v>
      </c>
      <c r="R66" s="984">
        <f t="shared" si="47"/>
        <v>3484116</v>
      </c>
    </row>
    <row r="67" spans="1:18" ht="36" x14ac:dyDescent="0.25">
      <c r="A67" s="950" t="s">
        <v>539</v>
      </c>
      <c r="B67" s="950" t="s">
        <v>585</v>
      </c>
      <c r="C67" s="965" t="s">
        <v>542</v>
      </c>
      <c r="D67" s="985" t="s">
        <v>652</v>
      </c>
      <c r="E67" s="1030">
        <f>6*(20235/16)*2</f>
        <v>15176.25</v>
      </c>
      <c r="F67" s="1168"/>
      <c r="G67" s="1168">
        <f t="shared" ref="G67:M67" si="48">12*(20235/16)*2</f>
        <v>30352.5</v>
      </c>
      <c r="H67" s="1168"/>
      <c r="I67" s="1168">
        <f t="shared" si="48"/>
        <v>30352.5</v>
      </c>
      <c r="J67" s="1168"/>
      <c r="K67" s="1029">
        <f t="shared" si="48"/>
        <v>30352.5</v>
      </c>
      <c r="L67" s="1029"/>
      <c r="M67" s="1029">
        <f t="shared" si="48"/>
        <v>30352.5</v>
      </c>
      <c r="N67" s="1029"/>
      <c r="O67" s="1029"/>
      <c r="P67" s="982">
        <f t="shared" si="45"/>
        <v>15176.25</v>
      </c>
      <c r="Q67" s="983">
        <f t="shared" si="46"/>
        <v>121410</v>
      </c>
      <c r="R67" s="984">
        <f t="shared" si="47"/>
        <v>136586.25</v>
      </c>
    </row>
    <row r="68" spans="1:18" ht="24" x14ac:dyDescent="0.25">
      <c r="A68" s="950" t="s">
        <v>540</v>
      </c>
      <c r="B68" s="950" t="s">
        <v>585</v>
      </c>
      <c r="C68" s="965" t="s">
        <v>547</v>
      </c>
      <c r="D68" s="985" t="s">
        <v>511</v>
      </c>
      <c r="E68" s="1030">
        <f>6*(17454/16)*2</f>
        <v>13090.5</v>
      </c>
      <c r="F68" s="1168"/>
      <c r="G68" s="1168">
        <f t="shared" ref="G68:M68" si="49">12*(17454/16)*2</f>
        <v>26181</v>
      </c>
      <c r="H68" s="1168"/>
      <c r="I68" s="1168">
        <f t="shared" si="49"/>
        <v>26181</v>
      </c>
      <c r="J68" s="1168"/>
      <c r="K68" s="1029">
        <f t="shared" si="49"/>
        <v>26181</v>
      </c>
      <c r="L68" s="1029"/>
      <c r="M68" s="1029">
        <f t="shared" si="49"/>
        <v>26181</v>
      </c>
      <c r="N68" s="1029"/>
      <c r="O68" s="1029"/>
      <c r="P68" s="982">
        <f t="shared" si="45"/>
        <v>13090.5</v>
      </c>
      <c r="Q68" s="983">
        <f t="shared" si="46"/>
        <v>104724</v>
      </c>
      <c r="R68" s="984">
        <f t="shared" si="47"/>
        <v>117814.5</v>
      </c>
    </row>
    <row r="69" spans="1:18" ht="24" x14ac:dyDescent="0.25">
      <c r="A69" s="950" t="s">
        <v>541</v>
      </c>
      <c r="B69" s="950" t="s">
        <v>590</v>
      </c>
      <c r="C69" s="965" t="s">
        <v>550</v>
      </c>
      <c r="D69" s="985" t="s">
        <v>600</v>
      </c>
      <c r="E69" s="1030">
        <v>20000</v>
      </c>
      <c r="F69" s="1168"/>
      <c r="G69" s="1168"/>
      <c r="H69" s="1168"/>
      <c r="I69" s="1168"/>
      <c r="J69" s="1168"/>
      <c r="K69" s="1029"/>
      <c r="L69" s="1029"/>
      <c r="M69" s="1029"/>
      <c r="N69" s="1029"/>
      <c r="O69" s="1029"/>
      <c r="P69" s="982">
        <f t="shared" si="45"/>
        <v>20000</v>
      </c>
      <c r="Q69" s="983">
        <f t="shared" si="46"/>
        <v>0</v>
      </c>
      <c r="R69" s="984">
        <f t="shared" si="47"/>
        <v>20000</v>
      </c>
    </row>
    <row r="70" spans="1:18" ht="36" x14ac:dyDescent="0.25">
      <c r="A70" s="950" t="s">
        <v>551</v>
      </c>
      <c r="B70" s="950" t="s">
        <v>588</v>
      </c>
      <c r="C70" s="1165" t="s">
        <v>552</v>
      </c>
      <c r="D70" s="1165" t="s">
        <v>553</v>
      </c>
      <c r="E70" s="1030">
        <f>372000/K1</f>
        <v>23250</v>
      </c>
      <c r="F70" s="1168">
        <v>49375</v>
      </c>
      <c r="G70" s="1168"/>
      <c r="H70" s="1168">
        <v>37500</v>
      </c>
      <c r="I70" s="1168"/>
      <c r="J70" s="1168">
        <v>33000</v>
      </c>
      <c r="K70" s="1029"/>
      <c r="L70" s="1029"/>
      <c r="M70" s="1029"/>
      <c r="N70" s="1029"/>
      <c r="O70" s="1029"/>
      <c r="P70" s="982">
        <f t="shared" si="45"/>
        <v>143125</v>
      </c>
      <c r="Q70" s="983">
        <f t="shared" si="46"/>
        <v>0</v>
      </c>
      <c r="R70" s="984">
        <f t="shared" si="47"/>
        <v>143125</v>
      </c>
    </row>
    <row r="71" spans="1:18" ht="24" x14ac:dyDescent="0.25">
      <c r="A71" s="950" t="s">
        <v>554</v>
      </c>
      <c r="B71" s="950" t="s">
        <v>591</v>
      </c>
      <c r="C71" s="965" t="s">
        <v>555</v>
      </c>
      <c r="D71" s="965"/>
      <c r="E71" s="1030">
        <v>112000</v>
      </c>
      <c r="F71" s="1168"/>
      <c r="G71" s="1168">
        <v>704000</v>
      </c>
      <c r="H71" s="1168"/>
      <c r="I71" s="1168">
        <v>1056000</v>
      </c>
      <c r="J71" s="1168"/>
      <c r="K71" s="1029">
        <v>1158000</v>
      </c>
      <c r="L71" s="1029"/>
      <c r="M71" s="1029"/>
      <c r="N71" s="1029"/>
      <c r="O71" s="1029"/>
      <c r="P71" s="982">
        <f t="shared" si="45"/>
        <v>112000</v>
      </c>
      <c r="Q71" s="983">
        <f t="shared" si="46"/>
        <v>2918000</v>
      </c>
      <c r="R71" s="984">
        <f t="shared" si="47"/>
        <v>3030000</v>
      </c>
    </row>
    <row r="72" spans="1:18" ht="60" x14ac:dyDescent="0.25">
      <c r="A72" s="950" t="s">
        <v>556</v>
      </c>
      <c r="B72" s="950" t="s">
        <v>591</v>
      </c>
      <c r="C72" s="965" t="s">
        <v>557</v>
      </c>
      <c r="D72" s="965" t="s">
        <v>699</v>
      </c>
      <c r="E72" s="1030">
        <v>24000</v>
      </c>
      <c r="F72" s="1168"/>
      <c r="G72" s="1168">
        <f t="shared" ref="G72:K72" si="50">5*(200)*10*4</f>
        <v>40000</v>
      </c>
      <c r="H72" s="1168"/>
      <c r="I72" s="1168">
        <f t="shared" si="50"/>
        <v>40000</v>
      </c>
      <c r="J72" s="1168"/>
      <c r="K72" s="1029">
        <f t="shared" si="50"/>
        <v>40000</v>
      </c>
      <c r="L72" s="1031"/>
      <c r="M72" s="1029"/>
      <c r="N72" s="1029"/>
      <c r="O72" s="1029"/>
      <c r="P72" s="982">
        <f t="shared" si="45"/>
        <v>24000</v>
      </c>
      <c r="Q72" s="983">
        <f t="shared" si="46"/>
        <v>120000</v>
      </c>
      <c r="R72" s="984">
        <f t="shared" si="47"/>
        <v>144000</v>
      </c>
    </row>
    <row r="73" spans="1:18" x14ac:dyDescent="0.25">
      <c r="A73" s="950" t="s">
        <v>558</v>
      </c>
      <c r="B73" s="950" t="s">
        <v>585</v>
      </c>
      <c r="C73" s="965" t="s">
        <v>647</v>
      </c>
      <c r="D73" s="918" t="s">
        <v>776</v>
      </c>
      <c r="E73" s="1030">
        <v>190875</v>
      </c>
      <c r="F73" s="1168"/>
      <c r="G73" s="1168">
        <v>134250</v>
      </c>
      <c r="H73" s="1168"/>
      <c r="I73" s="1168">
        <v>63000</v>
      </c>
      <c r="J73" s="1168"/>
      <c r="K73" s="1029">
        <v>63000</v>
      </c>
      <c r="L73" s="1029"/>
      <c r="M73" s="1029"/>
      <c r="N73" s="1029"/>
      <c r="O73" s="1029"/>
      <c r="P73" s="982">
        <f t="shared" si="45"/>
        <v>190875</v>
      </c>
      <c r="Q73" s="983">
        <f t="shared" si="46"/>
        <v>260250</v>
      </c>
      <c r="R73" s="984">
        <f t="shared" si="47"/>
        <v>451125</v>
      </c>
    </row>
    <row r="74" spans="1:18" ht="24" x14ac:dyDescent="0.25">
      <c r="A74" s="950" t="s">
        <v>648</v>
      </c>
      <c r="B74" s="950" t="s">
        <v>585</v>
      </c>
      <c r="C74" s="965" t="s">
        <v>777</v>
      </c>
      <c r="D74" s="918" t="s">
        <v>775</v>
      </c>
      <c r="E74" s="1030">
        <f>2*23270*6/16</f>
        <v>17452.5</v>
      </c>
      <c r="F74" s="1168"/>
      <c r="G74" s="1168">
        <f t="shared" ref="G74:K74" si="51">12*(23270/16)*4</f>
        <v>69810</v>
      </c>
      <c r="H74" s="1168"/>
      <c r="I74" s="1168">
        <f t="shared" si="51"/>
        <v>69810</v>
      </c>
      <c r="J74" s="1168"/>
      <c r="K74" s="1029">
        <f t="shared" si="51"/>
        <v>69810</v>
      </c>
      <c r="L74" s="1029"/>
      <c r="M74" s="1029"/>
      <c r="N74" s="1029"/>
      <c r="O74" s="1029"/>
      <c r="P74" s="982">
        <f t="shared" si="45"/>
        <v>17452.5</v>
      </c>
      <c r="Q74" s="983">
        <f t="shared" si="46"/>
        <v>209430</v>
      </c>
      <c r="R74" s="984">
        <f t="shared" si="47"/>
        <v>226882.5</v>
      </c>
    </row>
    <row r="75" spans="1:18" ht="24" customHeight="1" thickBot="1" x14ac:dyDescent="0.3">
      <c r="A75" s="988">
        <v>2.2000000000000002</v>
      </c>
      <c r="B75" s="988"/>
      <c r="C75" s="1332" t="s">
        <v>498</v>
      </c>
      <c r="D75" s="1333"/>
      <c r="E75" s="945"/>
      <c r="F75" s="945"/>
      <c r="G75" s="945"/>
      <c r="H75" s="945"/>
      <c r="I75" s="945"/>
      <c r="J75" s="945"/>
      <c r="K75" s="945"/>
      <c r="L75" s="945"/>
      <c r="M75" s="945"/>
      <c r="N75" s="945"/>
      <c r="O75" s="945"/>
      <c r="P75" s="974"/>
      <c r="Q75" s="975"/>
      <c r="R75" s="975"/>
    </row>
    <row r="76" spans="1:18" ht="24" customHeight="1" thickBot="1" x14ac:dyDescent="0.3">
      <c r="A76" s="1032"/>
      <c r="B76" s="1032"/>
      <c r="C76" s="1334" t="s">
        <v>674</v>
      </c>
      <c r="D76" s="1335"/>
      <c r="E76" s="1033">
        <f t="shared" ref="E76:O76" si="52">SUM(E77:E82)</f>
        <v>587947.5</v>
      </c>
      <c r="F76" s="1033">
        <f t="shared" si="52"/>
        <v>0</v>
      </c>
      <c r="G76" s="1033">
        <f t="shared" si="52"/>
        <v>1539657.5</v>
      </c>
      <c r="H76" s="1033">
        <f t="shared" si="52"/>
        <v>0</v>
      </c>
      <c r="I76" s="1033">
        <f t="shared" si="52"/>
        <v>1580910</v>
      </c>
      <c r="J76" s="1033">
        <f t="shared" si="52"/>
        <v>0</v>
      </c>
      <c r="K76" s="1033">
        <f t="shared" si="52"/>
        <v>761100</v>
      </c>
      <c r="L76" s="1033">
        <f t="shared" si="52"/>
        <v>0</v>
      </c>
      <c r="M76" s="1033">
        <f t="shared" si="52"/>
        <v>0</v>
      </c>
      <c r="N76" s="1033">
        <f t="shared" si="52"/>
        <v>0</v>
      </c>
      <c r="O76" s="1033">
        <f t="shared" si="52"/>
        <v>0</v>
      </c>
      <c r="P76" s="978">
        <f>+N76+L76+J76+H76+F76+E76</f>
        <v>587947.5</v>
      </c>
      <c r="Q76" s="991">
        <f>+G76+I76+K76+M76+O76</f>
        <v>3881667.5</v>
      </c>
      <c r="R76" s="980">
        <f>+Q76+P76</f>
        <v>4469615</v>
      </c>
    </row>
    <row r="77" spans="1:18" ht="36" x14ac:dyDescent="0.25">
      <c r="A77" s="950" t="s">
        <v>490</v>
      </c>
      <c r="B77" s="950" t="s">
        <v>585</v>
      </c>
      <c r="C77" s="965" t="s">
        <v>778</v>
      </c>
      <c r="D77" s="965" t="s">
        <v>565</v>
      </c>
      <c r="E77" s="1030"/>
      <c r="F77" s="1168"/>
      <c r="G77" s="1168">
        <f t="shared" ref="G77:I77" si="53">2*(23270/16)*12</f>
        <v>34905</v>
      </c>
      <c r="H77" s="1168"/>
      <c r="I77" s="1168">
        <f t="shared" si="53"/>
        <v>34905</v>
      </c>
      <c r="J77" s="1168"/>
      <c r="K77" s="1029"/>
      <c r="L77" s="1029"/>
      <c r="M77" s="1029"/>
      <c r="N77" s="1034"/>
      <c r="O77" s="1034"/>
      <c r="P77" s="982">
        <f>+N77+L77+J77+H77+F77+E77</f>
        <v>0</v>
      </c>
      <c r="Q77" s="983">
        <f>+G77+I77+K77+M77+O77</f>
        <v>69810</v>
      </c>
      <c r="R77" s="984">
        <f>+Q77+P77</f>
        <v>69810</v>
      </c>
    </row>
    <row r="78" spans="1:18" ht="36" x14ac:dyDescent="0.25">
      <c r="A78" s="950" t="s">
        <v>491</v>
      </c>
      <c r="B78" s="950" t="s">
        <v>591</v>
      </c>
      <c r="C78" s="965" t="s">
        <v>559</v>
      </c>
      <c r="D78" s="965" t="s">
        <v>560</v>
      </c>
      <c r="E78" s="1030">
        <v>240000</v>
      </c>
      <c r="F78" s="1168"/>
      <c r="G78" s="1168">
        <v>704000</v>
      </c>
      <c r="H78" s="1168"/>
      <c r="I78" s="1168"/>
      <c r="J78" s="1168"/>
      <c r="K78" s="1029"/>
      <c r="L78" s="1029"/>
      <c r="M78" s="1029"/>
      <c r="N78" s="1034"/>
      <c r="O78" s="1034"/>
      <c r="P78" s="982">
        <f t="shared" ref="P78:P82" si="54">+N78+L78+J78+H78+F78+E78</f>
        <v>240000</v>
      </c>
      <c r="Q78" s="983">
        <f t="shared" ref="Q78:Q82" si="55">+G78+I78+K78+M78+O78</f>
        <v>704000</v>
      </c>
      <c r="R78" s="984">
        <f t="shared" ref="R78:R82" si="56">+Q78+P78</f>
        <v>944000</v>
      </c>
    </row>
    <row r="79" spans="1:18" ht="48" x14ac:dyDescent="0.25">
      <c r="A79" s="950" t="s">
        <v>492</v>
      </c>
      <c r="B79" s="950" t="s">
        <v>585</v>
      </c>
      <c r="C79" s="965" t="s">
        <v>562</v>
      </c>
      <c r="D79" s="965" t="s">
        <v>675</v>
      </c>
      <c r="E79" s="1030">
        <f>12*(23270/16)*9</f>
        <v>157072.5</v>
      </c>
      <c r="F79" s="1168"/>
      <c r="G79" s="1168">
        <f>19*(23270/16)*12</f>
        <v>331597.5</v>
      </c>
      <c r="H79" s="1168"/>
      <c r="I79" s="1168">
        <f t="shared" ref="I79:K79" si="57">40*(23270/16)*12</f>
        <v>698100</v>
      </c>
      <c r="J79" s="1168"/>
      <c r="K79" s="1029">
        <f t="shared" si="57"/>
        <v>698100</v>
      </c>
      <c r="L79" s="1029"/>
      <c r="M79" s="1029"/>
      <c r="N79" s="1034"/>
      <c r="O79" s="1034"/>
      <c r="P79" s="982">
        <f t="shared" si="54"/>
        <v>157072.5</v>
      </c>
      <c r="Q79" s="983">
        <f t="shared" si="55"/>
        <v>1727797.5</v>
      </c>
      <c r="R79" s="984">
        <f t="shared" si="56"/>
        <v>1884870</v>
      </c>
    </row>
    <row r="80" spans="1:18" ht="36" x14ac:dyDescent="0.25">
      <c r="A80" s="950" t="s">
        <v>561</v>
      </c>
      <c r="B80" s="950" t="s">
        <v>585</v>
      </c>
      <c r="C80" s="921" t="s">
        <v>779</v>
      </c>
      <c r="D80" s="965" t="s">
        <v>565</v>
      </c>
      <c r="E80" s="1030"/>
      <c r="F80" s="1168"/>
      <c r="G80" s="1168">
        <f t="shared" ref="G80:I80" si="58">2*(23270/16)*12</f>
        <v>34905</v>
      </c>
      <c r="H80" s="1168"/>
      <c r="I80" s="1168">
        <f t="shared" si="58"/>
        <v>34905</v>
      </c>
      <c r="J80" s="1168"/>
      <c r="K80" s="1029"/>
      <c r="L80" s="1029"/>
      <c r="M80" s="1029"/>
      <c r="N80" s="1034"/>
      <c r="O80" s="1034"/>
      <c r="P80" s="982">
        <f t="shared" si="54"/>
        <v>0</v>
      </c>
      <c r="Q80" s="983">
        <f t="shared" si="55"/>
        <v>69810</v>
      </c>
      <c r="R80" s="984">
        <f t="shared" si="56"/>
        <v>69810</v>
      </c>
    </row>
    <row r="81" spans="1:18" x14ac:dyDescent="0.25">
      <c r="A81" s="950" t="s">
        <v>564</v>
      </c>
      <c r="B81" s="950" t="s">
        <v>585</v>
      </c>
      <c r="C81" s="965" t="s">
        <v>647</v>
      </c>
      <c r="D81" s="965"/>
      <c r="E81" s="1030">
        <v>190875</v>
      </c>
      <c r="F81" s="1168"/>
      <c r="G81" s="1168">
        <v>134250</v>
      </c>
      <c r="H81" s="1168"/>
      <c r="I81" s="1168">
        <v>63000</v>
      </c>
      <c r="J81" s="1168"/>
      <c r="K81" s="1029">
        <v>63000</v>
      </c>
      <c r="L81" s="1029"/>
      <c r="M81" s="1029"/>
      <c r="N81" s="1034"/>
      <c r="O81" s="1034"/>
      <c r="P81" s="982">
        <f t="shared" si="54"/>
        <v>190875</v>
      </c>
      <c r="Q81" s="983">
        <f t="shared" si="55"/>
        <v>260250</v>
      </c>
      <c r="R81" s="984">
        <f t="shared" si="56"/>
        <v>451125</v>
      </c>
    </row>
    <row r="82" spans="1:18" ht="24" x14ac:dyDescent="0.25">
      <c r="A82" s="950" t="s">
        <v>653</v>
      </c>
      <c r="B82" s="950" t="s">
        <v>585</v>
      </c>
      <c r="C82" s="921" t="s">
        <v>780</v>
      </c>
      <c r="D82" s="921" t="s">
        <v>781</v>
      </c>
      <c r="E82" s="1030"/>
      <c r="F82" s="1168"/>
      <c r="G82" s="1168">
        <v>300000</v>
      </c>
      <c r="H82" s="1168"/>
      <c r="I82" s="1168">
        <v>750000</v>
      </c>
      <c r="J82" s="1168"/>
      <c r="K82" s="1029"/>
      <c r="L82" s="1029"/>
      <c r="M82" s="1029"/>
      <c r="N82" s="1034"/>
      <c r="O82" s="1034"/>
      <c r="P82" s="982">
        <f t="shared" si="54"/>
        <v>0</v>
      </c>
      <c r="Q82" s="983">
        <f t="shared" si="55"/>
        <v>1050000</v>
      </c>
      <c r="R82" s="984">
        <f t="shared" si="56"/>
        <v>1050000</v>
      </c>
    </row>
    <row r="83" spans="1:18" ht="23.4" customHeight="1" x14ac:dyDescent="0.25">
      <c r="A83" s="1329" t="s">
        <v>499</v>
      </c>
      <c r="B83" s="1329"/>
      <c r="C83" s="1329"/>
      <c r="D83" s="936"/>
      <c r="E83" s="1022"/>
      <c r="F83" s="1022"/>
      <c r="G83" s="1022"/>
      <c r="H83" s="1022"/>
      <c r="I83" s="1022"/>
      <c r="J83" s="1022"/>
      <c r="K83" s="1022"/>
      <c r="L83" s="1022"/>
      <c r="M83" s="1022"/>
      <c r="N83" s="1022"/>
      <c r="O83" s="1022"/>
      <c r="P83" s="1022"/>
      <c r="Q83" s="1022"/>
      <c r="R83" s="1022"/>
    </row>
    <row r="84" spans="1:18" ht="24" customHeight="1" thickBot="1" x14ac:dyDescent="0.3">
      <c r="A84" s="972">
        <v>3.1</v>
      </c>
      <c r="B84" s="972"/>
      <c r="C84" s="972" t="s">
        <v>500</v>
      </c>
      <c r="D84" s="972"/>
      <c r="E84" s="945"/>
      <c r="F84" s="945">
        <f>+F85+F92+F99+F101</f>
        <v>49500</v>
      </c>
      <c r="G84" s="945">
        <f>+G85+G92+G99+G101</f>
        <v>2273969.25</v>
      </c>
      <c r="H84" s="945"/>
      <c r="I84" s="945"/>
      <c r="J84" s="945"/>
      <c r="K84" s="945"/>
      <c r="L84" s="945"/>
      <c r="M84" s="945"/>
      <c r="N84" s="945"/>
      <c r="O84" s="945"/>
      <c r="P84" s="974">
        <f>+P85+P92+P99+P101</f>
        <v>119625</v>
      </c>
      <c r="Q84" s="974">
        <f t="shared" ref="Q84:R84" si="59">+Q85+Q92+Q99+Q101</f>
        <v>10150200.75</v>
      </c>
      <c r="R84" s="974">
        <f t="shared" si="59"/>
        <v>10269825.75</v>
      </c>
    </row>
    <row r="85" spans="1:18" ht="24" customHeight="1" thickBot="1" x14ac:dyDescent="0.3">
      <c r="A85" s="922"/>
      <c r="B85" s="922"/>
      <c r="C85" s="1336" t="s">
        <v>682</v>
      </c>
      <c r="D85" s="1337"/>
      <c r="E85" s="1035">
        <f t="shared" ref="E85:O85" si="60">SUM(E86:E90)</f>
        <v>0</v>
      </c>
      <c r="F85" s="1035">
        <f t="shared" si="60"/>
        <v>0</v>
      </c>
      <c r="G85" s="1035">
        <f t="shared" si="60"/>
        <v>341841.75</v>
      </c>
      <c r="H85" s="1035">
        <f t="shared" si="60"/>
        <v>0</v>
      </c>
      <c r="I85" s="1035">
        <f t="shared" si="60"/>
        <v>482982</v>
      </c>
      <c r="J85" s="1035">
        <f t="shared" si="60"/>
        <v>0</v>
      </c>
      <c r="K85" s="1035">
        <f t="shared" si="60"/>
        <v>315663</v>
      </c>
      <c r="L85" s="1035">
        <f t="shared" si="60"/>
        <v>0</v>
      </c>
      <c r="M85" s="1035">
        <f t="shared" si="60"/>
        <v>174525</v>
      </c>
      <c r="N85" s="1035">
        <f t="shared" si="60"/>
        <v>0</v>
      </c>
      <c r="O85" s="1035">
        <f t="shared" si="60"/>
        <v>0</v>
      </c>
      <c r="P85" s="978">
        <f>+N85+L85+J85+H85+F85+E85</f>
        <v>0</v>
      </c>
      <c r="Q85" s="991">
        <f>+G85+I85+K85+M85+O85</f>
        <v>1315011.75</v>
      </c>
      <c r="R85" s="980">
        <f>+Q85+P85</f>
        <v>1315011.75</v>
      </c>
    </row>
    <row r="86" spans="1:18" ht="36" x14ac:dyDescent="0.25">
      <c r="A86" s="950" t="s">
        <v>476</v>
      </c>
      <c r="B86" s="950" t="s">
        <v>585</v>
      </c>
      <c r="C86" s="921" t="s">
        <v>782</v>
      </c>
      <c r="D86" s="965" t="s">
        <v>566</v>
      </c>
      <c r="E86" s="996"/>
      <c r="F86" s="1173"/>
      <c r="G86" s="1173">
        <f t="shared" ref="G86:M86" si="61">6*(23270/16)*12</f>
        <v>104715</v>
      </c>
      <c r="H86" s="1173"/>
      <c r="I86" s="1173">
        <f t="shared" si="61"/>
        <v>104715</v>
      </c>
      <c r="J86" s="1173"/>
      <c r="K86" s="1173">
        <f t="shared" si="61"/>
        <v>104715</v>
      </c>
      <c r="L86" s="1173"/>
      <c r="M86" s="1173">
        <f t="shared" si="61"/>
        <v>104715</v>
      </c>
      <c r="N86" s="1036"/>
      <c r="O86" s="1182"/>
      <c r="P86" s="982">
        <f>+N86+L86+J86+H86+F86+E86</f>
        <v>0</v>
      </c>
      <c r="Q86" s="983">
        <f>+G86+I86+K86+M86+O86</f>
        <v>418860</v>
      </c>
      <c r="R86" s="984">
        <f>+Q86+P86</f>
        <v>418860</v>
      </c>
    </row>
    <row r="87" spans="1:18" ht="24" x14ac:dyDescent="0.25">
      <c r="A87" s="950" t="s">
        <v>477</v>
      </c>
      <c r="B87" s="950" t="s">
        <v>591</v>
      </c>
      <c r="C87" s="965" t="s">
        <v>568</v>
      </c>
      <c r="D87" s="965" t="s">
        <v>567</v>
      </c>
      <c r="E87" s="996"/>
      <c r="F87" s="1173"/>
      <c r="G87" s="1173"/>
      <c r="H87" s="1173"/>
      <c r="I87" s="1173">
        <f>6*(37182/16)*12</f>
        <v>167319</v>
      </c>
      <c r="J87" s="1173"/>
      <c r="K87" s="1173"/>
      <c r="L87" s="1173"/>
      <c r="M87" s="1173"/>
      <c r="N87" s="1036"/>
      <c r="O87" s="1036"/>
      <c r="P87" s="982">
        <f t="shared" ref="P87:P90" si="62">+N87+L87+J87+H87+F87+E87</f>
        <v>0</v>
      </c>
      <c r="Q87" s="983">
        <f t="shared" ref="Q87:Q90" si="63">+G87+I87+K87+M87+O87</f>
        <v>167319</v>
      </c>
      <c r="R87" s="984">
        <f t="shared" ref="R87:R90" si="64">+Q87+P87</f>
        <v>167319</v>
      </c>
    </row>
    <row r="88" spans="1:18" ht="24" x14ac:dyDescent="0.25">
      <c r="A88" s="950" t="s">
        <v>478</v>
      </c>
      <c r="B88" s="1037" t="s">
        <v>585</v>
      </c>
      <c r="C88" s="1038" t="s">
        <v>676</v>
      </c>
      <c r="D88" s="1039" t="s">
        <v>679</v>
      </c>
      <c r="E88" s="996"/>
      <c r="F88" s="1173"/>
      <c r="G88" s="1173">
        <f>3*(23270/16)*6</f>
        <v>26178.75</v>
      </c>
      <c r="H88" s="1173"/>
      <c r="I88" s="1173"/>
      <c r="J88" s="1173"/>
      <c r="K88" s="1173"/>
      <c r="L88" s="1173"/>
      <c r="M88" s="1173"/>
      <c r="N88" s="1040"/>
      <c r="O88" s="1040"/>
      <c r="P88" s="982">
        <f t="shared" si="62"/>
        <v>0</v>
      </c>
      <c r="Q88" s="983">
        <f t="shared" si="63"/>
        <v>26178.75</v>
      </c>
      <c r="R88" s="984">
        <f t="shared" si="64"/>
        <v>26178.75</v>
      </c>
    </row>
    <row r="89" spans="1:18" ht="24" x14ac:dyDescent="0.25">
      <c r="A89" s="950" t="s">
        <v>479</v>
      </c>
      <c r="B89" s="1037" t="s">
        <v>585</v>
      </c>
      <c r="C89" s="1038" t="s">
        <v>677</v>
      </c>
      <c r="D89" s="1039" t="s">
        <v>680</v>
      </c>
      <c r="E89" s="996"/>
      <c r="F89" s="1173"/>
      <c r="G89" s="1173">
        <f t="shared" ref="G89:K89" si="65">6*(31364/16)*12</f>
        <v>141138</v>
      </c>
      <c r="H89" s="1173"/>
      <c r="I89" s="1173">
        <f t="shared" si="65"/>
        <v>141138</v>
      </c>
      <c r="J89" s="1173"/>
      <c r="K89" s="1173">
        <f t="shared" si="65"/>
        <v>141138</v>
      </c>
      <c r="L89" s="1173"/>
      <c r="M89" s="1182"/>
      <c r="N89" s="1185"/>
      <c r="O89" s="1182"/>
      <c r="P89" s="982">
        <f t="shared" si="62"/>
        <v>0</v>
      </c>
      <c r="Q89" s="983">
        <f t="shared" si="63"/>
        <v>423414</v>
      </c>
      <c r="R89" s="984">
        <f t="shared" si="64"/>
        <v>423414</v>
      </c>
    </row>
    <row r="90" spans="1:18" ht="24" x14ac:dyDescent="0.25">
      <c r="A90" s="950" t="s">
        <v>480</v>
      </c>
      <c r="B90" s="1037" t="s">
        <v>585</v>
      </c>
      <c r="C90" s="1041" t="s">
        <v>678</v>
      </c>
      <c r="D90" s="1039" t="s">
        <v>681</v>
      </c>
      <c r="E90" s="996"/>
      <c r="F90" s="1173"/>
      <c r="G90" s="1173">
        <f t="shared" ref="G90:M90" si="66">4*(23270/16)*12</f>
        <v>69810</v>
      </c>
      <c r="H90" s="1173"/>
      <c r="I90" s="1173">
        <f t="shared" si="66"/>
        <v>69810</v>
      </c>
      <c r="J90" s="1173"/>
      <c r="K90" s="1173">
        <f t="shared" si="66"/>
        <v>69810</v>
      </c>
      <c r="L90" s="1173"/>
      <c r="M90" s="1173">
        <f t="shared" si="66"/>
        <v>69810</v>
      </c>
      <c r="N90" s="1040"/>
      <c r="O90" s="1182"/>
      <c r="P90" s="982">
        <f t="shared" si="62"/>
        <v>0</v>
      </c>
      <c r="Q90" s="983">
        <f t="shared" si="63"/>
        <v>279240</v>
      </c>
      <c r="R90" s="984">
        <f t="shared" si="64"/>
        <v>279240</v>
      </c>
    </row>
    <row r="91" spans="1:18" ht="24.6" customHeight="1" thickBot="1" x14ac:dyDescent="0.3">
      <c r="A91" s="988">
        <v>3.2</v>
      </c>
      <c r="B91" s="988"/>
      <c r="C91" s="972" t="s">
        <v>501</v>
      </c>
      <c r="D91" s="972"/>
      <c r="E91" s="945"/>
      <c r="F91" s="945"/>
      <c r="G91" s="945"/>
      <c r="H91" s="945"/>
      <c r="I91" s="945"/>
      <c r="J91" s="945"/>
      <c r="K91" s="945"/>
      <c r="L91" s="945"/>
      <c r="M91" s="945"/>
      <c r="N91" s="945"/>
      <c r="O91" s="945"/>
      <c r="P91" s="974"/>
      <c r="Q91" s="975"/>
      <c r="R91" s="974"/>
    </row>
    <row r="92" spans="1:18" s="1043" customFormat="1" ht="24.6" customHeight="1" thickBot="1" x14ac:dyDescent="0.3">
      <c r="A92" s="1042"/>
      <c r="B92" s="1042"/>
      <c r="C92" s="1338" t="s">
        <v>683</v>
      </c>
      <c r="D92" s="1339"/>
      <c r="E92" s="948">
        <f t="shared" ref="E92:F92" si="67">SUM(E93:E97)</f>
        <v>0</v>
      </c>
      <c r="F92" s="948">
        <f t="shared" si="67"/>
        <v>49500</v>
      </c>
      <c r="G92" s="948">
        <f>SUM(G93:G97)</f>
        <v>312058.5</v>
      </c>
      <c r="H92" s="948">
        <f t="shared" ref="H92:O92" si="68">SUM(H93:H97)</f>
        <v>37125</v>
      </c>
      <c r="I92" s="948">
        <f t="shared" si="68"/>
        <v>1968058.5</v>
      </c>
      <c r="J92" s="948">
        <f t="shared" si="68"/>
        <v>33000</v>
      </c>
      <c r="K92" s="948">
        <f t="shared" si="68"/>
        <v>162058.5</v>
      </c>
      <c r="L92" s="948">
        <f t="shared" si="68"/>
        <v>0</v>
      </c>
      <c r="M92" s="948">
        <f t="shared" si="68"/>
        <v>52357.5</v>
      </c>
      <c r="N92" s="948">
        <f t="shared" si="68"/>
        <v>0</v>
      </c>
      <c r="O92" s="949">
        <f t="shared" si="68"/>
        <v>0</v>
      </c>
      <c r="P92" s="978">
        <f>+N92+L92+J92+H92+F92+E92</f>
        <v>119625</v>
      </c>
      <c r="Q92" s="991">
        <f>+G92+I92+K92+M92+O92</f>
        <v>2494533</v>
      </c>
      <c r="R92" s="980">
        <f>+Q92+P92</f>
        <v>2614158</v>
      </c>
    </row>
    <row r="93" spans="1:18" ht="48" x14ac:dyDescent="0.25">
      <c r="A93" s="950" t="s">
        <v>475</v>
      </c>
      <c r="B93" s="950" t="s">
        <v>585</v>
      </c>
      <c r="C93" s="921" t="s">
        <v>783</v>
      </c>
      <c r="D93" s="965" t="s">
        <v>565</v>
      </c>
      <c r="E93" s="996"/>
      <c r="F93" s="1044"/>
      <c r="G93" s="1044">
        <f t="shared" ref="G93:M93" si="69">3*(23270/16)*12</f>
        <v>52357.5</v>
      </c>
      <c r="H93" s="1044"/>
      <c r="I93" s="1044">
        <f t="shared" si="69"/>
        <v>52357.5</v>
      </c>
      <c r="J93" s="1044"/>
      <c r="K93" s="1044">
        <f t="shared" si="69"/>
        <v>52357.5</v>
      </c>
      <c r="L93" s="1044"/>
      <c r="M93" s="1045">
        <f t="shared" si="69"/>
        <v>52357.5</v>
      </c>
      <c r="N93" s="1044"/>
      <c r="O93" s="1044"/>
      <c r="P93" s="982">
        <f>+N93+L93+J93+H93+F93+E93</f>
        <v>0</v>
      </c>
      <c r="Q93" s="983">
        <f>+G93+I93+K93+M93+O93</f>
        <v>209430</v>
      </c>
      <c r="R93" s="984">
        <f>+Q93+P93</f>
        <v>209430</v>
      </c>
    </row>
    <row r="94" spans="1:18" ht="33.75" customHeight="1" x14ac:dyDescent="0.25">
      <c r="A94" s="950" t="s">
        <v>493</v>
      </c>
      <c r="B94" s="950" t="s">
        <v>601</v>
      </c>
      <c r="C94" s="1039" t="s">
        <v>583</v>
      </c>
      <c r="D94" s="921" t="s">
        <v>784</v>
      </c>
      <c r="E94" s="996"/>
      <c r="F94" s="1044"/>
      <c r="G94" s="1044">
        <v>150000</v>
      </c>
      <c r="H94" s="1044"/>
      <c r="I94" s="1044">
        <v>750000</v>
      </c>
      <c r="J94" s="1044"/>
      <c r="K94" s="1044"/>
      <c r="L94" s="1044"/>
      <c r="M94" s="1045"/>
      <c r="N94" s="1045"/>
      <c r="O94" s="1045"/>
      <c r="P94" s="982">
        <f t="shared" ref="P94:P97" si="70">+N94+L94+J94+H94+F94+E94</f>
        <v>0</v>
      </c>
      <c r="Q94" s="983">
        <f t="shared" ref="Q94:Q97" si="71">+G94+I94+K94+M94+O94</f>
        <v>900000</v>
      </c>
      <c r="R94" s="984">
        <f t="shared" ref="R94:R97" si="72">+Q94+P94</f>
        <v>900000</v>
      </c>
    </row>
    <row r="95" spans="1:18" ht="45" customHeight="1" x14ac:dyDescent="0.25">
      <c r="A95" s="950" t="s">
        <v>569</v>
      </c>
      <c r="B95" s="950" t="s">
        <v>588</v>
      </c>
      <c r="C95" s="1165" t="s">
        <v>578</v>
      </c>
      <c r="D95" s="1165" t="s">
        <v>553</v>
      </c>
      <c r="E95" s="996"/>
      <c r="F95" s="1044">
        <v>49500</v>
      </c>
      <c r="G95" s="1044"/>
      <c r="H95" s="1044">
        <v>37125</v>
      </c>
      <c r="I95" s="1044"/>
      <c r="J95" s="1044">
        <v>33000</v>
      </c>
      <c r="K95" s="1044"/>
      <c r="L95" s="1044"/>
      <c r="M95" s="1045"/>
      <c r="N95" s="1045"/>
      <c r="O95" s="1045"/>
      <c r="P95" s="982">
        <f t="shared" si="70"/>
        <v>119625</v>
      </c>
      <c r="Q95" s="983">
        <f t="shared" si="71"/>
        <v>0</v>
      </c>
      <c r="R95" s="984">
        <f t="shared" si="72"/>
        <v>119625</v>
      </c>
    </row>
    <row r="96" spans="1:18" ht="27" customHeight="1" x14ac:dyDescent="0.25">
      <c r="A96" s="950" t="s">
        <v>570</v>
      </c>
      <c r="B96" s="950" t="s">
        <v>591</v>
      </c>
      <c r="C96" s="965" t="s">
        <v>576</v>
      </c>
      <c r="D96" s="965"/>
      <c r="E96" s="996"/>
      <c r="F96" s="1044"/>
      <c r="G96" s="1044"/>
      <c r="H96" s="1044"/>
      <c r="I96" s="1044">
        <f>1056000</f>
        <v>1056000</v>
      </c>
      <c r="J96" s="1044"/>
      <c r="K96" s="1044"/>
      <c r="L96" s="1044"/>
      <c r="M96" s="1045"/>
      <c r="N96" s="1045"/>
      <c r="O96" s="1045"/>
      <c r="P96" s="982">
        <f t="shared" si="70"/>
        <v>0</v>
      </c>
      <c r="Q96" s="983">
        <f t="shared" si="71"/>
        <v>1056000</v>
      </c>
      <c r="R96" s="984">
        <f t="shared" si="72"/>
        <v>1056000</v>
      </c>
    </row>
    <row r="97" spans="1:20" ht="13.95" customHeight="1" x14ac:dyDescent="0.25">
      <c r="A97" s="950" t="s">
        <v>577</v>
      </c>
      <c r="B97" s="950" t="s">
        <v>585</v>
      </c>
      <c r="C97" s="965" t="s">
        <v>654</v>
      </c>
      <c r="D97" s="965" t="s">
        <v>655</v>
      </c>
      <c r="E97" s="996"/>
      <c r="F97" s="1044"/>
      <c r="G97" s="1044">
        <f t="shared" ref="G97:K97" si="73">(1*37000/16*12)+(4*27317/16*12)</f>
        <v>109701</v>
      </c>
      <c r="H97" s="1044"/>
      <c r="I97" s="1044">
        <f t="shared" si="73"/>
        <v>109701</v>
      </c>
      <c r="J97" s="1044"/>
      <c r="K97" s="1044">
        <f t="shared" si="73"/>
        <v>109701</v>
      </c>
      <c r="L97" s="1044"/>
      <c r="M97" s="1179"/>
      <c r="N97" s="1180"/>
      <c r="O97" s="1179"/>
      <c r="P97" s="982">
        <f t="shared" si="70"/>
        <v>0</v>
      </c>
      <c r="Q97" s="983">
        <f t="shared" si="71"/>
        <v>329103</v>
      </c>
      <c r="R97" s="984">
        <f t="shared" si="72"/>
        <v>329103</v>
      </c>
    </row>
    <row r="98" spans="1:20" ht="14.4" customHeight="1" thickBot="1" x14ac:dyDescent="0.3">
      <c r="A98" s="972" t="s">
        <v>473</v>
      </c>
      <c r="B98" s="972"/>
      <c r="C98" s="972" t="s">
        <v>502</v>
      </c>
      <c r="D98" s="972"/>
      <c r="E98" s="1046"/>
      <c r="F98" s="974"/>
      <c r="G98" s="974"/>
      <c r="H98" s="974"/>
      <c r="I98" s="974"/>
      <c r="J98" s="974"/>
      <c r="K98" s="974"/>
      <c r="L98" s="974"/>
      <c r="M98" s="974"/>
      <c r="N98" s="974"/>
      <c r="O98" s="974"/>
      <c r="P98" s="974"/>
      <c r="Q98" s="975"/>
      <c r="R98" s="975"/>
    </row>
    <row r="99" spans="1:20" ht="14.4" customHeight="1" thickBot="1" x14ac:dyDescent="0.3">
      <c r="A99" s="972"/>
      <c r="B99" s="972"/>
      <c r="C99" s="1340" t="s">
        <v>684</v>
      </c>
      <c r="D99" s="1341"/>
      <c r="E99" s="1047">
        <f t="shared" ref="E99:O99" si="74">SUM(E100)</f>
        <v>0</v>
      </c>
      <c r="F99" s="1048">
        <f t="shared" si="74"/>
        <v>0</v>
      </c>
      <c r="G99" s="1048">
        <f t="shared" si="74"/>
        <v>1338552</v>
      </c>
      <c r="H99" s="1048">
        <f t="shared" si="74"/>
        <v>0</v>
      </c>
      <c r="I99" s="1048">
        <f t="shared" si="74"/>
        <v>1338552</v>
      </c>
      <c r="J99" s="1048">
        <f t="shared" si="74"/>
        <v>0</v>
      </c>
      <c r="K99" s="1048">
        <f t="shared" si="74"/>
        <v>1338552</v>
      </c>
      <c r="L99" s="1048">
        <f t="shared" si="74"/>
        <v>0</v>
      </c>
      <c r="M99" s="1048">
        <f t="shared" si="74"/>
        <v>1338552</v>
      </c>
      <c r="N99" s="1048">
        <f t="shared" si="74"/>
        <v>0</v>
      </c>
      <c r="O99" s="1049">
        <f t="shared" si="74"/>
        <v>0</v>
      </c>
      <c r="P99" s="978">
        <f>+N99+L99+J99+H99+F99+E99</f>
        <v>0</v>
      </c>
      <c r="Q99" s="991">
        <f>+G99+I99+K99+M99+O99</f>
        <v>5354208</v>
      </c>
      <c r="R99" s="980">
        <f t="shared" ref="R99:R100" si="75">+Q99+P99</f>
        <v>5354208</v>
      </c>
    </row>
    <row r="100" spans="1:20" ht="24.75" customHeight="1" thickBot="1" x14ac:dyDescent="0.3">
      <c r="A100" s="1050" t="s">
        <v>603</v>
      </c>
      <c r="B100" s="1050" t="s">
        <v>585</v>
      </c>
      <c r="C100" s="965" t="s">
        <v>579</v>
      </c>
      <c r="D100" s="965" t="s">
        <v>580</v>
      </c>
      <c r="E100" s="1051"/>
      <c r="F100" s="1052"/>
      <c r="G100" s="1052">
        <v>1338552</v>
      </c>
      <c r="H100" s="1052"/>
      <c r="I100" s="1052">
        <v>1338552</v>
      </c>
      <c r="J100" s="1052"/>
      <c r="K100" s="1052">
        <v>1338552</v>
      </c>
      <c r="L100" s="1052"/>
      <c r="M100" s="1052">
        <v>1338552</v>
      </c>
      <c r="N100" s="1052"/>
      <c r="O100" s="1052"/>
      <c r="P100" s="1053">
        <f>+N100+L100+J100+H100+F100+E100</f>
        <v>0</v>
      </c>
      <c r="Q100" s="1054">
        <f>+G100+I100+K100+M100+O100</f>
        <v>5354208</v>
      </c>
      <c r="R100" s="1055">
        <f t="shared" si="75"/>
        <v>5354208</v>
      </c>
    </row>
    <row r="101" spans="1:20" ht="24.75" customHeight="1" thickBot="1" x14ac:dyDescent="0.3">
      <c r="A101" s="1050"/>
      <c r="B101" s="1050"/>
      <c r="C101" s="1342" t="s">
        <v>697</v>
      </c>
      <c r="D101" s="1343"/>
      <c r="E101" s="1056">
        <f t="shared" ref="E101:O101" si="76">SUM(E102:E104)</f>
        <v>0</v>
      </c>
      <c r="F101" s="1057">
        <f t="shared" si="76"/>
        <v>0</v>
      </c>
      <c r="G101" s="1057">
        <f t="shared" si="76"/>
        <v>281517</v>
      </c>
      <c r="H101" s="1057">
        <f t="shared" si="76"/>
        <v>0</v>
      </c>
      <c r="I101" s="1057">
        <f t="shared" si="76"/>
        <v>281517</v>
      </c>
      <c r="J101" s="1057">
        <f t="shared" si="76"/>
        <v>0</v>
      </c>
      <c r="K101" s="1057">
        <f t="shared" si="76"/>
        <v>211707</v>
      </c>
      <c r="L101" s="1057">
        <f t="shared" si="76"/>
        <v>0</v>
      </c>
      <c r="M101" s="1057">
        <f t="shared" si="76"/>
        <v>211707</v>
      </c>
      <c r="N101" s="1057">
        <f t="shared" si="76"/>
        <v>0</v>
      </c>
      <c r="O101" s="1058">
        <f t="shared" si="76"/>
        <v>0</v>
      </c>
      <c r="P101" s="978">
        <f>+N101+L101+J101+H101+F101+E101</f>
        <v>0</v>
      </c>
      <c r="Q101" s="991">
        <f>+G101+I101+K101+M101+O101</f>
        <v>986448</v>
      </c>
      <c r="R101" s="980">
        <f>+Q101+P101</f>
        <v>986448</v>
      </c>
    </row>
    <row r="102" spans="1:20" ht="24" x14ac:dyDescent="0.25">
      <c r="A102" s="1050" t="s">
        <v>689</v>
      </c>
      <c r="B102" s="1037" t="s">
        <v>585</v>
      </c>
      <c r="C102" s="1038" t="s">
        <v>692</v>
      </c>
      <c r="D102" s="1039" t="s">
        <v>696</v>
      </c>
      <c r="E102" s="1051"/>
      <c r="F102" s="1174"/>
      <c r="G102" s="1174">
        <f t="shared" ref="G102:I102" si="77">4*(23270/16)*12</f>
        <v>69810</v>
      </c>
      <c r="H102" s="1174"/>
      <c r="I102" s="1174">
        <f t="shared" si="77"/>
        <v>69810</v>
      </c>
      <c r="J102" s="1174"/>
      <c r="K102" s="1174"/>
      <c r="L102" s="1174"/>
      <c r="M102" s="1174"/>
      <c r="N102" s="1059"/>
      <c r="O102" s="1059"/>
      <c r="P102" s="982">
        <f>+N102+L102+J102+H102+F102+E102</f>
        <v>0</v>
      </c>
      <c r="Q102" s="983">
        <f>+G102+I102+K102+M102+O102</f>
        <v>139620</v>
      </c>
      <c r="R102" s="984">
        <f>+Q102+P102</f>
        <v>139620</v>
      </c>
    </row>
    <row r="103" spans="1:20" ht="24" x14ac:dyDescent="0.25">
      <c r="A103" s="1050" t="s">
        <v>690</v>
      </c>
      <c r="B103" s="1037" t="s">
        <v>585</v>
      </c>
      <c r="C103" s="1060" t="s">
        <v>693</v>
      </c>
      <c r="D103" s="1039" t="s">
        <v>680</v>
      </c>
      <c r="E103" s="1051"/>
      <c r="F103" s="1175"/>
      <c r="G103" s="1175">
        <f t="shared" ref="G103:M103" si="78">6*(31364/16)*12</f>
        <v>141138</v>
      </c>
      <c r="H103" s="1175"/>
      <c r="I103" s="1175">
        <f t="shared" si="78"/>
        <v>141138</v>
      </c>
      <c r="J103" s="1175"/>
      <c r="K103" s="1175">
        <f t="shared" si="78"/>
        <v>141138</v>
      </c>
      <c r="L103" s="1175"/>
      <c r="M103" s="1175">
        <f t="shared" si="78"/>
        <v>141138</v>
      </c>
      <c r="N103" s="1061"/>
      <c r="O103" s="1181"/>
      <c r="P103" s="982">
        <f t="shared" ref="P103:P104" si="79">+N103+L103+J103+H103+F103+E103</f>
        <v>0</v>
      </c>
      <c r="Q103" s="983">
        <f t="shared" ref="Q103:Q104" si="80">+G103+I103+K103+M103+O103</f>
        <v>564552</v>
      </c>
      <c r="R103" s="984">
        <f t="shared" ref="R103:R104" si="81">+Q103+P103</f>
        <v>564552</v>
      </c>
    </row>
    <row r="104" spans="1:20" ht="24.75" customHeight="1" thickBot="1" x14ac:dyDescent="0.3">
      <c r="A104" s="1050" t="s">
        <v>691</v>
      </c>
      <c r="B104" s="1037" t="s">
        <v>585</v>
      </c>
      <c r="C104" s="1041" t="s">
        <v>694</v>
      </c>
      <c r="D104" s="1039" t="s">
        <v>695</v>
      </c>
      <c r="E104" s="1051"/>
      <c r="F104" s="1175"/>
      <c r="G104" s="1175">
        <f t="shared" ref="G104:M104" si="82">3*(31364/16)*12</f>
        <v>70569</v>
      </c>
      <c r="H104" s="1175"/>
      <c r="I104" s="1175">
        <f t="shared" si="82"/>
        <v>70569</v>
      </c>
      <c r="J104" s="1175"/>
      <c r="K104" s="1175">
        <f t="shared" si="82"/>
        <v>70569</v>
      </c>
      <c r="L104" s="1175"/>
      <c r="M104" s="1175">
        <f t="shared" si="82"/>
        <v>70569</v>
      </c>
      <c r="N104" s="1061"/>
      <c r="O104" s="1181"/>
      <c r="P104" s="982">
        <f t="shared" si="79"/>
        <v>0</v>
      </c>
      <c r="Q104" s="983">
        <f t="shared" si="80"/>
        <v>282276</v>
      </c>
      <c r="R104" s="984">
        <f t="shared" si="81"/>
        <v>282276</v>
      </c>
    </row>
    <row r="105" spans="1:20" ht="14.4" thickBot="1" x14ac:dyDescent="0.3">
      <c r="A105" s="1329" t="s">
        <v>604</v>
      </c>
      <c r="B105" s="1329"/>
      <c r="C105" s="1329"/>
      <c r="D105" s="936"/>
      <c r="E105" s="1062">
        <f>SUM(E106:E115)</f>
        <v>0</v>
      </c>
      <c r="F105" s="1062">
        <f t="shared" ref="F105:O105" si="83">SUM(F106:F115)</f>
        <v>10925</v>
      </c>
      <c r="G105" s="1062">
        <f t="shared" si="83"/>
        <v>614033.5</v>
      </c>
      <c r="H105" s="1062">
        <f t="shared" si="83"/>
        <v>10925</v>
      </c>
      <c r="I105" s="1062">
        <f t="shared" si="83"/>
        <v>499500</v>
      </c>
      <c r="J105" s="1062">
        <f t="shared" si="83"/>
        <v>10925</v>
      </c>
      <c r="K105" s="1062">
        <f t="shared" si="83"/>
        <v>529500</v>
      </c>
      <c r="L105" s="1062">
        <f t="shared" si="83"/>
        <v>10925</v>
      </c>
      <c r="M105" s="1062">
        <f t="shared" si="83"/>
        <v>499500</v>
      </c>
      <c r="N105" s="1062">
        <f t="shared" si="83"/>
        <v>0</v>
      </c>
      <c r="O105" s="1063">
        <f t="shared" si="83"/>
        <v>50000</v>
      </c>
      <c r="P105" s="978">
        <f>+N105+L105+J105+H105+F105+E105</f>
        <v>43700</v>
      </c>
      <c r="Q105" s="991">
        <f>+G105+I105+K105+M105+O105</f>
        <v>2192533.5</v>
      </c>
      <c r="R105" s="980">
        <f>+Q105+P105</f>
        <v>2236233.5</v>
      </c>
    </row>
    <row r="106" spans="1:20" x14ac:dyDescent="0.25">
      <c r="A106" s="1064" t="s">
        <v>605</v>
      </c>
      <c r="B106" s="1064" t="s">
        <v>591</v>
      </c>
      <c r="C106" s="958" t="s">
        <v>607</v>
      </c>
      <c r="D106" s="958" t="s">
        <v>608</v>
      </c>
      <c r="E106" s="1065"/>
      <c r="F106" s="1065"/>
      <c r="G106" s="1066">
        <f>(50000/$K$1)*12</f>
        <v>37500</v>
      </c>
      <c r="H106" s="1066"/>
      <c r="I106" s="1066">
        <f>(50000/$K$1)*12</f>
        <v>37500</v>
      </c>
      <c r="J106" s="1066"/>
      <c r="K106" s="1066">
        <f>(50000/$K$1)*12</f>
        <v>37500</v>
      </c>
      <c r="L106" s="1066"/>
      <c r="M106" s="1066">
        <f>(50000/$K$1)*12</f>
        <v>37500</v>
      </c>
      <c r="N106" s="1066"/>
      <c r="O106" s="1066"/>
      <c r="P106" s="982">
        <f>+N106+L106+J106+H106+F106+E106</f>
        <v>0</v>
      </c>
      <c r="Q106" s="983">
        <f>+G106+I106+K106+M106+O106</f>
        <v>150000</v>
      </c>
      <c r="R106" s="984">
        <f>+Q106+P106</f>
        <v>150000</v>
      </c>
    </row>
    <row r="107" spans="1:20" x14ac:dyDescent="0.25">
      <c r="A107" s="1064" t="s">
        <v>609</v>
      </c>
      <c r="B107" s="1064" t="s">
        <v>591</v>
      </c>
      <c r="C107" s="923" t="s">
        <v>785</v>
      </c>
      <c r="D107" s="923" t="s">
        <v>786</v>
      </c>
      <c r="E107" s="1067"/>
      <c r="F107" s="1067"/>
      <c r="G107" s="1066">
        <v>50000</v>
      </c>
      <c r="H107" s="923"/>
      <c r="I107" s="924"/>
      <c r="J107" s="1068"/>
      <c r="K107" s="1066"/>
      <c r="L107" s="1066"/>
      <c r="M107" s="1066"/>
      <c r="N107" s="1066"/>
      <c r="O107" s="1066"/>
      <c r="P107" s="982">
        <f t="shared" ref="P107:P115" si="84">+N107+L107+J107+H107+F107+E107</f>
        <v>0</v>
      </c>
      <c r="Q107" s="983">
        <f t="shared" ref="Q107:Q115" si="85">+G107+I107+K107+M107+O107</f>
        <v>50000</v>
      </c>
      <c r="R107" s="984">
        <f t="shared" ref="R107:R115" si="86">+Q107+P107</f>
        <v>50000</v>
      </c>
    </row>
    <row r="108" spans="1:20" x14ac:dyDescent="0.25">
      <c r="A108" s="1064" t="s">
        <v>612</v>
      </c>
      <c r="B108" s="1064" t="s">
        <v>606</v>
      </c>
      <c r="C108" s="958" t="s">
        <v>610</v>
      </c>
      <c r="D108" s="958" t="s">
        <v>611</v>
      </c>
      <c r="E108" s="1065"/>
      <c r="F108" s="1065">
        <f>(7900/$K$1)*12</f>
        <v>5925</v>
      </c>
      <c r="G108" s="1066"/>
      <c r="H108" s="1066">
        <f>(7900/$K$1)*12</f>
        <v>5925</v>
      </c>
      <c r="J108" s="1066">
        <f>(7900/$K$1)*12</f>
        <v>5925</v>
      </c>
      <c r="L108" s="1066">
        <f>(7900/$K$1)*12</f>
        <v>5925</v>
      </c>
      <c r="N108" s="1066"/>
      <c r="P108" s="982">
        <f t="shared" si="84"/>
        <v>23700</v>
      </c>
      <c r="Q108" s="983">
        <f t="shared" si="85"/>
        <v>0</v>
      </c>
      <c r="R108" s="984">
        <f t="shared" si="86"/>
        <v>23700</v>
      </c>
      <c r="S108" s="1015"/>
    </row>
    <row r="109" spans="1:20" ht="24" x14ac:dyDescent="0.25">
      <c r="A109" s="1064" t="s">
        <v>615</v>
      </c>
      <c r="B109" s="1064" t="s">
        <v>590</v>
      </c>
      <c r="C109" s="958" t="s">
        <v>613</v>
      </c>
      <c r="D109" s="1069" t="s">
        <v>614</v>
      </c>
      <c r="E109" s="1065"/>
      <c r="F109" s="1065"/>
      <c r="G109" s="1176">
        <f>(541000/16)+721</f>
        <v>34533.5</v>
      </c>
      <c r="H109" s="1065"/>
      <c r="I109" s="1065"/>
      <c r="J109" s="1065"/>
      <c r="K109" s="1065"/>
      <c r="L109" s="1065"/>
      <c r="M109" s="1065"/>
      <c r="N109" s="1065"/>
      <c r="O109" s="1065"/>
      <c r="P109" s="982">
        <f t="shared" si="84"/>
        <v>0</v>
      </c>
      <c r="Q109" s="983">
        <f t="shared" si="85"/>
        <v>34533.5</v>
      </c>
      <c r="R109" s="984">
        <f t="shared" si="86"/>
        <v>34533.5</v>
      </c>
      <c r="T109" s="1015"/>
    </row>
    <row r="110" spans="1:20" x14ac:dyDescent="0.25">
      <c r="A110" s="1064" t="s">
        <v>616</v>
      </c>
      <c r="B110" s="1064" t="s">
        <v>590</v>
      </c>
      <c r="C110" s="958" t="s">
        <v>730</v>
      </c>
      <c r="D110" s="958"/>
      <c r="E110" s="1065"/>
      <c r="F110" s="1065"/>
      <c r="G110" s="1065">
        <f>40000*K2</f>
        <v>40000</v>
      </c>
      <c r="H110" s="1065"/>
      <c r="I110" s="1065"/>
      <c r="J110" s="1065"/>
      <c r="K110" s="1065"/>
      <c r="L110" s="1065"/>
      <c r="M110" s="1065"/>
      <c r="N110" s="1065"/>
      <c r="O110" s="1065"/>
      <c r="P110" s="982">
        <f t="shared" si="84"/>
        <v>0</v>
      </c>
      <c r="Q110" s="983">
        <f t="shared" si="85"/>
        <v>40000</v>
      </c>
      <c r="R110" s="984">
        <f t="shared" si="86"/>
        <v>40000</v>
      </c>
    </row>
    <row r="111" spans="1:20" x14ac:dyDescent="0.25">
      <c r="A111" s="1064" t="s">
        <v>619</v>
      </c>
      <c r="B111" s="1064" t="s">
        <v>586</v>
      </c>
      <c r="C111" s="958" t="s">
        <v>617</v>
      </c>
      <c r="D111" s="1070" t="s">
        <v>618</v>
      </c>
      <c r="E111" s="1065"/>
      <c r="F111" s="1065"/>
      <c r="G111" s="1065"/>
      <c r="H111" s="1065"/>
      <c r="I111" s="1065">
        <f>10000*K2</f>
        <v>10000</v>
      </c>
      <c r="J111" s="1065"/>
      <c r="K111" s="1065">
        <f>10000*K2</f>
        <v>10000</v>
      </c>
      <c r="L111" s="1065"/>
      <c r="M111" s="1065">
        <f>10000*K2</f>
        <v>10000</v>
      </c>
      <c r="N111" s="1065"/>
      <c r="O111" s="1065">
        <v>10000</v>
      </c>
      <c r="P111" s="982">
        <f t="shared" si="84"/>
        <v>0</v>
      </c>
      <c r="Q111" s="983">
        <f t="shared" si="85"/>
        <v>40000</v>
      </c>
      <c r="R111" s="984">
        <f t="shared" si="86"/>
        <v>40000</v>
      </c>
    </row>
    <row r="112" spans="1:20" x14ac:dyDescent="0.25">
      <c r="A112" s="1064" t="s">
        <v>621</v>
      </c>
      <c r="B112" s="1064" t="s">
        <v>606</v>
      </c>
      <c r="C112" s="958" t="s">
        <v>620</v>
      </c>
      <c r="D112" s="958"/>
      <c r="E112" s="1065"/>
      <c r="F112" s="1065">
        <f>5000*$K$2</f>
        <v>5000</v>
      </c>
      <c r="G112" s="1043"/>
      <c r="H112" s="1065">
        <f>5000*$K$2</f>
        <v>5000</v>
      </c>
      <c r="I112" s="1043"/>
      <c r="J112" s="1065">
        <f>5000*$K$2</f>
        <v>5000</v>
      </c>
      <c r="K112" s="1043"/>
      <c r="L112" s="1065">
        <f>5000*$K$2</f>
        <v>5000</v>
      </c>
      <c r="M112" s="1043"/>
      <c r="N112" s="1065"/>
      <c r="O112" s="1043"/>
      <c r="P112" s="982">
        <f t="shared" si="84"/>
        <v>20000</v>
      </c>
      <c r="Q112" s="983">
        <f t="shared" si="85"/>
        <v>0</v>
      </c>
      <c r="R112" s="984">
        <f t="shared" si="86"/>
        <v>20000</v>
      </c>
      <c r="S112" s="1015"/>
    </row>
    <row r="113" spans="1:27" x14ac:dyDescent="0.25">
      <c r="A113" s="1064" t="s">
        <v>622</v>
      </c>
      <c r="B113" s="1064" t="s">
        <v>586</v>
      </c>
      <c r="C113" s="958" t="s">
        <v>504</v>
      </c>
      <c r="D113" s="958" t="s">
        <v>618</v>
      </c>
      <c r="E113" s="1065"/>
      <c r="F113" s="1065"/>
      <c r="G113" s="1065"/>
      <c r="H113" s="1065"/>
      <c r="I113" s="1065"/>
      <c r="J113" s="1065"/>
      <c r="K113" s="1065">
        <f>30000*K2</f>
        <v>30000</v>
      </c>
      <c r="L113" s="1065"/>
      <c r="M113" s="1065"/>
      <c r="N113" s="1065"/>
      <c r="O113" s="1065"/>
      <c r="P113" s="982">
        <f t="shared" si="84"/>
        <v>0</v>
      </c>
      <c r="Q113" s="983">
        <f t="shared" si="85"/>
        <v>30000</v>
      </c>
      <c r="R113" s="984">
        <f t="shared" si="86"/>
        <v>30000</v>
      </c>
    </row>
    <row r="114" spans="1:27" x14ac:dyDescent="0.25">
      <c r="A114" s="1064" t="s">
        <v>624</v>
      </c>
      <c r="B114" s="1064" t="s">
        <v>586</v>
      </c>
      <c r="C114" s="958" t="s">
        <v>623</v>
      </c>
      <c r="D114" s="958" t="s">
        <v>618</v>
      </c>
      <c r="E114" s="1065"/>
      <c r="F114" s="1065"/>
      <c r="G114" s="1065"/>
      <c r="H114" s="1065"/>
      <c r="I114" s="1065"/>
      <c r="J114" s="1065"/>
      <c r="K114" s="1065"/>
      <c r="L114" s="1065"/>
      <c r="M114" s="1065"/>
      <c r="N114" s="1065"/>
      <c r="O114" s="1065">
        <v>40000</v>
      </c>
      <c r="P114" s="982">
        <f t="shared" si="84"/>
        <v>0</v>
      </c>
      <c r="Q114" s="983">
        <f t="shared" si="85"/>
        <v>40000</v>
      </c>
      <c r="R114" s="984">
        <f t="shared" si="86"/>
        <v>40000</v>
      </c>
      <c r="V114" s="1015"/>
    </row>
    <row r="115" spans="1:27" x14ac:dyDescent="0.25">
      <c r="A115" s="1064" t="s">
        <v>787</v>
      </c>
      <c r="B115" s="1064" t="s">
        <v>585</v>
      </c>
      <c r="C115" s="958" t="s">
        <v>625</v>
      </c>
      <c r="D115" s="958" t="s">
        <v>410</v>
      </c>
      <c r="E115" s="1065"/>
      <c r="F115" s="1065"/>
      <c r="G115" s="1065">
        <f>452000*$K$2</f>
        <v>452000</v>
      </c>
      <c r="H115" s="1065"/>
      <c r="I115" s="1065">
        <f>452000*$K$2</f>
        <v>452000</v>
      </c>
      <c r="J115" s="1065"/>
      <c r="K115" s="1065">
        <f>452000*$K$2</f>
        <v>452000</v>
      </c>
      <c r="L115" s="1065"/>
      <c r="M115" s="1065">
        <f>452000*$K$2</f>
        <v>452000</v>
      </c>
      <c r="N115" s="1065"/>
      <c r="O115" s="1065"/>
      <c r="P115" s="982">
        <f t="shared" si="84"/>
        <v>0</v>
      </c>
      <c r="Q115" s="983">
        <f t="shared" si="85"/>
        <v>1808000</v>
      </c>
      <c r="R115" s="984">
        <f t="shared" si="86"/>
        <v>1808000</v>
      </c>
    </row>
    <row r="117" spans="1:27" x14ac:dyDescent="0.25">
      <c r="C117" s="1071" t="s">
        <v>807</v>
      </c>
      <c r="D117" s="1072"/>
      <c r="E117" s="1073"/>
      <c r="F117" s="1073"/>
      <c r="G117" s="1073"/>
      <c r="H117" s="1073"/>
      <c r="I117" s="1072"/>
      <c r="J117" s="1072"/>
      <c r="K117" s="1072"/>
      <c r="L117" s="1072"/>
      <c r="M117" s="1072"/>
      <c r="N117" s="1072"/>
      <c r="O117" s="1072"/>
      <c r="P117" s="1072"/>
      <c r="Q117" s="1072">
        <v>125000</v>
      </c>
      <c r="R117" s="1074">
        <f>+Q117+P117</f>
        <v>125000</v>
      </c>
      <c r="S117" s="1015"/>
      <c r="V117" s="1015"/>
    </row>
    <row r="118" spans="1:27" x14ac:dyDescent="0.25">
      <c r="G118" s="1075"/>
      <c r="H118" s="1075"/>
    </row>
    <row r="119" spans="1:27" ht="12" x14ac:dyDescent="0.25">
      <c r="F119" s="1186"/>
      <c r="P119" s="1076">
        <f>+P105+P101+P99+P92+P85+P76+P63+P55+P47+P34+P19+P7+P117</f>
        <v>4999999.7378000002</v>
      </c>
      <c r="Q119" s="1076">
        <f>+Q105+Q101+Q99+Q92+Q85+Q76+Q63+Q55+Q47+Q34+Q19+Q7+Q117</f>
        <v>50000000.384999998</v>
      </c>
      <c r="R119" s="1076">
        <f>+R105+R101+R99+R92+R85+R76+R63+R55+R47+R34+R19+R7+R117</f>
        <v>55000000.1228</v>
      </c>
      <c r="U119" s="1015">
        <f>50000000-Q119</f>
        <v>-0.38499999791383743</v>
      </c>
    </row>
    <row r="120" spans="1:27" ht="14.4" thickBot="1" x14ac:dyDescent="0.3"/>
    <row r="121" spans="1:27" ht="14.4" thickBot="1" x14ac:dyDescent="0.3">
      <c r="P121" s="1077" t="s">
        <v>792</v>
      </c>
      <c r="Q121" s="1078" t="s">
        <v>793</v>
      </c>
      <c r="U121" s="1015"/>
    </row>
    <row r="122" spans="1:27" x14ac:dyDescent="0.25">
      <c r="B122" s="929">
        <v>1</v>
      </c>
      <c r="C122" s="1079" t="s">
        <v>628</v>
      </c>
      <c r="D122" s="1080"/>
      <c r="E122" s="1081">
        <f t="shared" ref="E122:O122" si="87">+E7</f>
        <v>1187000</v>
      </c>
      <c r="F122" s="1081">
        <f t="shared" si="87"/>
        <v>0</v>
      </c>
      <c r="G122" s="1081">
        <f t="shared" si="87"/>
        <v>7306000</v>
      </c>
      <c r="H122" s="1081">
        <f t="shared" si="87"/>
        <v>0</v>
      </c>
      <c r="I122" s="1081">
        <f t="shared" si="87"/>
        <v>7158536.875</v>
      </c>
      <c r="J122" s="1081">
        <f t="shared" si="87"/>
        <v>0</v>
      </c>
      <c r="K122" s="1081">
        <f t="shared" si="87"/>
        <v>4105663.76</v>
      </c>
      <c r="L122" s="1081">
        <f t="shared" si="87"/>
        <v>0</v>
      </c>
      <c r="M122" s="1081">
        <f t="shared" si="87"/>
        <v>622416</v>
      </c>
      <c r="N122" s="1081">
        <f t="shared" si="87"/>
        <v>0</v>
      </c>
      <c r="O122" s="1081">
        <f t="shared" si="87"/>
        <v>450000</v>
      </c>
      <c r="P122" s="1082">
        <f>+N122+L122+J122+H122+F122+E122</f>
        <v>1187000</v>
      </c>
      <c r="Q122" s="1083">
        <f>+O122+M122+K122+I122+G122</f>
        <v>19642616.634999998</v>
      </c>
      <c r="R122" s="1084">
        <f>+Q122+P122</f>
        <v>20829616.634999998</v>
      </c>
      <c r="S122" s="1085"/>
      <c r="U122" s="1015"/>
      <c r="X122" s="1084"/>
      <c r="Z122" s="1015"/>
      <c r="AA122" s="1015"/>
    </row>
    <row r="123" spans="1:27" x14ac:dyDescent="0.25">
      <c r="B123" s="929">
        <v>2</v>
      </c>
      <c r="C123" s="925" t="s">
        <v>629</v>
      </c>
      <c r="D123" s="1086"/>
      <c r="E123" s="1087">
        <f t="shared" ref="E123:F123" si="88">+E19</f>
        <v>191682.27779999998</v>
      </c>
      <c r="F123" s="1087">
        <f t="shared" si="88"/>
        <v>302853.59999999998</v>
      </c>
      <c r="G123" s="1087">
        <f>+G19</f>
        <v>397378.5</v>
      </c>
      <c r="H123" s="1087">
        <f t="shared" ref="H123:O123" si="89">+H19</f>
        <v>333091.8</v>
      </c>
      <c r="I123" s="1087">
        <f t="shared" si="89"/>
        <v>854178</v>
      </c>
      <c r="J123" s="1087">
        <f t="shared" si="89"/>
        <v>347778.22499999998</v>
      </c>
      <c r="K123" s="1087">
        <f t="shared" si="89"/>
        <v>854178</v>
      </c>
      <c r="L123" s="1087">
        <f t="shared" si="89"/>
        <v>188893.20499999999</v>
      </c>
      <c r="M123" s="1087">
        <f t="shared" si="89"/>
        <v>854178</v>
      </c>
      <c r="N123" s="1087">
        <f t="shared" si="89"/>
        <v>10925</v>
      </c>
      <c r="O123" s="1087">
        <f t="shared" si="89"/>
        <v>0</v>
      </c>
      <c r="P123" s="1088">
        <f t="shared" ref="P123:P132" si="90">+N123+L123+J123+H123+F123+E123</f>
        <v>1375224.1078000001</v>
      </c>
      <c r="Q123" s="1089">
        <f>+O123+M123+K123+I123+G123</f>
        <v>2959912.5</v>
      </c>
      <c r="R123" s="1090">
        <f t="shared" ref="R123:R126" si="91">+Q123+P123</f>
        <v>4335136.6078000003</v>
      </c>
      <c r="S123" s="1091"/>
      <c r="U123" s="1015"/>
      <c r="Z123" s="1015"/>
      <c r="AA123" s="1015"/>
    </row>
    <row r="124" spans="1:27" x14ac:dyDescent="0.25">
      <c r="B124" s="929">
        <v>3</v>
      </c>
      <c r="C124" s="926" t="s">
        <v>630</v>
      </c>
      <c r="D124" s="1086"/>
      <c r="E124" s="1087">
        <f t="shared" ref="E124:O124" si="92">+E34</f>
        <v>182115</v>
      </c>
      <c r="F124" s="1087">
        <f t="shared" si="92"/>
        <v>99000</v>
      </c>
      <c r="G124" s="1087">
        <f t="shared" si="92"/>
        <v>288348.75</v>
      </c>
      <c r="H124" s="1087">
        <f t="shared" si="92"/>
        <v>74000</v>
      </c>
      <c r="I124" s="1087">
        <f t="shared" si="92"/>
        <v>348348.75</v>
      </c>
      <c r="J124" s="1087">
        <f t="shared" si="92"/>
        <v>74000</v>
      </c>
      <c r="K124" s="1087">
        <f t="shared" si="92"/>
        <v>348348.75</v>
      </c>
      <c r="L124" s="1087">
        <f t="shared" si="92"/>
        <v>74000</v>
      </c>
      <c r="M124" s="1087">
        <f t="shared" si="92"/>
        <v>288348.75</v>
      </c>
      <c r="N124" s="1087">
        <f t="shared" si="92"/>
        <v>0</v>
      </c>
      <c r="O124" s="1087">
        <f t="shared" si="92"/>
        <v>0</v>
      </c>
      <c r="P124" s="1088">
        <f t="shared" si="90"/>
        <v>503115</v>
      </c>
      <c r="Q124" s="1089">
        <f t="shared" ref="Q124:Q132" si="93">+O124+M124+K124+I124+G124</f>
        <v>1273395</v>
      </c>
      <c r="R124" s="1090">
        <f t="shared" si="91"/>
        <v>1776510</v>
      </c>
      <c r="S124" s="1092">
        <f>+R122+R123+R124+R125+R126</f>
        <v>29988396.992799997</v>
      </c>
      <c r="Z124" s="1015"/>
      <c r="AA124" s="1015"/>
    </row>
    <row r="125" spans="1:27" x14ac:dyDescent="0.25">
      <c r="B125" s="929">
        <v>4</v>
      </c>
      <c r="C125" s="927" t="s">
        <v>573</v>
      </c>
      <c r="D125" s="1086"/>
      <c r="E125" s="1087">
        <f t="shared" ref="E125:O125" si="94">+E47</f>
        <v>182676.25</v>
      </c>
      <c r="F125" s="1087">
        <f t="shared" si="94"/>
        <v>39000</v>
      </c>
      <c r="G125" s="1087">
        <f t="shared" si="94"/>
        <v>1052127.5</v>
      </c>
      <c r="H125" s="1087">
        <f t="shared" si="94"/>
        <v>0</v>
      </c>
      <c r="I125" s="1087">
        <f t="shared" si="94"/>
        <v>1073127.5</v>
      </c>
      <c r="J125" s="1087">
        <f t="shared" si="94"/>
        <v>0</v>
      </c>
      <c r="K125" s="1087">
        <f t="shared" si="94"/>
        <v>273127.5</v>
      </c>
      <c r="L125" s="1087">
        <f t="shared" si="94"/>
        <v>0</v>
      </c>
      <c r="M125" s="1087">
        <f t="shared" si="94"/>
        <v>210127.5</v>
      </c>
      <c r="N125" s="1087">
        <f t="shared" si="94"/>
        <v>0</v>
      </c>
      <c r="O125" s="1087">
        <f t="shared" si="94"/>
        <v>0</v>
      </c>
      <c r="P125" s="1088">
        <f t="shared" si="90"/>
        <v>221676.25</v>
      </c>
      <c r="Q125" s="1089">
        <f t="shared" si="93"/>
        <v>2608510</v>
      </c>
      <c r="R125" s="1090">
        <f t="shared" si="91"/>
        <v>2830186.25</v>
      </c>
      <c r="S125" s="1091"/>
      <c r="Z125" s="1015"/>
      <c r="AA125" s="1015"/>
    </row>
    <row r="126" spans="1:27" ht="14.4" thickBot="1" x14ac:dyDescent="0.3">
      <c r="B126" s="929">
        <v>5</v>
      </c>
      <c r="C126" s="1093" t="s">
        <v>627</v>
      </c>
      <c r="D126" s="1094"/>
      <c r="E126" s="1095">
        <f t="shared" ref="E126:O126" si="95">+E55</f>
        <v>15176.25</v>
      </c>
      <c r="F126" s="1095">
        <f t="shared" si="95"/>
        <v>0</v>
      </c>
      <c r="G126" s="1095">
        <f t="shared" si="95"/>
        <v>96170</v>
      </c>
      <c r="H126" s="1095">
        <f t="shared" si="95"/>
        <v>0</v>
      </c>
      <c r="I126" s="1095">
        <f t="shared" si="95"/>
        <v>44896.25</v>
      </c>
      <c r="J126" s="1095">
        <f t="shared" si="95"/>
        <v>0</v>
      </c>
      <c r="K126" s="1095">
        <f t="shared" si="95"/>
        <v>30352.5</v>
      </c>
      <c r="L126" s="1095">
        <f t="shared" si="95"/>
        <v>0</v>
      </c>
      <c r="M126" s="1095">
        <f t="shared" si="95"/>
        <v>30352.5</v>
      </c>
      <c r="N126" s="1095">
        <f t="shared" si="95"/>
        <v>0</v>
      </c>
      <c r="O126" s="1095">
        <f t="shared" si="95"/>
        <v>0</v>
      </c>
      <c r="P126" s="1096">
        <f t="shared" si="90"/>
        <v>15176.25</v>
      </c>
      <c r="Q126" s="1097">
        <f t="shared" si="93"/>
        <v>201771.25</v>
      </c>
      <c r="R126" s="1098">
        <f t="shared" si="91"/>
        <v>216947.5</v>
      </c>
      <c r="S126" s="1099"/>
    </row>
    <row r="127" spans="1:27" x14ac:dyDescent="0.25">
      <c r="B127" s="929">
        <v>6</v>
      </c>
      <c r="C127" s="1100" t="s">
        <v>582</v>
      </c>
      <c r="D127" s="1080"/>
      <c r="E127" s="1081">
        <f t="shared" ref="E127:O127" si="96">+E63</f>
        <v>826660.63</v>
      </c>
      <c r="F127" s="1081">
        <f t="shared" si="96"/>
        <v>49375</v>
      </c>
      <c r="G127" s="1081">
        <f t="shared" si="96"/>
        <v>1808454.75</v>
      </c>
      <c r="H127" s="1081">
        <f t="shared" si="96"/>
        <v>37500</v>
      </c>
      <c r="I127" s="1081">
        <f t="shared" si="96"/>
        <v>2302142.5</v>
      </c>
      <c r="J127" s="1081">
        <f t="shared" si="96"/>
        <v>33000</v>
      </c>
      <c r="K127" s="1081">
        <f t="shared" si="96"/>
        <v>2797262.5</v>
      </c>
      <c r="L127" s="1081">
        <f t="shared" si="96"/>
        <v>0</v>
      </c>
      <c r="M127" s="1081">
        <f t="shared" si="96"/>
        <v>56533.5</v>
      </c>
      <c r="N127" s="1081">
        <f t="shared" si="96"/>
        <v>0</v>
      </c>
      <c r="O127" s="1081">
        <f t="shared" si="96"/>
        <v>0</v>
      </c>
      <c r="P127" s="1082">
        <f t="shared" si="90"/>
        <v>946535.63</v>
      </c>
      <c r="Q127" s="1083">
        <f t="shared" si="93"/>
        <v>6964393.25</v>
      </c>
      <c r="R127" s="1084">
        <f>+Q127+P127</f>
        <v>7910928.8799999999</v>
      </c>
      <c r="S127" s="1101">
        <f>+R127+R128</f>
        <v>12380543.879999999</v>
      </c>
      <c r="Z127" s="1015"/>
      <c r="AA127" s="1015"/>
    </row>
    <row r="128" spans="1:27" ht="14.4" thickBot="1" x14ac:dyDescent="0.3">
      <c r="B128" s="929">
        <v>7</v>
      </c>
      <c r="C128" s="1102" t="s">
        <v>631</v>
      </c>
      <c r="D128" s="1094"/>
      <c r="E128" s="1095">
        <f t="shared" ref="E128:O128" si="97">+E76</f>
        <v>587947.5</v>
      </c>
      <c r="F128" s="1095">
        <f t="shared" si="97"/>
        <v>0</v>
      </c>
      <c r="G128" s="1095">
        <f t="shared" si="97"/>
        <v>1539657.5</v>
      </c>
      <c r="H128" s="1095">
        <f t="shared" si="97"/>
        <v>0</v>
      </c>
      <c r="I128" s="1095">
        <f t="shared" si="97"/>
        <v>1580910</v>
      </c>
      <c r="J128" s="1095">
        <f t="shared" si="97"/>
        <v>0</v>
      </c>
      <c r="K128" s="1095">
        <f t="shared" si="97"/>
        <v>761100</v>
      </c>
      <c r="L128" s="1095">
        <f t="shared" si="97"/>
        <v>0</v>
      </c>
      <c r="M128" s="1095">
        <f t="shared" si="97"/>
        <v>0</v>
      </c>
      <c r="N128" s="1095">
        <f t="shared" si="97"/>
        <v>0</v>
      </c>
      <c r="O128" s="1095">
        <f t="shared" si="97"/>
        <v>0</v>
      </c>
      <c r="P128" s="1096">
        <f t="shared" si="90"/>
        <v>587947.5</v>
      </c>
      <c r="Q128" s="1097">
        <f t="shared" si="93"/>
        <v>3881667.5</v>
      </c>
      <c r="R128" s="1098">
        <f>+Q128+P128</f>
        <v>4469615</v>
      </c>
      <c r="S128" s="1099"/>
      <c r="W128" s="1103"/>
    </row>
    <row r="129" spans="2:27" x14ac:dyDescent="0.25">
      <c r="B129" s="929">
        <v>8</v>
      </c>
      <c r="C129" s="1104" t="s">
        <v>685</v>
      </c>
      <c r="D129" s="1080"/>
      <c r="E129" s="1081">
        <f t="shared" ref="E129:O129" si="98">+E85</f>
        <v>0</v>
      </c>
      <c r="F129" s="1081">
        <f t="shared" si="98"/>
        <v>0</v>
      </c>
      <c r="G129" s="1081">
        <f t="shared" si="98"/>
        <v>341841.75</v>
      </c>
      <c r="H129" s="1081">
        <f t="shared" si="98"/>
        <v>0</v>
      </c>
      <c r="I129" s="1081">
        <f t="shared" si="98"/>
        <v>482982</v>
      </c>
      <c r="J129" s="1081">
        <f t="shared" si="98"/>
        <v>0</v>
      </c>
      <c r="K129" s="1081">
        <f t="shared" si="98"/>
        <v>315663</v>
      </c>
      <c r="L129" s="1081">
        <f t="shared" si="98"/>
        <v>0</v>
      </c>
      <c r="M129" s="1081">
        <f t="shared" si="98"/>
        <v>174525</v>
      </c>
      <c r="N129" s="1081">
        <f t="shared" si="98"/>
        <v>0</v>
      </c>
      <c r="O129" s="1081">
        <f t="shared" si="98"/>
        <v>0</v>
      </c>
      <c r="P129" s="1082">
        <f t="shared" si="90"/>
        <v>0</v>
      </c>
      <c r="Q129" s="1083">
        <f t="shared" si="93"/>
        <v>1315011.75</v>
      </c>
      <c r="R129" s="1084">
        <f>+P129+Q129</f>
        <v>1315011.75</v>
      </c>
      <c r="S129" s="1085"/>
      <c r="W129" s="1103"/>
      <c r="AA129" s="1015"/>
    </row>
    <row r="130" spans="2:27" ht="27.6" x14ac:dyDescent="0.25">
      <c r="B130" s="929">
        <v>9</v>
      </c>
      <c r="C130" s="928" t="s">
        <v>574</v>
      </c>
      <c r="D130" s="1086"/>
      <c r="E130" s="1087">
        <f t="shared" ref="E130:O130" si="99">+E92</f>
        <v>0</v>
      </c>
      <c r="F130" s="1087">
        <f t="shared" si="99"/>
        <v>49500</v>
      </c>
      <c r="G130" s="1087">
        <f t="shared" si="99"/>
        <v>312058.5</v>
      </c>
      <c r="H130" s="1087">
        <f t="shared" si="99"/>
        <v>37125</v>
      </c>
      <c r="I130" s="1087">
        <f t="shared" si="99"/>
        <v>1968058.5</v>
      </c>
      <c r="J130" s="1087">
        <f t="shared" si="99"/>
        <v>33000</v>
      </c>
      <c r="K130" s="1087">
        <f t="shared" si="99"/>
        <v>162058.5</v>
      </c>
      <c r="L130" s="1087">
        <f t="shared" si="99"/>
        <v>0</v>
      </c>
      <c r="M130" s="1087">
        <f t="shared" si="99"/>
        <v>52357.5</v>
      </c>
      <c r="N130" s="1087">
        <f t="shared" si="99"/>
        <v>0</v>
      </c>
      <c r="O130" s="1087">
        <f t="shared" si="99"/>
        <v>0</v>
      </c>
      <c r="P130" s="1088">
        <f t="shared" si="90"/>
        <v>119625</v>
      </c>
      <c r="Q130" s="1089">
        <f t="shared" si="93"/>
        <v>2494533</v>
      </c>
      <c r="R130" s="1090">
        <f t="shared" ref="R130:R132" si="100">+P130+Q130</f>
        <v>2614158</v>
      </c>
      <c r="S130" s="1092">
        <f>+R129+R130+R131+R132</f>
        <v>10269825.75</v>
      </c>
      <c r="AA130" s="1015"/>
    </row>
    <row r="131" spans="2:27" x14ac:dyDescent="0.25">
      <c r="B131" s="929">
        <v>10</v>
      </c>
      <c r="C131" s="928" t="s">
        <v>632</v>
      </c>
      <c r="D131" s="1086"/>
      <c r="E131" s="1087">
        <f>+E99</f>
        <v>0</v>
      </c>
      <c r="F131" s="1087">
        <f>+F99</f>
        <v>0</v>
      </c>
      <c r="G131" s="1087">
        <f>+G99</f>
        <v>1338552</v>
      </c>
      <c r="H131" s="1087">
        <f t="shared" ref="H131:O131" si="101">+H99</f>
        <v>0</v>
      </c>
      <c r="I131" s="1087">
        <f t="shared" si="101"/>
        <v>1338552</v>
      </c>
      <c r="J131" s="1087">
        <f t="shared" si="101"/>
        <v>0</v>
      </c>
      <c r="K131" s="1087">
        <f t="shared" si="101"/>
        <v>1338552</v>
      </c>
      <c r="L131" s="1087">
        <f t="shared" si="101"/>
        <v>0</v>
      </c>
      <c r="M131" s="1087">
        <f t="shared" si="101"/>
        <v>1338552</v>
      </c>
      <c r="N131" s="1087">
        <f t="shared" si="101"/>
        <v>0</v>
      </c>
      <c r="O131" s="1087">
        <f t="shared" si="101"/>
        <v>0</v>
      </c>
      <c r="P131" s="1088">
        <f t="shared" si="90"/>
        <v>0</v>
      </c>
      <c r="Q131" s="1089">
        <f t="shared" si="93"/>
        <v>5354208</v>
      </c>
      <c r="R131" s="1090">
        <f t="shared" si="100"/>
        <v>5354208</v>
      </c>
      <c r="S131" s="1091"/>
      <c r="AA131" s="1015"/>
    </row>
    <row r="132" spans="2:27" ht="14.4" thickBot="1" x14ac:dyDescent="0.3">
      <c r="B132" s="929">
        <v>11</v>
      </c>
      <c r="C132" s="1105" t="s">
        <v>633</v>
      </c>
      <c r="D132" s="1094"/>
      <c r="E132" s="1095">
        <f>+E101</f>
        <v>0</v>
      </c>
      <c r="F132" s="1095">
        <f>+F101</f>
        <v>0</v>
      </c>
      <c r="G132" s="1095">
        <f>+G101</f>
        <v>281517</v>
      </c>
      <c r="H132" s="1095">
        <f t="shared" ref="H132:O132" si="102">+H101</f>
        <v>0</v>
      </c>
      <c r="I132" s="1095">
        <f t="shared" si="102"/>
        <v>281517</v>
      </c>
      <c r="J132" s="1095">
        <f t="shared" si="102"/>
        <v>0</v>
      </c>
      <c r="K132" s="1095">
        <f t="shared" si="102"/>
        <v>211707</v>
      </c>
      <c r="L132" s="1095">
        <f t="shared" si="102"/>
        <v>0</v>
      </c>
      <c r="M132" s="1095">
        <f t="shared" si="102"/>
        <v>211707</v>
      </c>
      <c r="N132" s="1095">
        <f t="shared" si="102"/>
        <v>0</v>
      </c>
      <c r="O132" s="1095">
        <f t="shared" si="102"/>
        <v>0</v>
      </c>
      <c r="P132" s="1096">
        <f t="shared" si="90"/>
        <v>0</v>
      </c>
      <c r="Q132" s="1097">
        <f t="shared" si="93"/>
        <v>986448</v>
      </c>
      <c r="R132" s="1098">
        <f t="shared" si="100"/>
        <v>986448</v>
      </c>
      <c r="S132" s="1099"/>
      <c r="V132" s="1015"/>
      <c r="X132" s="1015"/>
    </row>
    <row r="133" spans="2:27" ht="14.4" thickBot="1" x14ac:dyDescent="0.3">
      <c r="E133" s="1076">
        <f t="shared" ref="E133:N133" si="103">SUM(E122:E132)</f>
        <v>3173257.9078000002</v>
      </c>
      <c r="F133" s="1076">
        <f t="shared" si="103"/>
        <v>539728.6</v>
      </c>
      <c r="G133" s="1076">
        <f t="shared" si="103"/>
        <v>14762106.25</v>
      </c>
      <c r="H133" s="1076">
        <f t="shared" si="103"/>
        <v>481716.8</v>
      </c>
      <c r="I133" s="1076">
        <f t="shared" si="103"/>
        <v>17433249.375</v>
      </c>
      <c r="J133" s="1076">
        <f t="shared" si="103"/>
        <v>487778.22499999998</v>
      </c>
      <c r="K133" s="1076">
        <f t="shared" si="103"/>
        <v>11198013.51</v>
      </c>
      <c r="L133" s="1076">
        <f t="shared" si="103"/>
        <v>262893.20499999996</v>
      </c>
      <c r="M133" s="1076">
        <f t="shared" si="103"/>
        <v>3839097.75</v>
      </c>
      <c r="N133" s="1076">
        <f t="shared" si="103"/>
        <v>10925</v>
      </c>
      <c r="O133" s="1076">
        <f>SUM(O122:O132)</f>
        <v>450000</v>
      </c>
      <c r="P133" s="1076">
        <f>SUM(P122:P132)</f>
        <v>4956299.7378000002</v>
      </c>
      <c r="Q133" s="1076">
        <f>SUM(Q122:Q132)</f>
        <v>47682466.884999998</v>
      </c>
      <c r="R133" s="1106"/>
      <c r="S133" s="1015"/>
      <c r="Z133" s="1015"/>
    </row>
    <row r="134" spans="2:27" ht="14.4" thickBot="1" x14ac:dyDescent="0.3">
      <c r="P134" s="1344">
        <f>+P133+Q133</f>
        <v>52638766.6228</v>
      </c>
      <c r="Q134" s="1345"/>
      <c r="T134" s="1015"/>
      <c r="Z134" s="1015"/>
    </row>
    <row r="135" spans="2:27" x14ac:dyDescent="0.25">
      <c r="P135" s="1015">
        <f>+P133+P105</f>
        <v>4999999.7378000002</v>
      </c>
      <c r="Q135" s="1015">
        <f>+Q133+Q105+Q117</f>
        <v>50000000.384999998</v>
      </c>
      <c r="T135" s="1015"/>
      <c r="Z135" s="1015"/>
    </row>
    <row r="136" spans="2:27" x14ac:dyDescent="0.25">
      <c r="P136" s="1204"/>
      <c r="Q136" s="1204"/>
      <c r="T136" s="1015"/>
      <c r="Z136" s="1015"/>
    </row>
    <row r="137" spans="2:27" x14ac:dyDescent="0.25">
      <c r="F137" s="1346">
        <v>2018</v>
      </c>
      <c r="G137" s="1346"/>
      <c r="H137" s="1346">
        <v>2019</v>
      </c>
      <c r="I137" s="1346"/>
      <c r="J137" s="1346">
        <v>2020</v>
      </c>
      <c r="K137" s="1346"/>
      <c r="L137" s="1346">
        <v>2021</v>
      </c>
      <c r="M137" s="1346"/>
      <c r="N137" s="1346">
        <v>2022</v>
      </c>
      <c r="O137" s="1346"/>
      <c r="P137" s="1346" t="s">
        <v>503</v>
      </c>
      <c r="Q137" s="1346"/>
      <c r="T137" s="1015"/>
    </row>
    <row r="138" spans="2:27" x14ac:dyDescent="0.25">
      <c r="E138" s="1202">
        <v>2017</v>
      </c>
      <c r="F138" s="1203" t="s">
        <v>843</v>
      </c>
      <c r="G138" s="1203" t="s">
        <v>392</v>
      </c>
      <c r="H138" s="1203" t="s">
        <v>843</v>
      </c>
      <c r="I138" s="1203" t="s">
        <v>392</v>
      </c>
      <c r="J138" s="1203" t="s">
        <v>843</v>
      </c>
      <c r="K138" s="1203" t="s">
        <v>392</v>
      </c>
      <c r="L138" s="1203" t="s">
        <v>843</v>
      </c>
      <c r="M138" s="1203" t="s">
        <v>392</v>
      </c>
      <c r="N138" s="1203" t="s">
        <v>843</v>
      </c>
      <c r="O138" s="1203" t="s">
        <v>392</v>
      </c>
      <c r="P138" s="1203" t="s">
        <v>843</v>
      </c>
      <c r="Q138" s="1203" t="s">
        <v>392</v>
      </c>
      <c r="T138" s="1015"/>
      <c r="Z138" s="1015"/>
    </row>
    <row r="139" spans="2:27" ht="12" x14ac:dyDescent="0.25">
      <c r="D139" s="1107" t="s">
        <v>702</v>
      </c>
      <c r="E139" s="1108">
        <f>+E125+E126+E122+E123+E124</f>
        <v>1758649.7778</v>
      </c>
      <c r="F139" s="1109">
        <f t="shared" ref="F139:O139" si="104">+F125+F126+F122+F123+F124</f>
        <v>440853.6</v>
      </c>
      <c r="G139" s="1109">
        <f t="shared" si="104"/>
        <v>9140024.75</v>
      </c>
      <c r="H139" s="1110">
        <f t="shared" si="104"/>
        <v>407091.8</v>
      </c>
      <c r="I139" s="1110">
        <f t="shared" si="104"/>
        <v>9479087.375</v>
      </c>
      <c r="J139" s="1111">
        <f t="shared" si="104"/>
        <v>421778.22499999998</v>
      </c>
      <c r="K139" s="1111">
        <f t="shared" si="104"/>
        <v>5611670.5099999998</v>
      </c>
      <c r="L139" s="1112">
        <f t="shared" si="104"/>
        <v>262893.20499999996</v>
      </c>
      <c r="M139" s="1112">
        <f t="shared" si="104"/>
        <v>2005422.75</v>
      </c>
      <c r="N139" s="1113">
        <f t="shared" si="104"/>
        <v>10925</v>
      </c>
      <c r="O139" s="1113">
        <f t="shared" si="104"/>
        <v>450000</v>
      </c>
      <c r="P139" s="1015">
        <f>+N139+L139+J139+H139+F139+E139</f>
        <v>3302191.6078000003</v>
      </c>
      <c r="Q139" s="1015">
        <f>+O139+M139+K139+I139+G139</f>
        <v>26686205.384999998</v>
      </c>
      <c r="R139" s="1015"/>
      <c r="S139" s="1015"/>
      <c r="T139" s="1015"/>
    </row>
    <row r="140" spans="2:27" ht="12" x14ac:dyDescent="0.25">
      <c r="D140" s="1107" t="s">
        <v>789</v>
      </c>
      <c r="E140" s="1108">
        <f t="shared" ref="E140:O140" si="105">+E127+E128</f>
        <v>1414608.13</v>
      </c>
      <c r="F140" s="1109">
        <f t="shared" si="105"/>
        <v>49375</v>
      </c>
      <c r="G140" s="1109">
        <f t="shared" si="105"/>
        <v>3348112.25</v>
      </c>
      <c r="H140" s="1110">
        <f t="shared" si="105"/>
        <v>37500</v>
      </c>
      <c r="I140" s="1110">
        <f t="shared" si="105"/>
        <v>3883052.5</v>
      </c>
      <c r="J140" s="1111">
        <f t="shared" si="105"/>
        <v>33000</v>
      </c>
      <c r="K140" s="1111">
        <f t="shared" si="105"/>
        <v>3558362.5</v>
      </c>
      <c r="L140" s="1112">
        <f t="shared" si="105"/>
        <v>0</v>
      </c>
      <c r="M140" s="1112">
        <f t="shared" si="105"/>
        <v>56533.5</v>
      </c>
      <c r="N140" s="1113">
        <f t="shared" si="105"/>
        <v>0</v>
      </c>
      <c r="O140" s="1113">
        <f t="shared" si="105"/>
        <v>0</v>
      </c>
      <c r="P140" s="1015">
        <f t="shared" ref="P140:P144" si="106">+N140+L140+J140+H140+F140+E140</f>
        <v>1534483.13</v>
      </c>
      <c r="Q140" s="1015">
        <f t="shared" ref="Q140:Q143" si="107">+O140+M140+K140+I140+G140</f>
        <v>10846060.75</v>
      </c>
      <c r="R140" s="1015"/>
      <c r="S140" s="1015"/>
      <c r="X140" s="1178"/>
      <c r="Z140" s="1015"/>
    </row>
    <row r="141" spans="2:27" x14ac:dyDescent="0.25">
      <c r="D141" s="1107" t="s">
        <v>790</v>
      </c>
      <c r="E141" s="1108">
        <f t="shared" ref="E141:O141" si="108">+E131+E130+E129+E132</f>
        <v>0</v>
      </c>
      <c r="F141" s="1109">
        <f t="shared" si="108"/>
        <v>49500</v>
      </c>
      <c r="G141" s="1109">
        <f t="shared" si="108"/>
        <v>2273969.25</v>
      </c>
      <c r="H141" s="1110">
        <f t="shared" si="108"/>
        <v>37125</v>
      </c>
      <c r="I141" s="1110">
        <f t="shared" si="108"/>
        <v>4071109.5</v>
      </c>
      <c r="J141" s="1111">
        <f t="shared" si="108"/>
        <v>33000</v>
      </c>
      <c r="K141" s="1111">
        <f t="shared" si="108"/>
        <v>2027980.5</v>
      </c>
      <c r="L141" s="1112">
        <f t="shared" si="108"/>
        <v>0</v>
      </c>
      <c r="M141" s="1112">
        <f t="shared" si="108"/>
        <v>1777141.5</v>
      </c>
      <c r="N141" s="1113">
        <f t="shared" si="108"/>
        <v>0</v>
      </c>
      <c r="O141" s="1113">
        <f t="shared" si="108"/>
        <v>0</v>
      </c>
      <c r="P141" s="1015">
        <f t="shared" si="106"/>
        <v>119625</v>
      </c>
      <c r="Q141" s="1015">
        <f t="shared" si="107"/>
        <v>10150200.75</v>
      </c>
      <c r="R141" s="1106"/>
    </row>
    <row r="142" spans="2:27" x14ac:dyDescent="0.25">
      <c r="D142" s="1107" t="s">
        <v>634</v>
      </c>
      <c r="E142" s="1108">
        <f>+E106+E107+E108+E109+E110+E111+E112+E113+E114+E115</f>
        <v>0</v>
      </c>
      <c r="F142" s="1109">
        <f>+SUM(F106:F115)-F111-F113-F114</f>
        <v>10925</v>
      </c>
      <c r="G142" s="1109">
        <f t="shared" ref="G142:O142" si="109">+SUM(G106:G115)-G111-G113-G114</f>
        <v>614033.5</v>
      </c>
      <c r="H142" s="1110">
        <f t="shared" si="109"/>
        <v>10925</v>
      </c>
      <c r="I142" s="1110">
        <f>+I106+I115</f>
        <v>489500</v>
      </c>
      <c r="J142" s="1111">
        <f t="shared" si="109"/>
        <v>10925</v>
      </c>
      <c r="K142" s="1111">
        <f>+K106+K115</f>
        <v>489500</v>
      </c>
      <c r="L142" s="1112">
        <f t="shared" si="109"/>
        <v>10925</v>
      </c>
      <c r="M142" s="1112">
        <f t="shared" si="109"/>
        <v>489500</v>
      </c>
      <c r="N142" s="1113">
        <f t="shared" si="109"/>
        <v>0</v>
      </c>
      <c r="O142" s="1113">
        <f t="shared" si="109"/>
        <v>0</v>
      </c>
      <c r="P142" s="1015">
        <f t="shared" si="106"/>
        <v>43700</v>
      </c>
      <c r="Q142" s="1015">
        <f>+O142+M142+K142+I142+G142</f>
        <v>2082533.5</v>
      </c>
    </row>
    <row r="143" spans="2:27" x14ac:dyDescent="0.25">
      <c r="D143" s="1107" t="s">
        <v>808</v>
      </c>
      <c r="E143" s="1108"/>
      <c r="F143" s="1109">
        <f>+F113+F114</f>
        <v>0</v>
      </c>
      <c r="G143" s="1109">
        <f t="shared" ref="G143:O143" si="110">+G113+G114</f>
        <v>0</v>
      </c>
      <c r="H143" s="1110">
        <f t="shared" si="110"/>
        <v>0</v>
      </c>
      <c r="I143" s="1110">
        <f t="shared" si="110"/>
        <v>0</v>
      </c>
      <c r="J143" s="1111">
        <f t="shared" si="110"/>
        <v>0</v>
      </c>
      <c r="K143" s="1111">
        <f t="shared" si="110"/>
        <v>30000</v>
      </c>
      <c r="L143" s="1112">
        <f t="shared" si="110"/>
        <v>0</v>
      </c>
      <c r="M143" s="1112">
        <f t="shared" si="110"/>
        <v>0</v>
      </c>
      <c r="N143" s="1113">
        <f t="shared" si="110"/>
        <v>0</v>
      </c>
      <c r="O143" s="1113">
        <f t="shared" si="110"/>
        <v>40000</v>
      </c>
      <c r="P143" s="1015">
        <f t="shared" si="106"/>
        <v>0</v>
      </c>
      <c r="Q143" s="1015">
        <f t="shared" si="107"/>
        <v>70000</v>
      </c>
    </row>
    <row r="144" spans="2:27" x14ac:dyDescent="0.25">
      <c r="D144" s="1107" t="s">
        <v>809</v>
      </c>
      <c r="E144" s="1108"/>
      <c r="F144" s="1109">
        <f t="shared" ref="F144:N144" si="111">+F111</f>
        <v>0</v>
      </c>
      <c r="G144" s="1109">
        <f t="shared" si="111"/>
        <v>0</v>
      </c>
      <c r="H144" s="1110">
        <f t="shared" si="111"/>
        <v>0</v>
      </c>
      <c r="I144" s="1110">
        <f t="shared" si="111"/>
        <v>10000</v>
      </c>
      <c r="J144" s="1111">
        <f t="shared" si="111"/>
        <v>0</v>
      </c>
      <c r="K144" s="1111">
        <f t="shared" si="111"/>
        <v>10000</v>
      </c>
      <c r="L144" s="1112">
        <f t="shared" si="111"/>
        <v>0</v>
      </c>
      <c r="M144" s="1112">
        <f t="shared" si="111"/>
        <v>10000</v>
      </c>
      <c r="N144" s="1113">
        <f t="shared" si="111"/>
        <v>0</v>
      </c>
      <c r="O144" s="1113">
        <f t="shared" ref="O144" si="112">+O111</f>
        <v>10000</v>
      </c>
      <c r="P144" s="1015">
        <f t="shared" si="106"/>
        <v>0</v>
      </c>
      <c r="Q144" s="1015">
        <f>+O144+M144+K144+I144+G144</f>
        <v>40000</v>
      </c>
    </row>
    <row r="145" spans="4:18" x14ac:dyDescent="0.25">
      <c r="D145" s="1107" t="s">
        <v>810</v>
      </c>
      <c r="E145" s="1205"/>
      <c r="F145" s="1206"/>
      <c r="G145" s="1206"/>
      <c r="H145" s="1207"/>
      <c r="I145" s="1207"/>
      <c r="J145" s="1208"/>
      <c r="K145" s="1208"/>
      <c r="L145" s="1209"/>
      <c r="M145" s="1209"/>
      <c r="N145" s="1210">
        <f>+N112</f>
        <v>0</v>
      </c>
      <c r="O145" s="1210">
        <v>125000</v>
      </c>
      <c r="P145" s="1211"/>
      <c r="Q145" s="1212">
        <v>125000</v>
      </c>
    </row>
    <row r="146" spans="4:18" x14ac:dyDescent="0.25">
      <c r="E146" s="1114">
        <f t="shared" ref="E146" si="113">SUM(E139:E142)</f>
        <v>3173257.9078000002</v>
      </c>
      <c r="F146" s="1115">
        <f t="shared" ref="F146:H146" si="114">SUM(F139:F145)</f>
        <v>550653.6</v>
      </c>
      <c r="G146" s="1115">
        <f t="shared" si="114"/>
        <v>15376139.75</v>
      </c>
      <c r="H146" s="1115">
        <f t="shared" si="114"/>
        <v>492641.8</v>
      </c>
      <c r="I146" s="1115">
        <f>SUM(I139:I145)</f>
        <v>17932749.375</v>
      </c>
      <c r="J146" s="1115">
        <f t="shared" ref="J146" si="115">SUM(J139:J145)</f>
        <v>498703.22499999998</v>
      </c>
      <c r="K146" s="1115">
        <f t="shared" ref="K146" si="116">SUM(K139:K145)</f>
        <v>11727513.51</v>
      </c>
      <c r="L146" s="1115">
        <f t="shared" ref="L146:M146" si="117">SUM(L139:L145)</f>
        <v>273818.20499999996</v>
      </c>
      <c r="M146" s="1115">
        <f t="shared" si="117"/>
        <v>4338597.75</v>
      </c>
      <c r="N146" s="1115">
        <f t="shared" ref="N146" si="118">SUM(N139:N145)</f>
        <v>10925</v>
      </c>
      <c r="O146" s="1115">
        <f t="shared" ref="O146" si="119">SUM(O139:O145)</f>
        <v>625000</v>
      </c>
      <c r="P146" s="1076">
        <f>SUM(P139:P145)</f>
        <v>4999999.7378000002</v>
      </c>
      <c r="Q146" s="1076">
        <f>SUM(Q139:Q145)</f>
        <v>50000000.384999998</v>
      </c>
    </row>
    <row r="147" spans="4:18" x14ac:dyDescent="0.25">
      <c r="P147" s="1328">
        <f>+Q146+P146</f>
        <v>55000000.1228</v>
      </c>
      <c r="Q147" s="1328"/>
    </row>
    <row r="148" spans="4:18" x14ac:dyDescent="0.25">
      <c r="R148" s="1106"/>
    </row>
    <row r="149" spans="4:18" x14ac:dyDescent="0.25">
      <c r="I149" s="1015">
        <f>+I139+I140+I141</f>
        <v>17433249.375</v>
      </c>
      <c r="O149" s="1015"/>
      <c r="P149" s="1015"/>
    </row>
    <row r="150" spans="4:18" x14ac:dyDescent="0.25">
      <c r="G150" s="1015"/>
      <c r="Q150" s="1015"/>
    </row>
    <row r="151" spans="4:18" x14ac:dyDescent="0.25">
      <c r="E151" s="930" t="s">
        <v>392</v>
      </c>
    </row>
    <row r="152" spans="4:18" x14ac:dyDescent="0.25">
      <c r="D152" s="1107" t="s">
        <v>702</v>
      </c>
      <c r="E152" s="1160">
        <f>+F153+F154+F155+F156</f>
        <v>26686205.384999998</v>
      </c>
    </row>
    <row r="153" spans="4:18" x14ac:dyDescent="0.25">
      <c r="D153" s="929" t="s">
        <v>831</v>
      </c>
      <c r="F153" s="1160">
        <f>+Q122</f>
        <v>19642616.634999998</v>
      </c>
      <c r="O153" s="1015"/>
      <c r="P153" s="1015"/>
    </row>
    <row r="154" spans="4:18" x14ac:dyDescent="0.25">
      <c r="D154" s="929" t="s">
        <v>832</v>
      </c>
      <c r="F154" s="1160">
        <f>+Q123</f>
        <v>2959912.5</v>
      </c>
    </row>
    <row r="155" spans="4:18" x14ac:dyDescent="0.25">
      <c r="D155" s="929" t="s">
        <v>833</v>
      </c>
      <c r="F155" s="1160">
        <f>+Q124</f>
        <v>1273395</v>
      </c>
    </row>
    <row r="156" spans="4:18" x14ac:dyDescent="0.25">
      <c r="D156" s="929" t="s">
        <v>834</v>
      </c>
      <c r="F156" s="1160">
        <f>+Q125+Q126</f>
        <v>2810281.25</v>
      </c>
    </row>
    <row r="157" spans="4:18" x14ac:dyDescent="0.25">
      <c r="D157" s="1107" t="s">
        <v>789</v>
      </c>
      <c r="E157" s="1160">
        <f>+Q127+Q128</f>
        <v>10846060.75</v>
      </c>
      <c r="G157" s="1015"/>
      <c r="H157" s="1015"/>
    </row>
    <row r="158" spans="4:18" x14ac:dyDescent="0.25">
      <c r="D158" s="1107" t="s">
        <v>790</v>
      </c>
      <c r="E158" s="1160">
        <f>+Q129+Q130+Q131+Q132</f>
        <v>10150200.75</v>
      </c>
      <c r="G158" s="1116"/>
      <c r="H158" s="1116"/>
    </row>
    <row r="159" spans="4:18" x14ac:dyDescent="0.25">
      <c r="D159" s="1107" t="s">
        <v>634</v>
      </c>
    </row>
    <row r="160" spans="4:18" x14ac:dyDescent="0.25">
      <c r="D160" s="1107" t="s">
        <v>808</v>
      </c>
      <c r="G160" s="1076"/>
      <c r="H160" s="1076"/>
    </row>
    <row r="161" spans="4:8" x14ac:dyDescent="0.25">
      <c r="D161" s="1107" t="s">
        <v>809</v>
      </c>
    </row>
    <row r="162" spans="4:8" x14ac:dyDescent="0.25">
      <c r="D162" s="1107" t="s">
        <v>810</v>
      </c>
      <c r="F162" s="929"/>
      <c r="G162" s="1015"/>
      <c r="H162" s="1015"/>
    </row>
    <row r="163" spans="4:8" x14ac:dyDescent="0.25">
      <c r="E163" s="1116">
        <f>SUM(E152:E158)</f>
        <v>47682466.884999998</v>
      </c>
    </row>
    <row r="164" spans="4:8" x14ac:dyDescent="0.25">
      <c r="G164" s="1015"/>
      <c r="H164" s="1015"/>
    </row>
    <row r="166" spans="4:8" x14ac:dyDescent="0.25">
      <c r="G166" s="1015"/>
      <c r="H166" s="1015"/>
    </row>
  </sheetData>
  <mergeCells count="36">
    <mergeCell ref="F137:G137"/>
    <mergeCell ref="P137:Q137"/>
    <mergeCell ref="C33:D33"/>
    <mergeCell ref="C34:D34"/>
    <mergeCell ref="C47:D47"/>
    <mergeCell ref="C55:D55"/>
    <mergeCell ref="A46:B46"/>
    <mergeCell ref="C19:D19"/>
    <mergeCell ref="A3:C3"/>
    <mergeCell ref="A6:B6"/>
    <mergeCell ref="C6:D6"/>
    <mergeCell ref="C7:D7"/>
    <mergeCell ref="C46:D46"/>
    <mergeCell ref="F3:G3"/>
    <mergeCell ref="H3:I3"/>
    <mergeCell ref="J3:K3"/>
    <mergeCell ref="P3:R3"/>
    <mergeCell ref="A5:C5"/>
    <mergeCell ref="L3:M3"/>
    <mergeCell ref="N3:O3"/>
    <mergeCell ref="P147:Q147"/>
    <mergeCell ref="A61:C61"/>
    <mergeCell ref="C63:D63"/>
    <mergeCell ref="C75:D75"/>
    <mergeCell ref="C76:D76"/>
    <mergeCell ref="A83:C83"/>
    <mergeCell ref="C85:D85"/>
    <mergeCell ref="C92:D92"/>
    <mergeCell ref="C99:D99"/>
    <mergeCell ref="C101:D101"/>
    <mergeCell ref="A105:C105"/>
    <mergeCell ref="P134:Q134"/>
    <mergeCell ref="N137:O137"/>
    <mergeCell ref="L137:M137"/>
    <mergeCell ref="J137:K137"/>
    <mergeCell ref="H137:I137"/>
  </mergeCells>
  <pageMargins left="0.25" right="0.25" top="0.75" bottom="0.75" header="0.3" footer="0.3"/>
  <pageSetup scale="65" fitToHeight="0" orientation="portrait"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3:C103"/>
  <sheetViews>
    <sheetView zoomScale="80" zoomScaleNormal="80" workbookViewId="0">
      <pane ySplit="3" topLeftCell="A90" activePane="bottomLeft" state="frozen"/>
      <selection pane="bottomLeft" activeCell="B34" sqref="B34"/>
    </sheetView>
  </sheetViews>
  <sheetFormatPr defaultColWidth="9.109375" defaultRowHeight="12" x14ac:dyDescent="0.25"/>
  <cols>
    <col min="1" max="1" width="5.88671875" style="929" bestFit="1" customWidth="1"/>
    <col min="2" max="2" width="84.5546875" style="930" customWidth="1"/>
    <col min="3" max="3" width="96.6640625" style="930" customWidth="1"/>
    <col min="4" max="4" width="16.88671875" style="930" customWidth="1"/>
    <col min="5" max="16384" width="9.109375" style="930"/>
  </cols>
  <sheetData>
    <row r="3" spans="1:3" ht="30" customHeight="1" x14ac:dyDescent="0.25">
      <c r="A3" s="1349" t="s">
        <v>485</v>
      </c>
      <c r="B3" s="1348"/>
      <c r="C3" s="932" t="s">
        <v>507</v>
      </c>
    </row>
    <row r="4" spans="1:3" ht="13.95" customHeight="1" x14ac:dyDescent="0.25">
      <c r="A4" s="933"/>
      <c r="B4" s="933"/>
      <c r="C4" s="933"/>
    </row>
    <row r="5" spans="1:3" ht="30.6" customHeight="1" x14ac:dyDescent="0.25">
      <c r="A5" s="1370" t="s">
        <v>794</v>
      </c>
      <c r="B5" s="1371"/>
      <c r="C5" s="1372"/>
    </row>
    <row r="6" spans="1:3" ht="26.4" customHeight="1" x14ac:dyDescent="0.25">
      <c r="A6" s="943">
        <v>1.1000000000000001</v>
      </c>
      <c r="B6" s="1365" t="s">
        <v>746</v>
      </c>
      <c r="C6" s="1366"/>
    </row>
    <row r="7" spans="1:3" ht="26.4" customHeight="1" x14ac:dyDescent="0.25">
      <c r="A7" s="916"/>
      <c r="B7" s="1367" t="s">
        <v>755</v>
      </c>
      <c r="C7" s="1367"/>
    </row>
    <row r="8" spans="1:3" x14ac:dyDescent="0.25">
      <c r="A8" s="950" t="s">
        <v>747</v>
      </c>
      <c r="B8" s="933" t="s">
        <v>520</v>
      </c>
      <c r="C8" s="933" t="s">
        <v>795</v>
      </c>
    </row>
    <row r="9" spans="1:3" ht="24" x14ac:dyDescent="0.25">
      <c r="A9" s="950" t="s">
        <v>748</v>
      </c>
      <c r="B9" s="933" t="s">
        <v>514</v>
      </c>
      <c r="C9" s="933" t="s">
        <v>515</v>
      </c>
    </row>
    <row r="10" spans="1:3" x14ac:dyDescent="0.25">
      <c r="A10" s="950" t="s">
        <v>749</v>
      </c>
      <c r="B10" s="933" t="s">
        <v>534</v>
      </c>
      <c r="C10" s="957" t="s">
        <v>796</v>
      </c>
    </row>
    <row r="11" spans="1:3" x14ac:dyDescent="0.25">
      <c r="A11" s="950" t="s">
        <v>750</v>
      </c>
      <c r="B11" s="958" t="s">
        <v>519</v>
      </c>
      <c r="C11" s="959"/>
    </row>
    <row r="12" spans="1:3" ht="24" x14ac:dyDescent="0.25">
      <c r="A12" s="950" t="s">
        <v>751</v>
      </c>
      <c r="B12" s="933" t="s">
        <v>797</v>
      </c>
      <c r="C12" s="957" t="s">
        <v>798</v>
      </c>
    </row>
    <row r="13" spans="1:3" x14ac:dyDescent="0.25">
      <c r="A13" s="950" t="s">
        <v>752</v>
      </c>
      <c r="B13" s="965" t="s">
        <v>799</v>
      </c>
      <c r="C13" s="966" t="s">
        <v>800</v>
      </c>
    </row>
    <row r="14" spans="1:3" ht="24" x14ac:dyDescent="0.25">
      <c r="A14" s="950" t="s">
        <v>753</v>
      </c>
      <c r="B14" s="933" t="s">
        <v>592</v>
      </c>
      <c r="C14" s="933" t="s">
        <v>516</v>
      </c>
    </row>
    <row r="15" spans="1:3" ht="165" customHeight="1" x14ac:dyDescent="0.25">
      <c r="A15" s="950" t="s">
        <v>754</v>
      </c>
      <c r="B15" s="933" t="s">
        <v>756</v>
      </c>
      <c r="C15" s="933" t="s">
        <v>801</v>
      </c>
    </row>
    <row r="16" spans="1:3" x14ac:dyDescent="0.25">
      <c r="A16" s="950" t="s">
        <v>802</v>
      </c>
      <c r="B16" s="968" t="s">
        <v>701</v>
      </c>
      <c r="C16" s="969" t="s">
        <v>757</v>
      </c>
    </row>
    <row r="17" spans="1:3" x14ac:dyDescent="0.25">
      <c r="A17" s="950" t="s">
        <v>803</v>
      </c>
      <c r="B17" s="968" t="s">
        <v>804</v>
      </c>
      <c r="C17" s="969" t="s">
        <v>805</v>
      </c>
    </row>
    <row r="18" spans="1:3" ht="23.4" customHeight="1" x14ac:dyDescent="0.25">
      <c r="A18" s="972">
        <v>1.2</v>
      </c>
      <c r="B18" s="973" t="s">
        <v>758</v>
      </c>
      <c r="C18" s="972"/>
    </row>
    <row r="19" spans="1:3" ht="23.4" customHeight="1" x14ac:dyDescent="0.25">
      <c r="A19" s="976"/>
      <c r="B19" s="1368" t="s">
        <v>761</v>
      </c>
      <c r="C19" s="1369"/>
    </row>
    <row r="20" spans="1:3" x14ac:dyDescent="0.25">
      <c r="A20" s="950" t="s">
        <v>470</v>
      </c>
      <c r="B20" s="965" t="s">
        <v>521</v>
      </c>
      <c r="C20" s="957" t="s">
        <v>594</v>
      </c>
    </row>
    <row r="21" spans="1:3" x14ac:dyDescent="0.25">
      <c r="A21" s="950" t="s">
        <v>471</v>
      </c>
      <c r="B21" s="965" t="s">
        <v>771</v>
      </c>
      <c r="C21" s="957" t="s">
        <v>596</v>
      </c>
    </row>
    <row r="22" spans="1:3" ht="24" x14ac:dyDescent="0.25">
      <c r="A22" s="950" t="s">
        <v>472</v>
      </c>
      <c r="B22" s="965" t="s">
        <v>522</v>
      </c>
      <c r="C22" s="957" t="s">
        <v>597</v>
      </c>
    </row>
    <row r="23" spans="1:3" ht="24" x14ac:dyDescent="0.25">
      <c r="A23" s="950" t="s">
        <v>517</v>
      </c>
      <c r="B23" s="918" t="s">
        <v>762</v>
      </c>
      <c r="C23" s="918" t="s">
        <v>763</v>
      </c>
    </row>
    <row r="24" spans="1:3" ht="24" customHeight="1" x14ac:dyDescent="0.25">
      <c r="A24" s="950" t="s">
        <v>518</v>
      </c>
      <c r="B24" s="985" t="s">
        <v>523</v>
      </c>
      <c r="C24" s="957" t="s">
        <v>524</v>
      </c>
    </row>
    <row r="25" spans="1:3" ht="27.75" customHeight="1" x14ac:dyDescent="0.25">
      <c r="A25" s="950" t="s">
        <v>532</v>
      </c>
      <c r="B25" s="918" t="s">
        <v>764</v>
      </c>
      <c r="C25" s="918" t="s">
        <v>765</v>
      </c>
    </row>
    <row r="26" spans="1:3" ht="27.75" customHeight="1" x14ac:dyDescent="0.25">
      <c r="A26" s="950" t="s">
        <v>533</v>
      </c>
      <c r="B26" s="918" t="s">
        <v>772</v>
      </c>
      <c r="C26" s="919" t="s">
        <v>773</v>
      </c>
    </row>
    <row r="27" spans="1:3" ht="24" x14ac:dyDescent="0.25">
      <c r="A27" s="950" t="s">
        <v>593</v>
      </c>
      <c r="B27" s="965" t="s">
        <v>665</v>
      </c>
      <c r="C27" s="965" t="s">
        <v>766</v>
      </c>
    </row>
    <row r="28" spans="1:3" ht="27.75" customHeight="1" x14ac:dyDescent="0.25">
      <c r="A28" s="950" t="s">
        <v>700</v>
      </c>
      <c r="B28" s="965" t="s">
        <v>767</v>
      </c>
      <c r="C28" s="986" t="s">
        <v>667</v>
      </c>
    </row>
    <row r="29" spans="1:3" ht="27.75" customHeight="1" x14ac:dyDescent="0.25">
      <c r="A29" s="950" t="s">
        <v>759</v>
      </c>
      <c r="B29" s="965" t="s">
        <v>768</v>
      </c>
      <c r="C29" s="986" t="s">
        <v>669</v>
      </c>
    </row>
    <row r="30" spans="1:3" ht="27.75" customHeight="1" x14ac:dyDescent="0.25">
      <c r="A30" s="950" t="s">
        <v>760</v>
      </c>
      <c r="B30" s="965" t="s">
        <v>769</v>
      </c>
      <c r="C30" s="986" t="s">
        <v>671</v>
      </c>
    </row>
    <row r="31" spans="1:3" ht="27.75" customHeight="1" x14ac:dyDescent="0.25">
      <c r="A31" s="950" t="s">
        <v>827</v>
      </c>
      <c r="B31" s="965" t="s">
        <v>770</v>
      </c>
      <c r="C31" s="986" t="s">
        <v>673</v>
      </c>
    </row>
    <row r="32" spans="1:3" ht="17.25" customHeight="1" x14ac:dyDescent="0.25">
      <c r="A32" s="988">
        <v>1.3</v>
      </c>
      <c r="B32" s="1357" t="s">
        <v>774</v>
      </c>
      <c r="C32" s="1358"/>
    </row>
    <row r="33" spans="1:3" ht="22.5" customHeight="1" x14ac:dyDescent="0.25">
      <c r="A33" s="989"/>
      <c r="B33" s="1373" t="s">
        <v>852</v>
      </c>
      <c r="C33" s="1374"/>
    </row>
    <row r="34" spans="1:3" ht="24.6" customHeight="1" x14ac:dyDescent="0.25">
      <c r="A34" s="950" t="s">
        <v>483</v>
      </c>
      <c r="B34" s="985" t="s">
        <v>525</v>
      </c>
      <c r="C34" s="957" t="s">
        <v>589</v>
      </c>
    </row>
    <row r="35" spans="1:3" ht="24" x14ac:dyDescent="0.25">
      <c r="A35" s="950" t="s">
        <v>484</v>
      </c>
      <c r="B35" s="985" t="s">
        <v>526</v>
      </c>
      <c r="C35" s="993" t="s">
        <v>511</v>
      </c>
    </row>
    <row r="36" spans="1:3" x14ac:dyDescent="0.25">
      <c r="A36" s="950" t="s">
        <v>474</v>
      </c>
      <c r="B36" s="985" t="s">
        <v>527</v>
      </c>
      <c r="C36" s="993" t="s">
        <v>511</v>
      </c>
    </row>
    <row r="37" spans="1:3" x14ac:dyDescent="0.25">
      <c r="A37" s="950" t="s">
        <v>486</v>
      </c>
      <c r="B37" s="985" t="s">
        <v>806</v>
      </c>
      <c r="C37" s="993" t="s">
        <v>528</v>
      </c>
    </row>
    <row r="38" spans="1:3" x14ac:dyDescent="0.25">
      <c r="A38" s="950" t="s">
        <v>487</v>
      </c>
      <c r="B38" s="995" t="s">
        <v>529</v>
      </c>
      <c r="C38" s="986" t="s">
        <v>530</v>
      </c>
    </row>
    <row r="39" spans="1:3" ht="24" x14ac:dyDescent="0.25">
      <c r="A39" s="950" t="s">
        <v>584</v>
      </c>
      <c r="B39" s="995" t="s">
        <v>531</v>
      </c>
      <c r="C39" s="933" t="s">
        <v>698</v>
      </c>
    </row>
    <row r="40" spans="1:3" ht="24" x14ac:dyDescent="0.25">
      <c r="A40" s="950" t="s">
        <v>598</v>
      </c>
      <c r="B40" s="993" t="s">
        <v>543</v>
      </c>
      <c r="C40" s="957" t="s">
        <v>599</v>
      </c>
    </row>
    <row r="41" spans="1:3" ht="24" x14ac:dyDescent="0.25">
      <c r="A41" s="950" t="s">
        <v>661</v>
      </c>
      <c r="B41" s="993" t="s">
        <v>544</v>
      </c>
      <c r="C41" s="957" t="s">
        <v>589</v>
      </c>
    </row>
    <row r="42" spans="1:3" ht="24" x14ac:dyDescent="0.25">
      <c r="A42" s="950" t="s">
        <v>662</v>
      </c>
      <c r="B42" s="993" t="s">
        <v>546</v>
      </c>
      <c r="C42" s="957" t="s">
        <v>589</v>
      </c>
    </row>
    <row r="43" spans="1:3" x14ac:dyDescent="0.25">
      <c r="A43" s="950" t="s">
        <v>663</v>
      </c>
      <c r="B43" s="993" t="s">
        <v>548</v>
      </c>
      <c r="C43" s="957" t="s">
        <v>589</v>
      </c>
    </row>
    <row r="44" spans="1:3" x14ac:dyDescent="0.25">
      <c r="A44" s="950" t="s">
        <v>664</v>
      </c>
      <c r="B44" s="993" t="s">
        <v>549</v>
      </c>
      <c r="C44" s="957" t="s">
        <v>589</v>
      </c>
    </row>
    <row r="45" spans="1:3" ht="21" customHeight="1" x14ac:dyDescent="0.25">
      <c r="A45" s="997">
        <v>1.4</v>
      </c>
      <c r="B45" s="1357" t="s">
        <v>732</v>
      </c>
      <c r="C45" s="1358"/>
    </row>
    <row r="46" spans="1:3" x14ac:dyDescent="0.25">
      <c r="A46" s="1004"/>
      <c r="B46" s="1362" t="s">
        <v>745</v>
      </c>
      <c r="C46" s="1363"/>
    </row>
    <row r="47" spans="1:3" x14ac:dyDescent="0.25">
      <c r="A47" s="1004" t="s">
        <v>733</v>
      </c>
      <c r="B47" s="993" t="s">
        <v>505</v>
      </c>
      <c r="C47" s="993" t="s">
        <v>659</v>
      </c>
    </row>
    <row r="48" spans="1:3" x14ac:dyDescent="0.25">
      <c r="A48" s="1004" t="s">
        <v>734</v>
      </c>
      <c r="B48" s="993" t="s">
        <v>506</v>
      </c>
      <c r="C48" s="993" t="s">
        <v>511</v>
      </c>
    </row>
    <row r="49" spans="1:3" x14ac:dyDescent="0.25">
      <c r="A49" s="1004" t="s">
        <v>735</v>
      </c>
      <c r="B49" s="933" t="s">
        <v>641</v>
      </c>
      <c r="C49" s="957" t="s">
        <v>639</v>
      </c>
    </row>
    <row r="50" spans="1:3" ht="24" x14ac:dyDescent="0.25">
      <c r="A50" s="1004" t="s">
        <v>736</v>
      </c>
      <c r="B50" s="933" t="s">
        <v>638</v>
      </c>
      <c r="C50" s="957" t="s">
        <v>642</v>
      </c>
    </row>
    <row r="51" spans="1:3" ht="20.399999999999999" x14ac:dyDescent="0.25">
      <c r="A51" s="1004" t="s">
        <v>737</v>
      </c>
      <c r="B51" s="1009" t="s">
        <v>728</v>
      </c>
      <c r="C51" s="812" t="s">
        <v>587</v>
      </c>
    </row>
    <row r="52" spans="1:3" ht="36" x14ac:dyDescent="0.25">
      <c r="A52" s="1004" t="s">
        <v>738</v>
      </c>
      <c r="B52" s="1010" t="s">
        <v>508</v>
      </c>
      <c r="C52" s="957" t="s">
        <v>643</v>
      </c>
    </row>
    <row r="53" spans="1:3" ht="24.6" thickBot="1" x14ac:dyDescent="0.3">
      <c r="A53" s="1004" t="s">
        <v>739</v>
      </c>
      <c r="B53" s="1011" t="s">
        <v>509</v>
      </c>
      <c r="C53" s="1012" t="s">
        <v>644</v>
      </c>
    </row>
    <row r="54" spans="1:3" x14ac:dyDescent="0.25">
      <c r="A54" s="1004"/>
      <c r="B54" s="1364" t="s">
        <v>846</v>
      </c>
      <c r="C54" s="1364"/>
    </row>
    <row r="55" spans="1:3" ht="24" x14ac:dyDescent="0.25">
      <c r="A55" s="1004" t="s">
        <v>740</v>
      </c>
      <c r="B55" s="1018" t="s">
        <v>510</v>
      </c>
      <c r="C55" s="957" t="s">
        <v>660</v>
      </c>
    </row>
    <row r="56" spans="1:3" ht="24" x14ac:dyDescent="0.25">
      <c r="A56" s="1004" t="s">
        <v>741</v>
      </c>
      <c r="B56" s="933" t="s">
        <v>513</v>
      </c>
      <c r="C56" s="957" t="s">
        <v>512</v>
      </c>
    </row>
    <row r="57" spans="1:3" ht="24" x14ac:dyDescent="0.25">
      <c r="A57" s="1004" t="s">
        <v>742</v>
      </c>
      <c r="B57" s="933" t="s">
        <v>726</v>
      </c>
      <c r="C57" s="957" t="s">
        <v>512</v>
      </c>
    </row>
    <row r="58" spans="1:3" x14ac:dyDescent="0.25">
      <c r="A58" s="1004" t="s">
        <v>743</v>
      </c>
      <c r="B58" s="933" t="s">
        <v>545</v>
      </c>
      <c r="C58" s="957" t="s">
        <v>589</v>
      </c>
    </row>
    <row r="59" spans="1:3" ht="24" x14ac:dyDescent="0.25">
      <c r="A59" s="1004" t="s">
        <v>744</v>
      </c>
      <c r="B59" s="933" t="s">
        <v>572</v>
      </c>
      <c r="C59" s="993" t="s">
        <v>571</v>
      </c>
    </row>
    <row r="60" spans="1:3" ht="23.4" customHeight="1" x14ac:dyDescent="0.25">
      <c r="A60" s="1329" t="s">
        <v>496</v>
      </c>
      <c r="B60" s="1329"/>
      <c r="C60" s="1020"/>
    </row>
    <row r="61" spans="1:3" ht="24" customHeight="1" thickBot="1" x14ac:dyDescent="0.3">
      <c r="A61" s="972">
        <v>2.1</v>
      </c>
      <c r="B61" s="1377" t="s">
        <v>497</v>
      </c>
      <c r="C61" s="1378"/>
    </row>
    <row r="62" spans="1:3" ht="24" customHeight="1" x14ac:dyDescent="0.25">
      <c r="A62" s="920"/>
      <c r="B62" s="1330" t="s">
        <v>688</v>
      </c>
      <c r="C62" s="1331"/>
    </row>
    <row r="63" spans="1:3" ht="42" customHeight="1" x14ac:dyDescent="0.25">
      <c r="A63" s="950" t="s">
        <v>488</v>
      </c>
      <c r="B63" s="965" t="s">
        <v>535</v>
      </c>
      <c r="C63" s="957" t="s">
        <v>649</v>
      </c>
    </row>
    <row r="64" spans="1:3" ht="24" x14ac:dyDescent="0.25">
      <c r="A64" s="950" t="s">
        <v>489</v>
      </c>
      <c r="B64" s="965" t="s">
        <v>536</v>
      </c>
      <c r="C64" s="957" t="s">
        <v>650</v>
      </c>
    </row>
    <row r="65" spans="1:3" ht="36" x14ac:dyDescent="0.25">
      <c r="A65" s="950" t="s">
        <v>538</v>
      </c>
      <c r="B65" s="965" t="s">
        <v>537</v>
      </c>
      <c r="C65" s="957" t="s">
        <v>651</v>
      </c>
    </row>
    <row r="66" spans="1:3" x14ac:dyDescent="0.25">
      <c r="A66" s="950" t="s">
        <v>539</v>
      </c>
      <c r="B66" s="965" t="s">
        <v>542</v>
      </c>
      <c r="C66" s="985" t="s">
        <v>652</v>
      </c>
    </row>
    <row r="67" spans="1:3" x14ac:dyDescent="0.25">
      <c r="A67" s="950" t="s">
        <v>540</v>
      </c>
      <c r="B67" s="965" t="s">
        <v>547</v>
      </c>
      <c r="C67" s="985" t="s">
        <v>511</v>
      </c>
    </row>
    <row r="68" spans="1:3" ht="24" x14ac:dyDescent="0.25">
      <c r="A68" s="950" t="s">
        <v>541</v>
      </c>
      <c r="B68" s="965" t="s">
        <v>550</v>
      </c>
      <c r="C68" s="985" t="s">
        <v>600</v>
      </c>
    </row>
    <row r="69" spans="1:3" ht="24" x14ac:dyDescent="0.25">
      <c r="A69" s="950" t="s">
        <v>551</v>
      </c>
      <c r="B69" s="965" t="s">
        <v>552</v>
      </c>
      <c r="C69" s="965" t="s">
        <v>553</v>
      </c>
    </row>
    <row r="70" spans="1:3" ht="24" x14ac:dyDescent="0.25">
      <c r="A70" s="950" t="s">
        <v>554</v>
      </c>
      <c r="B70" s="965" t="s">
        <v>555</v>
      </c>
      <c r="C70" s="965"/>
    </row>
    <row r="71" spans="1:3" ht="24" x14ac:dyDescent="0.25">
      <c r="A71" s="950" t="s">
        <v>556</v>
      </c>
      <c r="B71" s="965" t="s">
        <v>557</v>
      </c>
      <c r="C71" s="965" t="s">
        <v>699</v>
      </c>
    </row>
    <row r="72" spans="1:3" x14ac:dyDescent="0.25">
      <c r="A72" s="950" t="s">
        <v>558</v>
      </c>
      <c r="B72" s="965" t="s">
        <v>647</v>
      </c>
      <c r="C72" s="918" t="s">
        <v>776</v>
      </c>
    </row>
    <row r="73" spans="1:3" ht="24" x14ac:dyDescent="0.25">
      <c r="A73" s="950" t="s">
        <v>648</v>
      </c>
      <c r="B73" s="965" t="s">
        <v>777</v>
      </c>
      <c r="C73" s="918" t="s">
        <v>775</v>
      </c>
    </row>
    <row r="74" spans="1:3" ht="24" customHeight="1" x14ac:dyDescent="0.25">
      <c r="A74" s="988">
        <v>2.2000000000000002</v>
      </c>
      <c r="B74" s="1375" t="s">
        <v>498</v>
      </c>
      <c r="C74" s="1376"/>
    </row>
    <row r="75" spans="1:3" ht="24" customHeight="1" x14ac:dyDescent="0.25">
      <c r="A75" s="1032"/>
      <c r="B75" s="1334" t="s">
        <v>674</v>
      </c>
      <c r="C75" s="1335"/>
    </row>
    <row r="76" spans="1:3" ht="24" x14ac:dyDescent="0.25">
      <c r="A76" s="950" t="s">
        <v>490</v>
      </c>
      <c r="B76" s="965" t="s">
        <v>778</v>
      </c>
      <c r="C76" s="965" t="s">
        <v>565</v>
      </c>
    </row>
    <row r="77" spans="1:3" x14ac:dyDescent="0.25">
      <c r="A77" s="950" t="s">
        <v>491</v>
      </c>
      <c r="B77" s="965" t="s">
        <v>559</v>
      </c>
      <c r="C77" s="965" t="s">
        <v>560</v>
      </c>
    </row>
    <row r="78" spans="1:3" ht="36" x14ac:dyDescent="0.25">
      <c r="A78" s="950" t="s">
        <v>492</v>
      </c>
      <c r="B78" s="965" t="s">
        <v>562</v>
      </c>
      <c r="C78" s="965" t="s">
        <v>675</v>
      </c>
    </row>
    <row r="79" spans="1:3" ht="36" x14ac:dyDescent="0.25">
      <c r="A79" s="950" t="s">
        <v>561</v>
      </c>
      <c r="B79" s="921" t="s">
        <v>779</v>
      </c>
      <c r="C79" s="965" t="s">
        <v>565</v>
      </c>
    </row>
    <row r="80" spans="1:3" x14ac:dyDescent="0.25">
      <c r="A80" s="950" t="s">
        <v>564</v>
      </c>
      <c r="B80" s="965" t="s">
        <v>647</v>
      </c>
      <c r="C80" s="965"/>
    </row>
    <row r="81" spans="1:3" x14ac:dyDescent="0.25">
      <c r="A81" s="950" t="s">
        <v>653</v>
      </c>
      <c r="B81" s="921" t="s">
        <v>780</v>
      </c>
      <c r="C81" s="921" t="s">
        <v>781</v>
      </c>
    </row>
    <row r="82" spans="1:3" ht="23.4" customHeight="1" x14ac:dyDescent="0.25">
      <c r="A82" s="1379" t="s">
        <v>499</v>
      </c>
      <c r="B82" s="1380"/>
      <c r="C82" s="1381"/>
    </row>
    <row r="83" spans="1:3" ht="24" customHeight="1" x14ac:dyDescent="0.25">
      <c r="A83" s="972">
        <v>3.1</v>
      </c>
      <c r="B83" s="972" t="s">
        <v>500</v>
      </c>
      <c r="C83" s="972"/>
    </row>
    <row r="84" spans="1:3" ht="24" customHeight="1" x14ac:dyDescent="0.25">
      <c r="A84" s="922"/>
      <c r="B84" s="1336" t="s">
        <v>682</v>
      </c>
      <c r="C84" s="1337"/>
    </row>
    <row r="85" spans="1:3" ht="36" x14ac:dyDescent="0.25">
      <c r="A85" s="950" t="s">
        <v>476</v>
      </c>
      <c r="B85" s="921" t="s">
        <v>782</v>
      </c>
      <c r="C85" s="965" t="s">
        <v>566</v>
      </c>
    </row>
    <row r="86" spans="1:3" x14ac:dyDescent="0.25">
      <c r="A86" s="950" t="s">
        <v>477</v>
      </c>
      <c r="B86" s="965" t="s">
        <v>568</v>
      </c>
      <c r="C86" s="965" t="s">
        <v>567</v>
      </c>
    </row>
    <row r="87" spans="1:3" ht="24" x14ac:dyDescent="0.25">
      <c r="A87" s="950" t="s">
        <v>478</v>
      </c>
      <c r="B87" s="1038" t="s">
        <v>676</v>
      </c>
      <c r="C87" s="1039" t="s">
        <v>679</v>
      </c>
    </row>
    <row r="88" spans="1:3" ht="24" x14ac:dyDescent="0.25">
      <c r="A88" s="950" t="s">
        <v>479</v>
      </c>
      <c r="B88" s="1038" t="s">
        <v>677</v>
      </c>
      <c r="C88" s="1039" t="s">
        <v>680</v>
      </c>
    </row>
    <row r="89" spans="1:3" ht="24" x14ac:dyDescent="0.25">
      <c r="A89" s="950" t="s">
        <v>480</v>
      </c>
      <c r="B89" s="1041" t="s">
        <v>678</v>
      </c>
      <c r="C89" s="1039" t="s">
        <v>681</v>
      </c>
    </row>
    <row r="90" spans="1:3" ht="24.6" customHeight="1" x14ac:dyDescent="0.25">
      <c r="A90" s="988">
        <v>3.2</v>
      </c>
      <c r="B90" s="972" t="s">
        <v>501</v>
      </c>
      <c r="C90" s="972"/>
    </row>
    <row r="91" spans="1:3" s="1043" customFormat="1" ht="24.6" customHeight="1" x14ac:dyDescent="0.25">
      <c r="A91" s="1042"/>
      <c r="B91" s="1338" t="s">
        <v>683</v>
      </c>
      <c r="C91" s="1339"/>
    </row>
    <row r="92" spans="1:3" ht="36" x14ac:dyDescent="0.25">
      <c r="A92" s="950" t="s">
        <v>475</v>
      </c>
      <c r="B92" s="921" t="s">
        <v>783</v>
      </c>
      <c r="C92" s="965" t="s">
        <v>565</v>
      </c>
    </row>
    <row r="93" spans="1:3" ht="33.75" customHeight="1" x14ac:dyDescent="0.25">
      <c r="A93" s="950" t="s">
        <v>493</v>
      </c>
      <c r="B93" s="1039" t="s">
        <v>583</v>
      </c>
      <c r="C93" s="921" t="s">
        <v>784</v>
      </c>
    </row>
    <row r="94" spans="1:3" ht="45" customHeight="1" x14ac:dyDescent="0.25">
      <c r="A94" s="950" t="s">
        <v>569</v>
      </c>
      <c r="B94" s="965" t="s">
        <v>578</v>
      </c>
      <c r="C94" s="965" t="s">
        <v>553</v>
      </c>
    </row>
    <row r="95" spans="1:3" ht="27" customHeight="1" x14ac:dyDescent="0.25">
      <c r="A95" s="950" t="s">
        <v>570</v>
      </c>
      <c r="B95" s="965" t="s">
        <v>576</v>
      </c>
      <c r="C95" s="965"/>
    </row>
    <row r="96" spans="1:3" ht="13.95" customHeight="1" x14ac:dyDescent="0.25">
      <c r="A96" s="950" t="s">
        <v>577</v>
      </c>
      <c r="B96" s="965" t="s">
        <v>654</v>
      </c>
      <c r="C96" s="965" t="s">
        <v>655</v>
      </c>
    </row>
    <row r="97" spans="1:3" ht="14.4" customHeight="1" x14ac:dyDescent="0.25">
      <c r="A97" s="972" t="s">
        <v>473</v>
      </c>
      <c r="B97" s="972" t="s">
        <v>502</v>
      </c>
      <c r="C97" s="972"/>
    </row>
    <row r="98" spans="1:3" ht="14.4" customHeight="1" x14ac:dyDescent="0.25">
      <c r="A98" s="972"/>
      <c r="B98" s="1340" t="s">
        <v>684</v>
      </c>
      <c r="C98" s="1341"/>
    </row>
    <row r="99" spans="1:3" ht="24.75" customHeight="1" x14ac:dyDescent="0.25">
      <c r="A99" s="1050" t="s">
        <v>603</v>
      </c>
      <c r="B99" s="965" t="s">
        <v>579</v>
      </c>
      <c r="C99" s="965" t="s">
        <v>580</v>
      </c>
    </row>
    <row r="100" spans="1:3" ht="24.75" customHeight="1" x14ac:dyDescent="0.25">
      <c r="A100" s="1050"/>
      <c r="B100" s="1342" t="s">
        <v>697</v>
      </c>
      <c r="C100" s="1343"/>
    </row>
    <row r="101" spans="1:3" ht="24" x14ac:dyDescent="0.25">
      <c r="A101" s="1050" t="s">
        <v>689</v>
      </c>
      <c r="B101" s="1038" t="s">
        <v>692</v>
      </c>
      <c r="C101" s="1039" t="s">
        <v>696</v>
      </c>
    </row>
    <row r="102" spans="1:3" ht="24" x14ac:dyDescent="0.25">
      <c r="A102" s="1050" t="s">
        <v>690</v>
      </c>
      <c r="B102" s="1060" t="s">
        <v>693</v>
      </c>
      <c r="C102" s="1039" t="s">
        <v>680</v>
      </c>
    </row>
    <row r="103" spans="1:3" ht="24.75" customHeight="1" x14ac:dyDescent="0.25">
      <c r="A103" s="1050" t="s">
        <v>691</v>
      </c>
      <c r="B103" s="1038" t="s">
        <v>694</v>
      </c>
      <c r="C103" s="1039" t="s">
        <v>695</v>
      </c>
    </row>
  </sheetData>
  <mergeCells count="20">
    <mergeCell ref="B91:C91"/>
    <mergeCell ref="B98:C98"/>
    <mergeCell ref="B100:C100"/>
    <mergeCell ref="A60:B60"/>
    <mergeCell ref="B62:C62"/>
    <mergeCell ref="B74:C74"/>
    <mergeCell ref="B75:C75"/>
    <mergeCell ref="B84:C84"/>
    <mergeCell ref="B61:C61"/>
    <mergeCell ref="A82:C82"/>
    <mergeCell ref="B32:C32"/>
    <mergeCell ref="B33:C33"/>
    <mergeCell ref="B45:C45"/>
    <mergeCell ref="B46:C46"/>
    <mergeCell ref="B54:C54"/>
    <mergeCell ref="B6:C6"/>
    <mergeCell ref="B7:C7"/>
    <mergeCell ref="B19:C19"/>
    <mergeCell ref="A5:C5"/>
    <mergeCell ref="A3:B3"/>
  </mergeCells>
  <pageMargins left="0.25" right="0.25" top="0.75" bottom="0.75" header="0.3" footer="0.3"/>
  <pageSetup scale="6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J49"/>
  <sheetViews>
    <sheetView showGridLines="0" zoomScale="80" zoomScaleNormal="80" workbookViewId="0">
      <selection activeCell="D17" sqref="D17"/>
    </sheetView>
  </sheetViews>
  <sheetFormatPr defaultColWidth="11.44140625" defaultRowHeight="13.2" x14ac:dyDescent="0.25"/>
  <cols>
    <col min="1" max="1" width="2.5546875" style="1" customWidth="1"/>
    <col min="2" max="2" width="2.109375" style="1" customWidth="1"/>
    <col min="3" max="3" width="6" style="1" bestFit="1" customWidth="1"/>
    <col min="4" max="4" width="89.109375" style="1" bestFit="1" customWidth="1"/>
    <col min="5" max="5" width="12.88671875" style="1" customWidth="1"/>
    <col min="6" max="6" width="17" style="1" bestFit="1" customWidth="1"/>
    <col min="7" max="7" width="19.109375" style="1" bestFit="1" customWidth="1"/>
    <col min="8" max="10" width="16.33203125" style="1" bestFit="1" customWidth="1"/>
    <col min="11" max="12" width="17.44140625" style="1" bestFit="1" customWidth="1"/>
    <col min="13" max="13" width="22" style="1" bestFit="1" customWidth="1"/>
    <col min="14" max="14" width="16.33203125" style="1" bestFit="1" customWidth="1"/>
    <col min="15" max="15" width="11.44140625" style="1"/>
    <col min="16" max="16" width="13.5546875" style="1" bestFit="1" customWidth="1"/>
    <col min="17" max="17" width="16.5546875" style="1" bestFit="1" customWidth="1"/>
    <col min="18" max="18" width="17.44140625" style="1" bestFit="1" customWidth="1"/>
    <col min="19" max="19" width="15.109375" style="1" bestFit="1" customWidth="1"/>
    <col min="20" max="20" width="13.5546875" style="1" bestFit="1" customWidth="1"/>
    <col min="21" max="16384" width="11.44140625" style="1"/>
  </cols>
  <sheetData>
    <row r="2" spans="1:36" s="173" customFormat="1" ht="21" x14ac:dyDescent="0.4">
      <c r="D2" s="374" t="s">
        <v>266</v>
      </c>
    </row>
    <row r="3" spans="1:36" s="173" customFormat="1" ht="20.399999999999999" x14ac:dyDescent="0.35">
      <c r="D3" s="377" t="s">
        <v>468</v>
      </c>
    </row>
    <row r="4" spans="1:36" s="173" customFormat="1" ht="13.8" thickBot="1" x14ac:dyDescent="0.3"/>
    <row r="5" spans="1:36" s="2" customFormat="1" ht="14.4" thickBot="1" x14ac:dyDescent="0.3">
      <c r="D5" s="1238" t="s">
        <v>0</v>
      </c>
      <c r="E5" s="1239"/>
      <c r="F5" s="1239"/>
      <c r="G5" s="1239"/>
      <c r="H5" s="1239"/>
      <c r="I5" s="1239"/>
      <c r="J5" s="1239"/>
      <c r="K5" s="1240"/>
      <c r="L5" s="3"/>
      <c r="M5" s="3"/>
      <c r="N5" s="3"/>
      <c r="O5" s="3"/>
      <c r="P5" s="4"/>
    </row>
    <row r="6" spans="1:36" s="2" customFormat="1" ht="65.25" customHeight="1" thickBot="1" x14ac:dyDescent="0.3">
      <c r="D6" s="1241" t="s">
        <v>829</v>
      </c>
      <c r="E6" s="1242"/>
      <c r="F6" s="1242"/>
      <c r="G6" s="1242"/>
      <c r="H6" s="1242"/>
      <c r="I6" s="1242"/>
      <c r="J6" s="1242"/>
      <c r="K6" s="1243"/>
      <c r="L6" s="5"/>
      <c r="M6" s="5"/>
      <c r="N6" s="5"/>
      <c r="O6" s="5"/>
      <c r="P6" s="6"/>
      <c r="Q6" s="7"/>
      <c r="R6" s="7"/>
      <c r="S6" s="7"/>
      <c r="V6" s="7"/>
      <c r="W6" s="7"/>
      <c r="X6" s="7"/>
      <c r="Y6" s="7"/>
      <c r="Z6" s="7"/>
      <c r="AA6" s="7"/>
      <c r="AB6" s="7"/>
      <c r="AC6" s="7"/>
      <c r="AD6" s="7"/>
      <c r="AE6" s="7"/>
      <c r="AF6" s="7"/>
      <c r="AG6" s="7"/>
      <c r="AH6" s="7"/>
      <c r="AI6" s="7"/>
      <c r="AJ6" s="7"/>
    </row>
    <row r="7" spans="1:36" s="2" customFormat="1" ht="13.8" thickBot="1" x14ac:dyDescent="0.3">
      <c r="D7" s="128"/>
      <c r="E7" s="128"/>
      <c r="F7" s="128"/>
      <c r="G7" s="128"/>
      <c r="H7" s="128"/>
      <c r="I7" s="5"/>
      <c r="J7" s="5"/>
      <c r="K7" s="5"/>
      <c r="L7" s="5"/>
      <c r="M7" s="5"/>
      <c r="N7" s="5"/>
      <c r="O7" s="5"/>
      <c r="P7" s="6"/>
      <c r="Q7" s="7"/>
      <c r="R7" s="7"/>
      <c r="S7" s="7"/>
      <c r="V7" s="7"/>
      <c r="W7" s="7"/>
      <c r="X7" s="7"/>
      <c r="Y7" s="7"/>
      <c r="Z7" s="7"/>
      <c r="AA7" s="7"/>
      <c r="AB7" s="7"/>
      <c r="AC7" s="7"/>
      <c r="AD7" s="7"/>
      <c r="AE7" s="7"/>
      <c r="AF7" s="7"/>
      <c r="AG7" s="7"/>
      <c r="AH7" s="7"/>
      <c r="AI7" s="7"/>
      <c r="AJ7" s="7"/>
    </row>
    <row r="8" spans="1:36" s="2" customFormat="1" ht="14.4" thickBot="1" x14ac:dyDescent="0.3">
      <c r="D8" s="124" t="s">
        <v>74</v>
      </c>
      <c r="E8" s="122" t="s">
        <v>68</v>
      </c>
      <c r="F8" s="1229">
        <f>F36</f>
        <v>15376139.75</v>
      </c>
      <c r="G8" s="1229">
        <f>G36</f>
        <v>17932749.375</v>
      </c>
      <c r="H8" s="1229">
        <f>H36</f>
        <v>11727513.51</v>
      </c>
      <c r="I8" s="1229">
        <f>I36</f>
        <v>4338597.75</v>
      </c>
      <c r="J8" s="129">
        <f>J36</f>
        <v>625000</v>
      </c>
      <c r="K8" s="1119">
        <f>SUM(F8:J8)</f>
        <v>50000000.384999998</v>
      </c>
      <c r="L8" s="904" t="str">
        <f>IF(NOT(K8=125000000),"El valor total debe coincidir con el valor total del préstamo (USD 50.000.000)"," ")</f>
        <v>El valor total debe coincidir con el valor total del préstamo (USD 50.000.000)</v>
      </c>
      <c r="M8" s="5"/>
      <c r="N8" s="5"/>
      <c r="O8" s="5"/>
      <c r="P8" s="6"/>
      <c r="Q8" s="7"/>
      <c r="R8" s="7"/>
      <c r="S8" s="7"/>
      <c r="V8" s="7"/>
      <c r="W8" s="7"/>
      <c r="X8" s="7"/>
      <c r="Y8" s="7"/>
      <c r="Z8" s="7"/>
      <c r="AA8" s="7"/>
      <c r="AB8" s="7"/>
      <c r="AC8" s="7"/>
      <c r="AD8" s="7"/>
      <c r="AE8" s="7"/>
      <c r="AF8" s="7"/>
      <c r="AG8" s="7"/>
      <c r="AH8" s="7"/>
      <c r="AI8" s="7"/>
      <c r="AJ8" s="7"/>
    </row>
    <row r="9" spans="1:36" ht="13.8" thickBot="1" x14ac:dyDescent="0.3"/>
    <row r="10" spans="1:36" ht="15" customHeight="1" x14ac:dyDescent="0.25">
      <c r="D10" s="1231" t="s">
        <v>626</v>
      </c>
      <c r="E10" s="1232"/>
      <c r="F10" s="1232"/>
      <c r="G10" s="1232"/>
      <c r="H10" s="1232"/>
      <c r="I10" s="1232"/>
      <c r="J10" s="1232"/>
      <c r="K10" s="1233"/>
      <c r="L10" s="112"/>
    </row>
    <row r="11" spans="1:36" ht="15" customHeight="1" thickBot="1" x14ac:dyDescent="0.3">
      <c r="D11" s="1234"/>
      <c r="E11" s="1235"/>
      <c r="F11" s="1235"/>
      <c r="G11" s="1235"/>
      <c r="H11" s="1235"/>
      <c r="I11" s="1235"/>
      <c r="J11" s="1235"/>
      <c r="K11" s="1237"/>
      <c r="L11" s="112"/>
    </row>
    <row r="12" spans="1:36" ht="27" thickBot="1" x14ac:dyDescent="0.3">
      <c r="D12" s="127" t="s">
        <v>15</v>
      </c>
      <c r="E12" s="51" t="s">
        <v>3</v>
      </c>
      <c r="F12" s="48" t="s">
        <v>8</v>
      </c>
      <c r="G12" s="49" t="s">
        <v>9</v>
      </c>
      <c r="H12" s="49" t="s">
        <v>10</v>
      </c>
      <c r="I12" s="49" t="s">
        <v>11</v>
      </c>
      <c r="J12" s="52" t="s">
        <v>12</v>
      </c>
      <c r="K12" s="51" t="s">
        <v>67</v>
      </c>
      <c r="L12" s="112"/>
    </row>
    <row r="13" spans="1:36" ht="13.8" x14ac:dyDescent="0.25">
      <c r="A13" s="112"/>
      <c r="B13" s="112"/>
      <c r="C13" s="830">
        <v>1</v>
      </c>
      <c r="D13" s="246" t="s">
        <v>628</v>
      </c>
      <c r="E13" s="126" t="s">
        <v>68</v>
      </c>
      <c r="F13" s="1230">
        <v>7306000</v>
      </c>
      <c r="G13" s="1230">
        <v>7158536.875</v>
      </c>
      <c r="H13" s="1230">
        <v>4105663.76</v>
      </c>
      <c r="I13" s="1230">
        <v>622416</v>
      </c>
      <c r="J13" s="1230">
        <v>450000</v>
      </c>
      <c r="K13" s="819">
        <f t="shared" ref="K13:K23" si="0">+F13+G13+H13+I13+J13</f>
        <v>19642616.634999998</v>
      </c>
      <c r="L13" s="1223"/>
      <c r="M13" s="1224"/>
      <c r="N13" s="1224"/>
      <c r="O13" s="1224"/>
      <c r="P13" s="1224"/>
      <c r="Q13" s="1224"/>
      <c r="R13" s="1224"/>
    </row>
    <row r="14" spans="1:36" ht="13.8" x14ac:dyDescent="0.25">
      <c r="A14" s="112"/>
      <c r="B14" s="112"/>
      <c r="C14" s="830">
        <v>2</v>
      </c>
      <c r="D14" s="246" t="s">
        <v>629</v>
      </c>
      <c r="E14" s="118" t="s">
        <v>68</v>
      </c>
      <c r="F14" s="1230">
        <v>397378.5</v>
      </c>
      <c r="G14" s="1230">
        <v>854178</v>
      </c>
      <c r="H14" s="1230">
        <v>854178</v>
      </c>
      <c r="I14" s="1230">
        <v>854178</v>
      </c>
      <c r="J14" s="1230">
        <v>0</v>
      </c>
      <c r="K14" s="819">
        <f t="shared" si="0"/>
        <v>2959912.5</v>
      </c>
      <c r="L14" s="1223"/>
      <c r="M14" s="1224"/>
      <c r="N14" s="1224"/>
      <c r="O14" s="1224"/>
      <c r="P14" s="1224"/>
      <c r="Q14" s="1224"/>
      <c r="R14" s="1224"/>
    </row>
    <row r="15" spans="1:36" ht="13.8" x14ac:dyDescent="0.25">
      <c r="A15" s="112"/>
      <c r="B15" s="112"/>
      <c r="C15" s="830">
        <v>3</v>
      </c>
      <c r="D15" s="1158" t="s">
        <v>851</v>
      </c>
      <c r="E15" s="118" t="s">
        <v>68</v>
      </c>
      <c r="F15" s="1230">
        <v>288348.75</v>
      </c>
      <c r="G15" s="1230">
        <v>348348.75</v>
      </c>
      <c r="H15" s="1230">
        <v>348348.75</v>
      </c>
      <c r="I15" s="1230">
        <v>288348.75</v>
      </c>
      <c r="J15" s="1230">
        <v>0</v>
      </c>
      <c r="K15" s="819">
        <f t="shared" si="0"/>
        <v>1273395</v>
      </c>
      <c r="L15" s="1223"/>
      <c r="M15" s="1224"/>
      <c r="N15" s="1224"/>
      <c r="O15" s="1224"/>
      <c r="P15" s="1224"/>
      <c r="Q15" s="1224"/>
      <c r="R15" s="1224"/>
      <c r="S15" s="831"/>
    </row>
    <row r="16" spans="1:36" ht="13.8" x14ac:dyDescent="0.25">
      <c r="A16" s="112"/>
      <c r="B16" s="112"/>
      <c r="C16" s="830">
        <v>4</v>
      </c>
      <c r="D16" s="246" t="s">
        <v>573</v>
      </c>
      <c r="E16" s="118" t="s">
        <v>68</v>
      </c>
      <c r="F16" s="1230">
        <v>1052127.5</v>
      </c>
      <c r="G16" s="1230">
        <v>1073127.5</v>
      </c>
      <c r="H16" s="1230">
        <v>273127.5</v>
      </c>
      <c r="I16" s="1230">
        <v>210127.5</v>
      </c>
      <c r="J16" s="1230">
        <v>0</v>
      </c>
      <c r="K16" s="819">
        <f t="shared" si="0"/>
        <v>2608510</v>
      </c>
      <c r="L16" s="1223"/>
      <c r="M16" s="1224"/>
      <c r="N16" s="1224"/>
      <c r="O16" s="1224"/>
      <c r="P16" s="1224"/>
      <c r="Q16" s="1224"/>
      <c r="R16" s="1224"/>
      <c r="S16" s="831"/>
    </row>
    <row r="17" spans="1:20" s="173" customFormat="1" ht="13.8" x14ac:dyDescent="0.25">
      <c r="A17" s="112"/>
      <c r="B17" s="112"/>
      <c r="C17" s="830">
        <v>5</v>
      </c>
      <c r="D17" s="246" t="s">
        <v>842</v>
      </c>
      <c r="E17" s="118" t="s">
        <v>68</v>
      </c>
      <c r="F17" s="1230">
        <v>96170</v>
      </c>
      <c r="G17" s="1230">
        <v>44896.25</v>
      </c>
      <c r="H17" s="1230">
        <v>30352.5</v>
      </c>
      <c r="I17" s="1230">
        <v>30352.5</v>
      </c>
      <c r="J17" s="1230">
        <v>0</v>
      </c>
      <c r="K17" s="819">
        <f t="shared" si="0"/>
        <v>201771.25</v>
      </c>
      <c r="L17" s="1225">
        <f>R17-K13-K14-K15-K16-K17</f>
        <v>0</v>
      </c>
      <c r="M17" s="1224" t="str">
        <f>IF(NOT(K24=5700000),"El valor total debe coincidir con el valor total de la Componente 1 (USD 26,686,205)"," ")</f>
        <v>El valor total debe coincidir con el valor total de la Componente 1 (USD 26,686,205)</v>
      </c>
      <c r="N17" s="1224"/>
      <c r="O17" s="1224"/>
      <c r="P17" s="1224"/>
      <c r="Q17" s="1224"/>
      <c r="R17" s="1228">
        <f>+'ACTIVIDADES ANEXOS POD'!Q122+'ACTIVIDADES ANEXOS POD'!Q123+'ACTIVIDADES ANEXOS POD'!Q124+'ACTIVIDADES ANEXOS POD'!Q125+'ACTIVIDADES ANEXOS POD'!Q126</f>
        <v>26686205.384999998</v>
      </c>
      <c r="S17" s="831"/>
      <c r="T17" s="1"/>
    </row>
    <row r="18" spans="1:20" s="173" customFormat="1" ht="13.8" x14ac:dyDescent="0.25">
      <c r="A18" s="112"/>
      <c r="B18" s="112"/>
      <c r="C18" s="830">
        <v>6</v>
      </c>
      <c r="D18" s="1158" t="s">
        <v>582</v>
      </c>
      <c r="E18" s="118" t="s">
        <v>68</v>
      </c>
      <c r="F18" s="1230">
        <v>1808454.75</v>
      </c>
      <c r="G18" s="1230">
        <v>2302142.5</v>
      </c>
      <c r="H18" s="1230">
        <v>2797262.5</v>
      </c>
      <c r="I18" s="1230">
        <v>56533.5</v>
      </c>
      <c r="J18" s="1230">
        <v>0</v>
      </c>
      <c r="K18" s="819">
        <f t="shared" si="0"/>
        <v>6964393.25</v>
      </c>
      <c r="L18" s="1224"/>
      <c r="M18" s="1224"/>
      <c r="N18" s="1224"/>
      <c r="O18" s="1224"/>
      <c r="P18" s="1224"/>
      <c r="Q18" s="1224"/>
      <c r="R18" s="1224"/>
    </row>
    <row r="19" spans="1:20" s="173" customFormat="1" ht="13.8" x14ac:dyDescent="0.25">
      <c r="A19" s="112"/>
      <c r="B19" s="112"/>
      <c r="C19" s="830">
        <v>7</v>
      </c>
      <c r="D19" s="1158" t="s">
        <v>631</v>
      </c>
      <c r="E19" s="118" t="s">
        <v>68</v>
      </c>
      <c r="F19" s="1230">
        <v>1539657.5</v>
      </c>
      <c r="G19" s="1230">
        <v>1580910</v>
      </c>
      <c r="H19" s="1230">
        <v>761100</v>
      </c>
      <c r="I19" s="1230">
        <v>0</v>
      </c>
      <c r="J19" s="1230">
        <v>0</v>
      </c>
      <c r="K19" s="819">
        <f t="shared" si="0"/>
        <v>3881667.5</v>
      </c>
      <c r="L19" s="1226">
        <f>+K18+K19-R20</f>
        <v>0</v>
      </c>
      <c r="M19" s="1224"/>
      <c r="N19" s="1224"/>
      <c r="O19" s="1224"/>
      <c r="P19" s="1224"/>
      <c r="Q19" s="1224"/>
      <c r="R19" s="1224"/>
      <c r="S19" s="831"/>
      <c r="T19" s="831"/>
    </row>
    <row r="20" spans="1:20" s="173" customFormat="1" ht="13.8" x14ac:dyDescent="0.25">
      <c r="A20" s="112"/>
      <c r="B20" s="112"/>
      <c r="C20" s="830">
        <v>8</v>
      </c>
      <c r="D20" s="1158" t="s">
        <v>828</v>
      </c>
      <c r="E20" s="118" t="s">
        <v>68</v>
      </c>
      <c r="F20" s="1230">
        <v>341841.75</v>
      </c>
      <c r="G20" s="1230">
        <v>482982</v>
      </c>
      <c r="H20" s="1230">
        <v>315663</v>
      </c>
      <c r="I20" s="1230">
        <v>174525</v>
      </c>
      <c r="J20" s="1230">
        <v>0</v>
      </c>
      <c r="K20" s="819">
        <f t="shared" si="0"/>
        <v>1315011.75</v>
      </c>
      <c r="L20" s="1224"/>
      <c r="M20" s="1224" t="str">
        <f>IF(NOT(K29=9950000),"El valor total debe coincidir con el valor total del componente 2 (USD 10.846,061)"," ")</f>
        <v>El valor total debe coincidir con el valor total del componente 2 (USD 10.846,061)</v>
      </c>
      <c r="N20" s="1224"/>
      <c r="O20" s="1224"/>
      <c r="P20" s="1224"/>
      <c r="Q20" s="1224"/>
      <c r="R20" s="1228">
        <f>+'ACTIVIDADES ANEXOS POD'!Q127+'ACTIVIDADES ANEXOS POD'!Q128</f>
        <v>10846060.75</v>
      </c>
    </row>
    <row r="21" spans="1:20" s="173" customFormat="1" ht="13.8" x14ac:dyDescent="0.25">
      <c r="A21" s="112"/>
      <c r="B21" s="112"/>
      <c r="C21" s="830">
        <v>9</v>
      </c>
      <c r="D21" s="1158" t="s">
        <v>574</v>
      </c>
      <c r="E21" s="118" t="s">
        <v>68</v>
      </c>
      <c r="F21" s="1230">
        <v>312058.5</v>
      </c>
      <c r="G21" s="1230">
        <v>1968058.5</v>
      </c>
      <c r="H21" s="1230">
        <v>162058.5</v>
      </c>
      <c r="I21" s="1230">
        <v>52357.5</v>
      </c>
      <c r="J21" s="1230">
        <v>0</v>
      </c>
      <c r="K21" s="819">
        <f t="shared" si="0"/>
        <v>2494533</v>
      </c>
      <c r="L21" s="1224"/>
      <c r="M21" s="1224"/>
      <c r="N21" s="1224"/>
      <c r="O21" s="1224"/>
      <c r="P21" s="1224"/>
      <c r="Q21" s="1224"/>
      <c r="R21" s="1224"/>
    </row>
    <row r="22" spans="1:20" s="173" customFormat="1" ht="13.8" x14ac:dyDescent="0.25">
      <c r="A22" s="112"/>
      <c r="B22" s="112"/>
      <c r="C22" s="830">
        <v>10</v>
      </c>
      <c r="D22" s="1158" t="s">
        <v>632</v>
      </c>
      <c r="E22" s="118" t="s">
        <v>68</v>
      </c>
      <c r="F22" s="1230">
        <v>1338552</v>
      </c>
      <c r="G22" s="1230">
        <v>1338552</v>
      </c>
      <c r="H22" s="1230">
        <v>1338552</v>
      </c>
      <c r="I22" s="1230">
        <v>1338552</v>
      </c>
      <c r="J22" s="1230">
        <v>0</v>
      </c>
      <c r="K22" s="819">
        <f t="shared" si="0"/>
        <v>5354208</v>
      </c>
      <c r="L22" s="1224"/>
      <c r="M22" s="1224"/>
      <c r="N22" s="1224"/>
      <c r="O22" s="1224"/>
      <c r="P22" s="1224"/>
      <c r="Q22" s="1224"/>
      <c r="R22" s="1224"/>
    </row>
    <row r="23" spans="1:20" s="173" customFormat="1" ht="14.4" thickBot="1" x14ac:dyDescent="0.3">
      <c r="A23" s="112"/>
      <c r="B23" s="112"/>
      <c r="C23" s="830">
        <v>11</v>
      </c>
      <c r="D23" s="246" t="s">
        <v>633</v>
      </c>
      <c r="E23" s="118" t="s">
        <v>68</v>
      </c>
      <c r="F23" s="1230">
        <v>281517</v>
      </c>
      <c r="G23" s="1230">
        <v>281517</v>
      </c>
      <c r="H23" s="1230">
        <v>211707</v>
      </c>
      <c r="I23" s="1230">
        <v>211707</v>
      </c>
      <c r="J23" s="1230">
        <v>0</v>
      </c>
      <c r="K23" s="819">
        <f t="shared" si="0"/>
        <v>986448</v>
      </c>
      <c r="L23" s="1225">
        <f>+K20+K21+K22+K23-R23</f>
        <v>0</v>
      </c>
      <c r="M23" s="1224" t="str">
        <f>IF(NOT(K30=9850000),"El valor total debe coincidir con el valor total del Componente 3 (USD 10,150,201)"," ")</f>
        <v>El valor total debe coincidir con el valor total del Componente 3 (USD 10,150,201)</v>
      </c>
      <c r="N23" s="1224"/>
      <c r="O23" s="1224"/>
      <c r="P23" s="1224"/>
      <c r="Q23" s="1224"/>
      <c r="R23" s="1228">
        <f>+'ACTIVIDADES ANEXOS POD'!Q129+'ACTIVIDADES ANEXOS POD'!Q130+'ACTIVIDADES ANEXOS POD'!Q131+'ACTIVIDADES ANEXOS POD'!Q132</f>
        <v>10150200.75</v>
      </c>
    </row>
    <row r="24" spans="1:20" ht="14.4" thickBot="1" x14ac:dyDescent="0.3">
      <c r="C24" s="316"/>
      <c r="D24" s="124" t="s">
        <v>67</v>
      </c>
      <c r="E24" s="122" t="s">
        <v>68</v>
      </c>
      <c r="F24" s="1229">
        <f t="shared" ref="F24:K24" si="1">SUM(F13:F23)</f>
        <v>14762106.25</v>
      </c>
      <c r="G24" s="1229">
        <f t="shared" si="1"/>
        <v>17433249.375</v>
      </c>
      <c r="H24" s="1229">
        <f t="shared" si="1"/>
        <v>11198013.51</v>
      </c>
      <c r="I24" s="1229">
        <f t="shared" si="1"/>
        <v>3839097.75</v>
      </c>
      <c r="J24" s="138">
        <f t="shared" si="1"/>
        <v>450000</v>
      </c>
      <c r="K24" s="1119">
        <f t="shared" si="1"/>
        <v>47682466.884999998</v>
      </c>
      <c r="L24" s="1226">
        <f>50000000-K24-K33</f>
        <v>-0.38499999791383743</v>
      </c>
      <c r="M24" s="1223"/>
      <c r="N24" s="1224"/>
      <c r="O24" s="1224"/>
      <c r="P24" s="1224"/>
      <c r="Q24" s="1224"/>
      <c r="R24" s="1224"/>
    </row>
    <row r="25" spans="1:20" ht="15" thickBot="1" x14ac:dyDescent="0.3">
      <c r="C25" s="316"/>
      <c r="D25" s="34"/>
      <c r="F25" s="142"/>
      <c r="G25" s="142"/>
      <c r="H25" s="142"/>
      <c r="I25" s="142"/>
      <c r="J25" s="142"/>
      <c r="L25" s="1224"/>
      <c r="M25" s="1223"/>
      <c r="N25" s="1224"/>
      <c r="O25" s="1224"/>
      <c r="P25" s="1224"/>
      <c r="Q25" s="1227"/>
      <c r="R25" s="1224"/>
    </row>
    <row r="26" spans="1:20" x14ac:dyDescent="0.25">
      <c r="A26" s="112"/>
      <c r="B26" s="112"/>
      <c r="C26" s="112"/>
      <c r="D26" s="1231" t="s">
        <v>69</v>
      </c>
      <c r="E26" s="1232"/>
      <c r="F26" s="1232"/>
      <c r="G26" s="1232"/>
      <c r="H26" s="1232"/>
      <c r="I26" s="1232"/>
      <c r="J26" s="1232"/>
      <c r="K26" s="1233"/>
      <c r="M26" s="323"/>
      <c r="Q26" s="834"/>
      <c r="R26" s="173"/>
    </row>
    <row r="27" spans="1:20" ht="13.8" thickBot="1" x14ac:dyDescent="0.3">
      <c r="A27" s="112"/>
      <c r="B27" s="112"/>
      <c r="C27" s="112"/>
      <c r="D27" s="1234"/>
      <c r="E27" s="1235"/>
      <c r="F27" s="1235"/>
      <c r="G27" s="1235"/>
      <c r="H27" s="1235"/>
      <c r="I27" s="1235"/>
      <c r="J27" s="1235"/>
      <c r="K27" s="1236"/>
      <c r="M27" s="833"/>
      <c r="Q27" s="834"/>
    </row>
    <row r="28" spans="1:20" ht="27" thickBot="1" x14ac:dyDescent="0.3">
      <c r="D28" s="127" t="s">
        <v>71</v>
      </c>
      <c r="E28" s="51" t="s">
        <v>3</v>
      </c>
      <c r="F28" s="48" t="s">
        <v>8</v>
      </c>
      <c r="G28" s="49" t="s">
        <v>9</v>
      </c>
      <c r="H28" s="49" t="s">
        <v>10</v>
      </c>
      <c r="I28" s="49" t="s">
        <v>11</v>
      </c>
      <c r="J28" s="52" t="s">
        <v>12</v>
      </c>
      <c r="K28" s="51" t="s">
        <v>67</v>
      </c>
      <c r="L28" s="112"/>
      <c r="M28" s="901" t="s">
        <v>702</v>
      </c>
      <c r="N28" s="902">
        <f>+SUM(F13:G17)+2160000</f>
        <v>20779112.125</v>
      </c>
      <c r="Q28" s="834"/>
    </row>
    <row r="29" spans="1:20" ht="13.8" x14ac:dyDescent="0.25">
      <c r="D29" s="61" t="s">
        <v>634</v>
      </c>
      <c r="E29" s="118" t="s">
        <v>68</v>
      </c>
      <c r="F29" s="1120">
        <v>614033.5</v>
      </c>
      <c r="G29" s="1120">
        <v>489500</v>
      </c>
      <c r="H29" s="1120">
        <v>489500</v>
      </c>
      <c r="I29" s="1120">
        <v>489500</v>
      </c>
      <c r="J29" s="1120">
        <v>0</v>
      </c>
      <c r="K29" s="819">
        <f>SUM(F29:J29)</f>
        <v>2082533.5</v>
      </c>
      <c r="M29" s="903" t="s">
        <v>703</v>
      </c>
      <c r="N29" s="903">
        <f>SUM(F18:G19)</f>
        <v>7231164.75</v>
      </c>
      <c r="Q29" s="834"/>
      <c r="S29" s="142"/>
    </row>
    <row r="30" spans="1:20" ht="13.8" x14ac:dyDescent="0.25">
      <c r="D30" s="61" t="s">
        <v>635</v>
      </c>
      <c r="E30" s="118" t="s">
        <v>68</v>
      </c>
      <c r="F30" s="375">
        <v>0</v>
      </c>
      <c r="G30" s="375">
        <v>0</v>
      </c>
      <c r="H30" s="375">
        <v>30000</v>
      </c>
      <c r="I30" s="375">
        <v>0</v>
      </c>
      <c r="J30" s="375">
        <v>40000</v>
      </c>
      <c r="K30" s="819">
        <f>SUM(F30:J30)</f>
        <v>70000</v>
      </c>
      <c r="M30" s="904" t="s">
        <v>704</v>
      </c>
      <c r="N30" s="903">
        <f>SUM(F20:G23)</f>
        <v>6345078.75</v>
      </c>
      <c r="Q30" s="834"/>
      <c r="R30" s="142"/>
      <c r="S30" s="142"/>
    </row>
    <row r="31" spans="1:20" s="173" customFormat="1" ht="13.8" x14ac:dyDescent="0.25">
      <c r="D31" s="322" t="s">
        <v>686</v>
      </c>
      <c r="E31" s="118" t="s">
        <v>68</v>
      </c>
      <c r="F31" s="375"/>
      <c r="G31" s="375">
        <v>10000</v>
      </c>
      <c r="H31" s="375">
        <v>10000</v>
      </c>
      <c r="I31" s="375">
        <v>10000</v>
      </c>
      <c r="J31" s="375">
        <v>10000</v>
      </c>
      <c r="K31" s="819">
        <f>SUM(F31:J31)</f>
        <v>40000</v>
      </c>
      <c r="L31" s="139"/>
      <c r="M31" s="904" t="s">
        <v>705</v>
      </c>
      <c r="N31" s="903">
        <f>SUM(F29:G32)</f>
        <v>1113533.5</v>
      </c>
      <c r="Q31" s="834"/>
      <c r="R31" s="142"/>
      <c r="S31" s="142"/>
    </row>
    <row r="32" spans="1:20" ht="14.4" thickBot="1" x14ac:dyDescent="0.3">
      <c r="D32" s="1159" t="s">
        <v>73</v>
      </c>
      <c r="E32" s="118" t="s">
        <v>68</v>
      </c>
      <c r="F32" s="375"/>
      <c r="G32" s="375"/>
      <c r="H32" s="375"/>
      <c r="I32" s="375"/>
      <c r="J32" s="375">
        <v>125000</v>
      </c>
      <c r="K32" s="819">
        <f>SUM(F32:J32)</f>
        <v>125000</v>
      </c>
      <c r="L32" s="336"/>
      <c r="M32" s="904"/>
      <c r="N32" s="902">
        <f>SUM(N28:N31)</f>
        <v>35468889.125</v>
      </c>
      <c r="Q32" s="834"/>
      <c r="S32" s="142"/>
    </row>
    <row r="33" spans="4:19" ht="14.4" thickBot="1" x14ac:dyDescent="0.3">
      <c r="D33" s="124" t="s">
        <v>67</v>
      </c>
      <c r="E33" s="122" t="s">
        <v>68</v>
      </c>
      <c r="F33" s="129">
        <f t="shared" ref="F33:J33" si="2">SUM(F29:F32)</f>
        <v>614033.5</v>
      </c>
      <c r="G33" s="129">
        <f t="shared" si="2"/>
        <v>499500</v>
      </c>
      <c r="H33" s="129">
        <f t="shared" si="2"/>
        <v>529500</v>
      </c>
      <c r="I33" s="129">
        <f t="shared" si="2"/>
        <v>499500</v>
      </c>
      <c r="J33" s="138">
        <f t="shared" si="2"/>
        <v>175000</v>
      </c>
      <c r="K33" s="1119">
        <f>SUM(K29:K32)</f>
        <v>2317533.5</v>
      </c>
      <c r="M33" s="905"/>
      <c r="N33" s="904"/>
      <c r="Q33" s="834"/>
      <c r="R33" s="834"/>
      <c r="S33" s="142"/>
    </row>
    <row r="34" spans="4:19" x14ac:dyDescent="0.25">
      <c r="I34" s="142"/>
      <c r="J34" s="142"/>
      <c r="M34" s="904"/>
      <c r="N34" s="904"/>
    </row>
    <row r="35" spans="4:19" ht="13.8" thickBot="1" x14ac:dyDescent="0.3">
      <c r="M35" s="904"/>
      <c r="N35" s="902">
        <f>SUM(N32:N33)</f>
        <v>35468889.125</v>
      </c>
      <c r="P35" s="831"/>
      <c r="Q35" s="831"/>
    </row>
    <row r="36" spans="4:19" ht="14.4" thickBot="1" x14ac:dyDescent="0.3">
      <c r="D36" s="124" t="s">
        <v>74</v>
      </c>
      <c r="E36" s="122" t="s">
        <v>68</v>
      </c>
      <c r="F36" s="129">
        <f>F33+F24</f>
        <v>15376139.75</v>
      </c>
      <c r="G36" s="129">
        <f>G33+G24</f>
        <v>17932749.375</v>
      </c>
      <c r="H36" s="129">
        <f>H33+H24</f>
        <v>11727513.51</v>
      </c>
      <c r="I36" s="129">
        <f>I33+I24</f>
        <v>4338597.75</v>
      </c>
      <c r="J36" s="129">
        <f>J33+J24</f>
        <v>625000</v>
      </c>
      <c r="K36" s="1119">
        <f>SUM(F36:J36)</f>
        <v>50000000.384999998</v>
      </c>
      <c r="L36" s="139"/>
    </row>
    <row r="37" spans="4:19" x14ac:dyDescent="0.25">
      <c r="L37" s="142"/>
    </row>
    <row r="38" spans="4:19" x14ac:dyDescent="0.25">
      <c r="F38" s="832"/>
      <c r="K38" s="1121"/>
    </row>
    <row r="39" spans="4:19" x14ac:dyDescent="0.25">
      <c r="F39" s="142"/>
    </row>
    <row r="44" spans="4:19" x14ac:dyDescent="0.25">
      <c r="K44" s="173"/>
    </row>
    <row r="47" spans="4:19" x14ac:dyDescent="0.25">
      <c r="K47" s="1122"/>
    </row>
    <row r="49" spans="11:11" x14ac:dyDescent="0.25">
      <c r="K49" s="1122"/>
    </row>
  </sheetData>
  <mergeCells count="4">
    <mergeCell ref="D26:K27"/>
    <mergeCell ref="D10:K11"/>
    <mergeCell ref="D5:K5"/>
    <mergeCell ref="D6:K6"/>
  </mergeCells>
  <pageMargins left="0.23622047244094491" right="0.23622047244094491" top="0.74803149606299213" bottom="0.74803149606299213" header="0.31496062992125984" footer="0.31496062992125984"/>
  <pageSetup paperSize="8"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N74"/>
  <sheetViews>
    <sheetView showGridLines="0" topLeftCell="A54" zoomScale="77" zoomScaleNormal="77" workbookViewId="0">
      <selection activeCell="E54" sqref="E54"/>
    </sheetView>
  </sheetViews>
  <sheetFormatPr defaultColWidth="11.44140625" defaultRowHeight="13.2" x14ac:dyDescent="0.25"/>
  <cols>
    <col min="1" max="1" width="2.5546875" style="173" customWidth="1"/>
    <col min="2" max="2" width="2.109375" style="173" customWidth="1"/>
    <col min="3" max="3" width="2.6640625" style="173" customWidth="1"/>
    <col min="4" max="4" width="5.5546875" style="1" bestFit="1" customWidth="1"/>
    <col min="5" max="5" width="80.6640625" style="1" customWidth="1"/>
    <col min="6" max="6" width="18.88671875" style="1" customWidth="1"/>
    <col min="7" max="7" width="53.6640625" style="1" customWidth="1"/>
    <col min="8" max="8" width="87.33203125" style="1" customWidth="1"/>
    <col min="9" max="9" width="12.44140625" style="1" bestFit="1" customWidth="1"/>
    <col min="10" max="10" width="15.88671875" style="1" bestFit="1" customWidth="1"/>
    <col min="11" max="11" width="9.88671875" style="1" bestFit="1" customWidth="1"/>
    <col min="12" max="12" width="183.44140625" style="1" bestFit="1" customWidth="1"/>
    <col min="13" max="13" width="249.33203125" style="1" bestFit="1" customWidth="1"/>
    <col min="14" max="14" width="9.88671875" style="1" bestFit="1" customWidth="1"/>
    <col min="15" max="15" width="117.6640625" style="1" bestFit="1" customWidth="1"/>
    <col min="16" max="16" width="244.6640625" style="1" bestFit="1" customWidth="1"/>
    <col min="17" max="17" width="255.6640625" style="1" bestFit="1" customWidth="1"/>
    <col min="18" max="18" width="161.109375" style="1" bestFit="1" customWidth="1"/>
    <col min="19" max="16384" width="11.44140625" style="1"/>
  </cols>
  <sheetData>
    <row r="1" spans="4:40" s="173" customFormat="1" x14ac:dyDescent="0.25"/>
    <row r="2" spans="4:40" s="173" customFormat="1" ht="21" x14ac:dyDescent="0.4">
      <c r="E2" s="374" t="s">
        <v>158</v>
      </c>
    </row>
    <row r="3" spans="4:40" ht="21.75" customHeight="1" x14ac:dyDescent="0.3">
      <c r="E3" s="376" t="s">
        <v>265</v>
      </c>
    </row>
    <row r="4" spans="4:40" s="173" customFormat="1" ht="13.8" thickBot="1" x14ac:dyDescent="0.3"/>
    <row r="5" spans="4:40" s="2" customFormat="1" ht="13.8" x14ac:dyDescent="0.25">
      <c r="E5" s="1238" t="s">
        <v>0</v>
      </c>
      <c r="F5" s="1239"/>
      <c r="G5" s="1239"/>
      <c r="H5" s="1240"/>
      <c r="I5" s="212"/>
      <c r="J5" s="3"/>
      <c r="K5" s="3"/>
      <c r="L5" s="3"/>
      <c r="M5" s="3"/>
      <c r="N5" s="3"/>
      <c r="O5" s="3"/>
      <c r="P5" s="3"/>
      <c r="Q5" s="3"/>
      <c r="R5" s="3"/>
      <c r="S5" s="3"/>
      <c r="T5" s="4"/>
    </row>
    <row r="6" spans="4:40" s="2" customFormat="1" ht="65.25" customHeight="1" thickBot="1" x14ac:dyDescent="0.3">
      <c r="E6" s="1244" t="s">
        <v>1</v>
      </c>
      <c r="F6" s="1245"/>
      <c r="G6" s="1245"/>
      <c r="H6" s="1246"/>
      <c r="I6" s="213"/>
      <c r="J6" s="5"/>
      <c r="K6" s="5"/>
      <c r="L6" s="5"/>
      <c r="M6" s="5"/>
      <c r="N6" s="5"/>
      <c r="O6" s="5"/>
      <c r="P6" s="5"/>
      <c r="Q6" s="5"/>
      <c r="R6" s="5"/>
      <c r="S6" s="5"/>
      <c r="T6" s="6"/>
      <c r="U6" s="7"/>
      <c r="V6" s="7"/>
      <c r="W6" s="7"/>
      <c r="Z6" s="7"/>
      <c r="AA6" s="7"/>
      <c r="AB6" s="7"/>
      <c r="AC6" s="7"/>
      <c r="AD6" s="7"/>
      <c r="AE6" s="7"/>
      <c r="AF6" s="7"/>
      <c r="AG6" s="7"/>
      <c r="AH6" s="7"/>
      <c r="AI6" s="7"/>
      <c r="AJ6" s="7"/>
      <c r="AK6" s="7"/>
      <c r="AL6" s="7"/>
      <c r="AM6" s="7"/>
      <c r="AN6" s="7"/>
    </row>
    <row r="7" spans="4:40" ht="13.8" thickBot="1" x14ac:dyDescent="0.3"/>
    <row r="8" spans="4:40" s="176" customFormat="1" ht="14.4" thickBot="1" x14ac:dyDescent="0.3">
      <c r="E8" s="193" t="s">
        <v>2</v>
      </c>
      <c r="F8" s="194" t="s">
        <v>3</v>
      </c>
      <c r="G8" s="194" t="s">
        <v>158</v>
      </c>
      <c r="H8" s="167" t="s">
        <v>159</v>
      </c>
    </row>
    <row r="9" spans="4:40" s="176" customFormat="1" ht="65.25" customHeight="1" x14ac:dyDescent="0.25">
      <c r="D9" s="176" t="s">
        <v>273</v>
      </c>
      <c r="E9" s="190" t="s">
        <v>274</v>
      </c>
      <c r="F9" s="378" t="s">
        <v>275</v>
      </c>
      <c r="G9" s="191" t="s">
        <v>161</v>
      </c>
      <c r="H9" s="192" t="s">
        <v>276</v>
      </c>
    </row>
    <row r="10" spans="4:40" s="176" customFormat="1" ht="41.4" x14ac:dyDescent="0.25">
      <c r="D10" s="176" t="s">
        <v>75</v>
      </c>
      <c r="E10" s="190" t="s">
        <v>76</v>
      </c>
      <c r="F10" s="181" t="s">
        <v>77</v>
      </c>
      <c r="G10" s="191" t="s">
        <v>161</v>
      </c>
      <c r="H10" s="192" t="s">
        <v>160</v>
      </c>
      <c r="I10" s="176">
        <f>0.647*40000000</f>
        <v>25880000</v>
      </c>
      <c r="J10" s="176">
        <f>+I10/4</f>
        <v>6470000</v>
      </c>
    </row>
    <row r="11" spans="4:40" s="176" customFormat="1" ht="27.6" x14ac:dyDescent="0.25">
      <c r="D11" s="176" t="s">
        <v>79</v>
      </c>
      <c r="E11" s="186" t="s">
        <v>80</v>
      </c>
      <c r="F11" s="178" t="s">
        <v>81</v>
      </c>
      <c r="G11" s="178" t="s">
        <v>251</v>
      </c>
      <c r="H11" s="185" t="s">
        <v>162</v>
      </c>
      <c r="I11" s="176">
        <f>0.717*40000000</f>
        <v>28680000</v>
      </c>
      <c r="J11" s="176">
        <f>+I11</f>
        <v>28680000</v>
      </c>
    </row>
    <row r="12" spans="4:40" s="176" customFormat="1" ht="41.4" x14ac:dyDescent="0.25">
      <c r="D12" s="176" t="s">
        <v>83</v>
      </c>
      <c r="E12" s="184" t="s">
        <v>84</v>
      </c>
      <c r="F12" s="178" t="s">
        <v>81</v>
      </c>
      <c r="G12" s="178" t="s">
        <v>251</v>
      </c>
      <c r="H12" s="185" t="s">
        <v>163</v>
      </c>
    </row>
    <row r="13" spans="4:40" s="176" customFormat="1" ht="41.4" x14ac:dyDescent="0.25">
      <c r="D13" s="176" t="s">
        <v>86</v>
      </c>
      <c r="E13" s="184" t="s">
        <v>87</v>
      </c>
      <c r="F13" s="178" t="s">
        <v>88</v>
      </c>
      <c r="G13" s="178" t="s">
        <v>253</v>
      </c>
      <c r="H13" s="185" t="s">
        <v>164</v>
      </c>
    </row>
    <row r="14" spans="4:40" s="176" customFormat="1" ht="145.5" customHeight="1" x14ac:dyDescent="0.25">
      <c r="D14" s="176" t="s">
        <v>90</v>
      </c>
      <c r="E14" s="184" t="s">
        <v>91</v>
      </c>
      <c r="F14" s="178" t="s">
        <v>260</v>
      </c>
      <c r="G14" s="178" t="s">
        <v>267</v>
      </c>
      <c r="H14" s="185" t="s">
        <v>268</v>
      </c>
    </row>
    <row r="15" spans="4:40" s="176" customFormat="1" ht="69.599999999999994" thickBot="1" x14ac:dyDescent="0.3">
      <c r="D15" s="176" t="s">
        <v>94</v>
      </c>
      <c r="E15" s="187" t="s">
        <v>95</v>
      </c>
      <c r="F15" s="188" t="s">
        <v>96</v>
      </c>
      <c r="G15" s="188" t="s">
        <v>167</v>
      </c>
      <c r="H15" s="189" t="s">
        <v>272</v>
      </c>
    </row>
    <row r="16" spans="4:40" s="176" customFormat="1" ht="13.8" x14ac:dyDescent="0.25">
      <c r="E16" s="324"/>
      <c r="F16" s="237"/>
      <c r="G16" s="237"/>
      <c r="H16" s="236"/>
    </row>
    <row r="17" spans="1:13" s="176" customFormat="1" ht="13.8" x14ac:dyDescent="0.25"/>
    <row r="18" spans="1:13" s="176" customFormat="1" ht="14.4" thickBot="1" x14ac:dyDescent="0.3"/>
    <row r="19" spans="1:13" s="176" customFormat="1" ht="13.8" x14ac:dyDescent="0.25">
      <c r="E19" s="1247" t="s">
        <v>98</v>
      </c>
      <c r="F19" s="1248"/>
      <c r="G19" s="1248"/>
      <c r="H19" s="1249"/>
    </row>
    <row r="20" spans="1:13" s="176" customFormat="1" ht="14.4" thickBot="1" x14ac:dyDescent="0.3">
      <c r="E20" s="1250"/>
      <c r="F20" s="1251"/>
      <c r="G20" s="1251"/>
      <c r="H20" s="1252"/>
    </row>
    <row r="21" spans="1:13" s="176" customFormat="1" ht="14.4" thickBot="1" x14ac:dyDescent="0.3">
      <c r="E21" s="200" t="s">
        <v>22</v>
      </c>
      <c r="F21" s="194" t="s">
        <v>3</v>
      </c>
      <c r="G21" s="194" t="s">
        <v>202</v>
      </c>
      <c r="H21" s="201" t="s">
        <v>159</v>
      </c>
      <c r="I21" s="175"/>
      <c r="J21" s="175"/>
      <c r="K21" s="175"/>
      <c r="L21" s="175"/>
    </row>
    <row r="22" spans="1:13" s="176" customFormat="1" ht="96.6" x14ac:dyDescent="0.25">
      <c r="D22" s="176">
        <v>2.1</v>
      </c>
      <c r="E22" s="325" t="s">
        <v>14</v>
      </c>
      <c r="F22" s="178" t="s">
        <v>92</v>
      </c>
      <c r="G22" s="178" t="s">
        <v>235</v>
      </c>
      <c r="H22" s="195" t="s">
        <v>269</v>
      </c>
    </row>
    <row r="23" spans="1:13" s="176" customFormat="1" ht="53.1" customHeight="1" thickBot="1" x14ac:dyDescent="0.3">
      <c r="D23" s="176">
        <v>2.2000000000000002</v>
      </c>
      <c r="E23" s="202" t="s">
        <v>23</v>
      </c>
      <c r="F23" s="178" t="s">
        <v>92</v>
      </c>
      <c r="G23" s="178" t="s">
        <v>236</v>
      </c>
      <c r="H23" s="197"/>
    </row>
    <row r="24" spans="1:13" s="173" customFormat="1" ht="14.4" thickBot="1" x14ac:dyDescent="0.3">
      <c r="A24" s="13"/>
      <c r="B24" s="174"/>
      <c r="C24" s="174"/>
      <c r="D24" s="214">
        <v>2.2999999999999998</v>
      </c>
      <c r="E24" s="202" t="s">
        <v>240</v>
      </c>
      <c r="F24" s="188" t="s">
        <v>92</v>
      </c>
      <c r="G24" s="178" t="s">
        <v>241</v>
      </c>
      <c r="H24" s="197" t="s">
        <v>242</v>
      </c>
      <c r="I24" s="172"/>
      <c r="J24" s="172"/>
      <c r="K24" s="172"/>
      <c r="L24" s="172"/>
      <c r="M24" s="172"/>
    </row>
    <row r="25" spans="1:13" s="176" customFormat="1" ht="14.4" thickBot="1" x14ac:dyDescent="0.3">
      <c r="E25" s="236"/>
      <c r="F25" s="237"/>
      <c r="G25" s="237"/>
      <c r="H25" s="237"/>
    </row>
    <row r="26" spans="1:13" s="176" customFormat="1" ht="14.4" thickBot="1" x14ac:dyDescent="0.3">
      <c r="E26" s="200" t="s">
        <v>15</v>
      </c>
      <c r="F26" s="194" t="s">
        <v>3</v>
      </c>
      <c r="G26" s="194" t="s">
        <v>158</v>
      </c>
      <c r="H26" s="201" t="s">
        <v>159</v>
      </c>
    </row>
    <row r="27" spans="1:13" s="176" customFormat="1" ht="53.1" customHeight="1" x14ac:dyDescent="0.25">
      <c r="D27" s="176" t="s">
        <v>99</v>
      </c>
      <c r="E27" s="198" t="s">
        <v>56</v>
      </c>
      <c r="F27" s="208" t="s">
        <v>205</v>
      </c>
      <c r="G27" s="181" t="s">
        <v>165</v>
      </c>
      <c r="H27" s="199" t="s">
        <v>166</v>
      </c>
    </row>
    <row r="28" spans="1:13" s="176" customFormat="1" ht="53.1" customHeight="1" x14ac:dyDescent="0.25">
      <c r="D28" s="176" t="s">
        <v>101</v>
      </c>
      <c r="E28" s="115" t="s">
        <v>21</v>
      </c>
      <c r="F28" s="179" t="s">
        <v>21</v>
      </c>
      <c r="G28" s="178" t="s">
        <v>150</v>
      </c>
      <c r="H28" s="195" t="s">
        <v>150</v>
      </c>
    </row>
    <row r="29" spans="1:13" s="176" customFormat="1" ht="82.8" x14ac:dyDescent="0.25">
      <c r="D29" s="176" t="s">
        <v>103</v>
      </c>
      <c r="E29" s="205" t="s">
        <v>63</v>
      </c>
      <c r="F29" s="177" t="s">
        <v>179</v>
      </c>
      <c r="G29" s="178" t="s">
        <v>167</v>
      </c>
      <c r="H29" s="195" t="s">
        <v>261</v>
      </c>
    </row>
    <row r="30" spans="1:13" s="176" customFormat="1" ht="53.1" customHeight="1" x14ac:dyDescent="0.25">
      <c r="D30" s="176" t="s">
        <v>106</v>
      </c>
      <c r="E30" s="205" t="s">
        <v>259</v>
      </c>
      <c r="F30" s="177" t="s">
        <v>258</v>
      </c>
      <c r="G30" s="177" t="s">
        <v>167</v>
      </c>
      <c r="H30" s="206" t="s">
        <v>270</v>
      </c>
    </row>
    <row r="31" spans="1:13" s="176" customFormat="1" ht="69.599999999999994" thickBot="1" x14ac:dyDescent="0.3">
      <c r="D31" s="176" t="s">
        <v>108</v>
      </c>
      <c r="E31" s="196" t="s">
        <v>239</v>
      </c>
      <c r="F31" s="207" t="s">
        <v>237</v>
      </c>
      <c r="G31" s="207" t="s">
        <v>238</v>
      </c>
      <c r="H31" s="185" t="s">
        <v>271</v>
      </c>
    </row>
    <row r="32" spans="1:13" s="176" customFormat="1" ht="53.1" customHeight="1" thickBot="1" x14ac:dyDescent="0.3">
      <c r="E32" s="180"/>
    </row>
    <row r="33" spans="4:11" s="176" customFormat="1" ht="13.8" x14ac:dyDescent="0.25">
      <c r="E33" s="1231" t="s">
        <v>110</v>
      </c>
      <c r="F33" s="1232"/>
      <c r="G33" s="1232"/>
      <c r="H33" s="1233"/>
      <c r="I33" s="175"/>
      <c r="J33" s="175"/>
      <c r="K33" s="175"/>
    </row>
    <row r="34" spans="4:11" s="176" customFormat="1" ht="14.4" thickBot="1" x14ac:dyDescent="0.3">
      <c r="E34" s="1234"/>
      <c r="F34" s="1235"/>
      <c r="G34" s="1235"/>
      <c r="H34" s="1236"/>
    </row>
    <row r="35" spans="4:11" s="176" customFormat="1" ht="53.1" customHeight="1" x14ac:dyDescent="0.25">
      <c r="E35" s="203" t="s">
        <v>22</v>
      </c>
      <c r="F35" s="183" t="s">
        <v>3</v>
      </c>
      <c r="G35" s="183" t="s">
        <v>158</v>
      </c>
      <c r="H35" s="204" t="s">
        <v>159</v>
      </c>
    </row>
    <row r="36" spans="4:11" s="176" customFormat="1" ht="53.1" customHeight="1" x14ac:dyDescent="0.25">
      <c r="D36" s="176" t="s">
        <v>111</v>
      </c>
      <c r="E36" s="209" t="s">
        <v>112</v>
      </c>
      <c r="F36" s="177" t="s">
        <v>113</v>
      </c>
      <c r="G36" s="178" t="s">
        <v>168</v>
      </c>
      <c r="H36" s="195" t="s">
        <v>169</v>
      </c>
    </row>
    <row r="37" spans="4:11" s="176" customFormat="1" ht="61.5" customHeight="1" x14ac:dyDescent="0.25">
      <c r="D37" s="176" t="s">
        <v>114</v>
      </c>
      <c r="E37" s="209" t="s">
        <v>118</v>
      </c>
      <c r="F37" s="177" t="s">
        <v>113</v>
      </c>
      <c r="G37" s="179" t="s">
        <v>151</v>
      </c>
      <c r="H37" s="210" t="s">
        <v>151</v>
      </c>
    </row>
    <row r="38" spans="4:11" s="176" customFormat="1" ht="53.1" customHeight="1" x14ac:dyDescent="0.25">
      <c r="D38" s="176" t="s">
        <v>117</v>
      </c>
      <c r="E38" s="209" t="s">
        <v>176</v>
      </c>
      <c r="F38" s="178" t="s">
        <v>120</v>
      </c>
      <c r="G38" s="178" t="s">
        <v>170</v>
      </c>
      <c r="H38" s="210" t="s">
        <v>172</v>
      </c>
    </row>
    <row r="39" spans="4:11" s="176" customFormat="1" ht="53.1" customHeight="1" x14ac:dyDescent="0.25">
      <c r="D39" s="176" t="s">
        <v>119</v>
      </c>
      <c r="E39" s="209" t="s">
        <v>244</v>
      </c>
      <c r="F39" s="177" t="s">
        <v>92</v>
      </c>
      <c r="G39" s="178" t="s">
        <v>170</v>
      </c>
      <c r="H39" s="195" t="s">
        <v>175</v>
      </c>
    </row>
    <row r="40" spans="4:11" s="176" customFormat="1" ht="53.1" customHeight="1" x14ac:dyDescent="0.25">
      <c r="D40" s="176" t="s">
        <v>122</v>
      </c>
      <c r="E40" s="209" t="s">
        <v>34</v>
      </c>
      <c r="F40" s="177" t="s">
        <v>92</v>
      </c>
      <c r="G40" s="178" t="s">
        <v>170</v>
      </c>
      <c r="H40" s="195" t="s">
        <v>174</v>
      </c>
    </row>
    <row r="41" spans="4:11" s="176" customFormat="1" ht="53.1" customHeight="1" x14ac:dyDescent="0.25">
      <c r="D41" s="176" t="s">
        <v>124</v>
      </c>
      <c r="E41" s="209" t="s">
        <v>177</v>
      </c>
      <c r="F41" s="177" t="s">
        <v>92</v>
      </c>
      <c r="G41" s="178" t="s">
        <v>170</v>
      </c>
      <c r="H41" s="195" t="s">
        <v>173</v>
      </c>
    </row>
    <row r="42" spans="4:11" s="176" customFormat="1" ht="53.1" customHeight="1" x14ac:dyDescent="0.25">
      <c r="D42" s="176" t="s">
        <v>125</v>
      </c>
      <c r="E42" s="209" t="s">
        <v>178</v>
      </c>
      <c r="F42" s="177" t="s">
        <v>113</v>
      </c>
      <c r="G42" s="178" t="s">
        <v>170</v>
      </c>
      <c r="H42" s="206"/>
    </row>
    <row r="43" spans="4:11" s="176" customFormat="1" ht="53.1" customHeight="1" x14ac:dyDescent="0.25">
      <c r="D43" s="176" t="s">
        <v>127</v>
      </c>
      <c r="E43" s="209" t="s">
        <v>37</v>
      </c>
      <c r="F43" s="177" t="s">
        <v>92</v>
      </c>
      <c r="G43" s="179" t="s">
        <v>167</v>
      </c>
      <c r="H43" s="210" t="s">
        <v>171</v>
      </c>
    </row>
    <row r="44" spans="4:11" s="176" customFormat="1" ht="53.1" customHeight="1" x14ac:dyDescent="0.25">
      <c r="D44" s="176" t="s">
        <v>128</v>
      </c>
      <c r="E44" s="209" t="s">
        <v>36</v>
      </c>
      <c r="F44" s="177" t="s">
        <v>113</v>
      </c>
      <c r="G44" s="179" t="s">
        <v>167</v>
      </c>
      <c r="H44" s="210" t="s">
        <v>246</v>
      </c>
    </row>
    <row r="45" spans="4:11" s="176" customFormat="1" ht="14.4" thickBot="1" x14ac:dyDescent="0.3"/>
    <row r="46" spans="4:11" s="176" customFormat="1" ht="51.9" customHeight="1" thickBot="1" x14ac:dyDescent="0.3">
      <c r="E46" s="200" t="s">
        <v>22</v>
      </c>
      <c r="F46" s="194" t="s">
        <v>3</v>
      </c>
      <c r="G46" s="194" t="s">
        <v>158</v>
      </c>
      <c r="H46" s="201" t="s">
        <v>159</v>
      </c>
    </row>
    <row r="47" spans="4:11" s="176" customFormat="1" ht="69" x14ac:dyDescent="0.25">
      <c r="D47" s="176" t="s">
        <v>130</v>
      </c>
      <c r="E47" s="211" t="s">
        <v>133</v>
      </c>
      <c r="F47" s="191" t="s">
        <v>104</v>
      </c>
      <c r="G47" s="199" t="s">
        <v>170</v>
      </c>
      <c r="H47" s="181" t="s">
        <v>247</v>
      </c>
    </row>
    <row r="48" spans="4:11" s="176" customFormat="1" ht="69" x14ac:dyDescent="0.25">
      <c r="D48" s="176" t="s">
        <v>131</v>
      </c>
      <c r="E48" s="205" t="s">
        <v>30</v>
      </c>
      <c r="F48" s="177" t="s">
        <v>135</v>
      </c>
      <c r="G48" s="195" t="s">
        <v>170</v>
      </c>
      <c r="H48" s="178" t="s">
        <v>152</v>
      </c>
    </row>
    <row r="49" spans="4:15" s="176" customFormat="1" ht="41.4" x14ac:dyDescent="0.25">
      <c r="D49" s="176" t="s">
        <v>132</v>
      </c>
      <c r="E49" s="205" t="s">
        <v>58</v>
      </c>
      <c r="F49" s="177" t="s">
        <v>137</v>
      </c>
      <c r="G49" s="195" t="s">
        <v>170</v>
      </c>
      <c r="H49" s="178" t="s">
        <v>153</v>
      </c>
    </row>
    <row r="50" spans="4:15" s="176" customFormat="1" ht="41.4" x14ac:dyDescent="0.25">
      <c r="D50" s="176" t="s">
        <v>134</v>
      </c>
      <c r="E50" s="205" t="s">
        <v>57</v>
      </c>
      <c r="F50" s="177" t="s">
        <v>139</v>
      </c>
      <c r="G50" s="195" t="s">
        <v>170</v>
      </c>
      <c r="H50" s="178" t="s">
        <v>154</v>
      </c>
    </row>
    <row r="51" spans="4:15" s="176" customFormat="1" ht="55.2" x14ac:dyDescent="0.25">
      <c r="D51" s="176" t="s">
        <v>136</v>
      </c>
      <c r="E51" s="205" t="s">
        <v>26</v>
      </c>
      <c r="F51" s="177" t="s">
        <v>137</v>
      </c>
      <c r="G51" s="195" t="s">
        <v>170</v>
      </c>
      <c r="H51" s="182" t="s">
        <v>155</v>
      </c>
    </row>
    <row r="52" spans="4:15" s="176" customFormat="1" ht="41.4" x14ac:dyDescent="0.25">
      <c r="D52" s="176" t="s">
        <v>138</v>
      </c>
      <c r="E52" s="205" t="s">
        <v>27</v>
      </c>
      <c r="F52" s="177" t="s">
        <v>143</v>
      </c>
      <c r="G52" s="195" t="s">
        <v>170</v>
      </c>
      <c r="H52" s="182" t="s">
        <v>156</v>
      </c>
    </row>
    <row r="53" spans="4:15" s="176" customFormat="1" ht="28.2" thickBot="1" x14ac:dyDescent="0.3">
      <c r="D53" s="176" t="s">
        <v>140</v>
      </c>
      <c r="E53" s="196" t="s">
        <v>28</v>
      </c>
      <c r="F53" s="207" t="s">
        <v>148</v>
      </c>
      <c r="G53" s="197" t="s">
        <v>168</v>
      </c>
      <c r="H53" s="188" t="s">
        <v>157</v>
      </c>
    </row>
    <row r="54" spans="4:15" s="176" customFormat="1" ht="14.4" thickBot="1" x14ac:dyDescent="0.3"/>
    <row r="55" spans="4:15" s="176" customFormat="1" ht="13.8" x14ac:dyDescent="0.25">
      <c r="E55" s="1231" t="s">
        <v>149</v>
      </c>
      <c r="F55" s="1232"/>
      <c r="G55" s="1232"/>
      <c r="H55" s="1233"/>
      <c r="I55" s="175"/>
      <c r="J55" s="175"/>
      <c r="K55" s="175"/>
      <c r="L55" s="175"/>
      <c r="O55" s="161"/>
    </row>
    <row r="56" spans="4:15" s="176" customFormat="1" ht="14.4" thickBot="1" x14ac:dyDescent="0.3">
      <c r="E56" s="1234"/>
      <c r="F56" s="1235"/>
      <c r="G56" s="1235"/>
      <c r="H56" s="1236"/>
      <c r="O56" s="162"/>
    </row>
    <row r="57" spans="4:15" s="176" customFormat="1" ht="53.1" customHeight="1" x14ac:dyDescent="0.25">
      <c r="E57" s="203" t="s">
        <v>22</v>
      </c>
      <c r="F57" s="183" t="s">
        <v>3</v>
      </c>
      <c r="G57" s="183" t="s">
        <v>158</v>
      </c>
      <c r="H57" s="204" t="s">
        <v>159</v>
      </c>
    </row>
    <row r="58" spans="4:15" s="176" customFormat="1" ht="53.1" customHeight="1" x14ac:dyDescent="0.25">
      <c r="D58" s="335">
        <v>4.01</v>
      </c>
      <c r="E58" s="205" t="s">
        <v>183</v>
      </c>
      <c r="F58" s="178" t="s">
        <v>184</v>
      </c>
      <c r="G58" s="178" t="s">
        <v>251</v>
      </c>
      <c r="H58" s="195" t="s">
        <v>248</v>
      </c>
    </row>
    <row r="59" spans="4:15" s="176" customFormat="1" ht="53.1" customHeight="1" x14ac:dyDescent="0.25">
      <c r="D59" s="335">
        <v>4.0199999999999996</v>
      </c>
      <c r="E59" s="205" t="s">
        <v>204</v>
      </c>
      <c r="F59" s="178" t="s">
        <v>185</v>
      </c>
      <c r="G59" s="178" t="s">
        <v>251</v>
      </c>
      <c r="H59" s="195" t="s">
        <v>249</v>
      </c>
    </row>
    <row r="60" spans="4:15" s="176" customFormat="1" ht="53.1" customHeight="1" x14ac:dyDescent="0.25">
      <c r="D60" s="335">
        <v>4.03</v>
      </c>
      <c r="E60" s="205" t="s">
        <v>250</v>
      </c>
      <c r="F60" s="178" t="s">
        <v>186</v>
      </c>
      <c r="G60" s="178" t="s">
        <v>251</v>
      </c>
      <c r="H60" s="195" t="s">
        <v>252</v>
      </c>
    </row>
    <row r="61" spans="4:15" s="176" customFormat="1" ht="53.1" customHeight="1" x14ac:dyDescent="0.25">
      <c r="D61" s="335">
        <v>4.04</v>
      </c>
      <c r="E61" s="205" t="s">
        <v>47</v>
      </c>
      <c r="F61" s="178" t="s">
        <v>184</v>
      </c>
      <c r="G61" s="178" t="s">
        <v>251</v>
      </c>
      <c r="H61" s="195" t="s">
        <v>196</v>
      </c>
    </row>
    <row r="62" spans="4:15" s="176" customFormat="1" ht="53.1" customHeight="1" x14ac:dyDescent="0.25">
      <c r="D62" s="335">
        <v>4.05</v>
      </c>
      <c r="E62" s="205" t="s">
        <v>48</v>
      </c>
      <c r="F62" s="178" t="s">
        <v>184</v>
      </c>
      <c r="G62" s="178" t="s">
        <v>251</v>
      </c>
      <c r="H62" s="195" t="s">
        <v>187</v>
      </c>
    </row>
    <row r="63" spans="4:15" s="176" customFormat="1" ht="53.1" hidden="1" customHeight="1" x14ac:dyDescent="0.25">
      <c r="D63" s="335">
        <v>4.0599999999999996</v>
      </c>
      <c r="E63" s="331"/>
      <c r="F63" s="332"/>
      <c r="G63" s="178"/>
      <c r="H63" s="333"/>
    </row>
    <row r="64" spans="4:15" s="176" customFormat="1" ht="53.1" customHeight="1" thickBot="1" x14ac:dyDescent="0.3">
      <c r="D64" s="335">
        <v>4.0599999999999996</v>
      </c>
      <c r="E64" s="196" t="s">
        <v>49</v>
      </c>
      <c r="F64" s="188" t="s">
        <v>92</v>
      </c>
      <c r="G64" s="178" t="s">
        <v>251</v>
      </c>
      <c r="H64" s="197" t="s">
        <v>188</v>
      </c>
    </row>
    <row r="65" spans="4:8" s="176" customFormat="1" ht="14.4" thickBot="1" x14ac:dyDescent="0.3"/>
    <row r="66" spans="4:8" s="176" customFormat="1" ht="53.1" customHeight="1" x14ac:dyDescent="0.25">
      <c r="E66" s="203" t="s">
        <v>22</v>
      </c>
      <c r="F66" s="183" t="s">
        <v>3</v>
      </c>
      <c r="G66" s="183" t="s">
        <v>158</v>
      </c>
      <c r="H66" s="204" t="s">
        <v>159</v>
      </c>
    </row>
    <row r="67" spans="4:8" s="176" customFormat="1" ht="27.6" x14ac:dyDescent="0.25">
      <c r="D67" s="335">
        <v>4.07</v>
      </c>
      <c r="E67" s="205" t="s">
        <v>189</v>
      </c>
      <c r="F67" s="178" t="s">
        <v>197</v>
      </c>
      <c r="G67" s="178" t="s">
        <v>251</v>
      </c>
      <c r="H67" s="195" t="s">
        <v>190</v>
      </c>
    </row>
    <row r="68" spans="4:8" s="176" customFormat="1" ht="27.6" x14ac:dyDescent="0.25">
      <c r="D68" s="335">
        <v>4.08</v>
      </c>
      <c r="E68" s="205" t="s">
        <v>44</v>
      </c>
      <c r="F68" s="178" t="s">
        <v>191</v>
      </c>
      <c r="G68" s="178" t="s">
        <v>251</v>
      </c>
      <c r="H68" s="195" t="s">
        <v>192</v>
      </c>
    </row>
    <row r="69" spans="4:8" s="176" customFormat="1" ht="27.6" x14ac:dyDescent="0.25">
      <c r="D69" s="335">
        <v>4.09</v>
      </c>
      <c r="E69" s="205" t="s">
        <v>43</v>
      </c>
      <c r="F69" s="178" t="s">
        <v>198</v>
      </c>
      <c r="G69" s="178" t="s">
        <v>251</v>
      </c>
      <c r="H69" s="195" t="s">
        <v>199</v>
      </c>
    </row>
    <row r="70" spans="4:8" s="176" customFormat="1" ht="27.6" x14ac:dyDescent="0.25">
      <c r="D70" s="335">
        <v>4.0999999999999996</v>
      </c>
      <c r="E70" s="205" t="s">
        <v>193</v>
      </c>
      <c r="F70" s="178" t="s">
        <v>200</v>
      </c>
      <c r="G70" s="178" t="s">
        <v>251</v>
      </c>
      <c r="H70" s="195" t="s">
        <v>194</v>
      </c>
    </row>
    <row r="71" spans="4:8" s="176" customFormat="1" ht="27.6" x14ac:dyDescent="0.25">
      <c r="D71" s="335">
        <v>4.1100000000000003</v>
      </c>
      <c r="E71" s="205" t="s">
        <v>39</v>
      </c>
      <c r="F71" s="178" t="s">
        <v>198</v>
      </c>
      <c r="G71" s="178" t="s">
        <v>251</v>
      </c>
      <c r="H71" s="195" t="s">
        <v>201</v>
      </c>
    </row>
    <row r="72" spans="4:8" s="176" customFormat="1" ht="13.8" hidden="1" x14ac:dyDescent="0.25">
      <c r="D72" s="335">
        <v>4.12</v>
      </c>
      <c r="E72" s="331"/>
      <c r="F72" s="332"/>
      <c r="G72" s="178"/>
      <c r="H72" s="333"/>
    </row>
    <row r="73" spans="4:8" s="176" customFormat="1" ht="28.2" thickBot="1" x14ac:dyDescent="0.3">
      <c r="D73" s="335">
        <v>4.12</v>
      </c>
      <c r="E73" s="196" t="s">
        <v>41</v>
      </c>
      <c r="F73" s="188" t="s">
        <v>181</v>
      </c>
      <c r="G73" s="178" t="s">
        <v>251</v>
      </c>
      <c r="H73" s="197" t="s">
        <v>195</v>
      </c>
    </row>
    <row r="74" spans="4:8" ht="13.8" x14ac:dyDescent="0.25">
      <c r="E74" s="28"/>
    </row>
  </sheetData>
  <mergeCells count="5">
    <mergeCell ref="E55:H56"/>
    <mergeCell ref="E5:H5"/>
    <mergeCell ref="E6:H6"/>
    <mergeCell ref="E33:H34"/>
    <mergeCell ref="E19:H20"/>
  </mergeCells>
  <pageMargins left="0.23622047244094491" right="0.23622047244094491" top="0.74803149606299213" bottom="0.74803149606299213" header="0.31496062992125984" footer="0.31496062992125984"/>
  <pageSetup paperSize="8" scale="20" fitToHeight="2"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32"/>
  <sheetViews>
    <sheetView topLeftCell="A4" zoomScale="90" zoomScaleNormal="90" workbookViewId="0">
      <selection activeCell="H33" sqref="H33"/>
    </sheetView>
  </sheetViews>
  <sheetFormatPr defaultColWidth="11.44140625" defaultRowHeight="13.2" x14ac:dyDescent="0.25"/>
  <cols>
    <col min="1" max="1" width="21.109375" style="172" bestFit="1" customWidth="1"/>
    <col min="2" max="2" width="25" style="172" bestFit="1" customWidth="1"/>
    <col min="3" max="3" width="10.5546875" style="172" bestFit="1" customWidth="1"/>
    <col min="4" max="4" width="12.33203125" style="172" customWidth="1"/>
    <col min="5" max="5" width="13" style="172" customWidth="1"/>
    <col min="6" max="6" width="12" style="172" customWidth="1"/>
    <col min="7" max="7" width="14" style="172" customWidth="1"/>
    <col min="8" max="8" width="10.6640625" style="172" bestFit="1" customWidth="1"/>
    <col min="9" max="9" width="13.33203125" style="172" customWidth="1"/>
    <col min="10" max="10" width="12.44140625" style="172" customWidth="1"/>
    <col min="11" max="11" width="16.5546875" style="172" bestFit="1" customWidth="1"/>
    <col min="12" max="16384" width="11.44140625" style="172"/>
  </cols>
  <sheetData>
    <row r="2" spans="1:11" ht="13.8" thickBot="1" x14ac:dyDescent="0.3"/>
    <row r="3" spans="1:11" ht="40.200000000000003" thickBot="1" x14ac:dyDescent="0.3">
      <c r="A3" s="379" t="s">
        <v>277</v>
      </c>
      <c r="B3" s="380" t="s">
        <v>278</v>
      </c>
      <c r="C3" s="381" t="s">
        <v>279</v>
      </c>
      <c r="D3" s="381" t="s">
        <v>280</v>
      </c>
      <c r="E3" s="381" t="s">
        <v>281</v>
      </c>
      <c r="F3" s="381" t="s">
        <v>282</v>
      </c>
      <c r="G3" s="381" t="s">
        <v>283</v>
      </c>
      <c r="H3" s="381" t="s">
        <v>284</v>
      </c>
      <c r="I3" s="381" t="s">
        <v>285</v>
      </c>
      <c r="J3" s="382" t="s">
        <v>286</v>
      </c>
      <c r="K3" s="383" t="s">
        <v>287</v>
      </c>
    </row>
    <row r="4" spans="1:11" x14ac:dyDescent="0.25">
      <c r="A4" s="1256" t="s">
        <v>288</v>
      </c>
      <c r="B4" s="384" t="s">
        <v>289</v>
      </c>
      <c r="C4" s="385">
        <v>426039</v>
      </c>
      <c r="D4" s="386">
        <v>290.2</v>
      </c>
      <c r="E4" s="386">
        <f>D4-F4</f>
        <v>274.2</v>
      </c>
      <c r="F4" s="386">
        <v>16</v>
      </c>
      <c r="G4" s="387">
        <v>0</v>
      </c>
      <c r="H4" s="387">
        <v>7</v>
      </c>
      <c r="I4" s="387">
        <v>2</v>
      </c>
      <c r="J4" s="388">
        <v>3</v>
      </c>
      <c r="K4" s="389">
        <v>17200000</v>
      </c>
    </row>
    <row r="5" spans="1:11" x14ac:dyDescent="0.25">
      <c r="A5" s="1257"/>
      <c r="B5" s="390" t="s">
        <v>290</v>
      </c>
      <c r="C5" s="391">
        <v>18549</v>
      </c>
      <c r="D5" s="392">
        <v>14.62</v>
      </c>
      <c r="E5" s="393">
        <f>D5-F5</f>
        <v>13.12</v>
      </c>
      <c r="F5" s="392">
        <v>1.5</v>
      </c>
      <c r="G5" s="394">
        <v>0</v>
      </c>
      <c r="H5" s="395">
        <v>1</v>
      </c>
      <c r="I5" s="395">
        <v>1</v>
      </c>
      <c r="J5" s="396">
        <v>0</v>
      </c>
      <c r="K5" s="397">
        <v>3600000</v>
      </c>
    </row>
    <row r="6" spans="1:11" x14ac:dyDescent="0.25">
      <c r="A6" s="1257"/>
      <c r="B6" s="390" t="s">
        <v>291</v>
      </c>
      <c r="C6" s="391">
        <v>28252</v>
      </c>
      <c r="D6" s="392">
        <v>21.28</v>
      </c>
      <c r="E6" s="393">
        <f>D6-F6</f>
        <v>19.28</v>
      </c>
      <c r="F6" s="392">
        <v>2</v>
      </c>
      <c r="G6" s="394">
        <v>0</v>
      </c>
      <c r="H6" s="395">
        <v>6</v>
      </c>
      <c r="I6" s="395">
        <v>5</v>
      </c>
      <c r="J6" s="396">
        <v>1</v>
      </c>
      <c r="K6" s="397">
        <v>2300000</v>
      </c>
    </row>
    <row r="7" spans="1:11" ht="13.8" thickBot="1" x14ac:dyDescent="0.3">
      <c r="A7" s="1258"/>
      <c r="B7" s="398" t="s">
        <v>292</v>
      </c>
      <c r="C7" s="399">
        <v>61929</v>
      </c>
      <c r="D7" s="400">
        <v>39.159999999999997</v>
      </c>
      <c r="E7" s="401">
        <f>D7-F7</f>
        <v>35.159999999999997</v>
      </c>
      <c r="F7" s="400">
        <v>4</v>
      </c>
      <c r="G7" s="402">
        <v>0</v>
      </c>
      <c r="H7" s="403">
        <v>1</v>
      </c>
      <c r="I7" s="403">
        <v>0</v>
      </c>
      <c r="J7" s="404">
        <v>1</v>
      </c>
      <c r="K7" s="397">
        <v>2700000</v>
      </c>
    </row>
    <row r="8" spans="1:11" s="432" customFormat="1" ht="15.6" thickBot="1" x14ac:dyDescent="0.3">
      <c r="A8" s="443" t="s">
        <v>293</v>
      </c>
      <c r="B8" s="444" t="s">
        <v>294</v>
      </c>
      <c r="C8" s="445">
        <v>288140</v>
      </c>
      <c r="D8" s="446">
        <v>324</v>
      </c>
      <c r="E8" s="446">
        <f>D8-F8</f>
        <v>274</v>
      </c>
      <c r="F8" s="446">
        <v>50</v>
      </c>
      <c r="G8" s="447" t="s">
        <v>295</v>
      </c>
      <c r="H8" s="448">
        <v>1</v>
      </c>
      <c r="I8" s="448">
        <v>0</v>
      </c>
      <c r="J8" s="449">
        <v>0</v>
      </c>
      <c r="K8" s="431">
        <v>6700000</v>
      </c>
    </row>
    <row r="9" spans="1:11" x14ac:dyDescent="0.25">
      <c r="A9" s="1259" t="s">
        <v>296</v>
      </c>
      <c r="B9" s="384" t="s">
        <v>297</v>
      </c>
      <c r="C9" s="385">
        <v>173904</v>
      </c>
      <c r="D9" s="386">
        <f>E9+F9</f>
        <v>110.2</v>
      </c>
      <c r="E9" s="386">
        <v>99</v>
      </c>
      <c r="F9" s="386">
        <v>11.2</v>
      </c>
      <c r="G9" s="405">
        <v>10</v>
      </c>
      <c r="H9" s="387">
        <v>7</v>
      </c>
      <c r="I9" s="387">
        <v>1</v>
      </c>
      <c r="J9" s="388">
        <v>0</v>
      </c>
      <c r="K9" s="397">
        <v>10335977</v>
      </c>
    </row>
    <row r="10" spans="1:11" x14ac:dyDescent="0.25">
      <c r="A10" s="1260"/>
      <c r="B10" s="390" t="s">
        <v>298</v>
      </c>
      <c r="C10" s="406">
        <v>401444</v>
      </c>
      <c r="D10" s="406"/>
      <c r="E10" s="407">
        <v>321</v>
      </c>
      <c r="F10" s="394"/>
      <c r="G10" s="394"/>
      <c r="H10" s="394">
        <v>15</v>
      </c>
      <c r="I10" s="394"/>
      <c r="J10" s="408"/>
      <c r="K10" s="397">
        <v>6890102</v>
      </c>
    </row>
    <row r="11" spans="1:11" x14ac:dyDescent="0.25">
      <c r="A11" s="1260"/>
      <c r="B11" s="390" t="s">
        <v>299</v>
      </c>
      <c r="C11" s="409">
        <v>123103</v>
      </c>
      <c r="D11" s="409">
        <v>66</v>
      </c>
      <c r="E11" s="407">
        <v>62.8</v>
      </c>
      <c r="F11" s="409">
        <f>+D11-E11</f>
        <v>3.2000000000000028</v>
      </c>
      <c r="G11" s="394"/>
      <c r="H11" s="407">
        <v>10</v>
      </c>
      <c r="I11" s="394"/>
      <c r="J11" s="408"/>
      <c r="K11" s="397">
        <v>6249648</v>
      </c>
    </row>
    <row r="12" spans="1:11" x14ac:dyDescent="0.25">
      <c r="A12" s="1260"/>
      <c r="B12" s="390" t="s">
        <v>300</v>
      </c>
      <c r="C12" s="409">
        <v>18178</v>
      </c>
      <c r="D12" s="409">
        <v>15</v>
      </c>
      <c r="E12" s="410" t="s">
        <v>301</v>
      </c>
      <c r="F12" s="407"/>
      <c r="G12" s="394"/>
      <c r="H12" s="407">
        <v>1</v>
      </c>
      <c r="I12" s="394"/>
      <c r="J12" s="408"/>
      <c r="K12" s="397">
        <v>0</v>
      </c>
    </row>
    <row r="13" spans="1:11" ht="13.8" thickBot="1" x14ac:dyDescent="0.3">
      <c r="A13" s="1261"/>
      <c r="B13" s="398" t="s">
        <v>302</v>
      </c>
      <c r="C13" s="411">
        <v>108937</v>
      </c>
      <c r="D13" s="401"/>
      <c r="E13" s="401">
        <v>75</v>
      </c>
      <c r="F13" s="401">
        <v>2.5499999999999998</v>
      </c>
      <c r="G13" s="402">
        <v>603</v>
      </c>
      <c r="H13" s="402">
        <v>1</v>
      </c>
      <c r="I13" s="402">
        <v>1</v>
      </c>
      <c r="J13" s="412">
        <v>0</v>
      </c>
      <c r="K13" s="397"/>
    </row>
    <row r="14" spans="1:11" x14ac:dyDescent="0.25">
      <c r="A14" s="1259" t="s">
        <v>303</v>
      </c>
      <c r="B14" s="384" t="s">
        <v>304</v>
      </c>
      <c r="C14" s="385">
        <v>241970</v>
      </c>
      <c r="D14" s="386">
        <v>152.1</v>
      </c>
      <c r="E14" s="386">
        <f>D14-F14</f>
        <v>133.88999999999999</v>
      </c>
      <c r="F14" s="386">
        <v>18.21</v>
      </c>
      <c r="G14" s="387">
        <v>654</v>
      </c>
      <c r="H14" s="387">
        <v>10</v>
      </c>
      <c r="I14" s="387">
        <v>2</v>
      </c>
      <c r="J14" s="388">
        <v>0</v>
      </c>
      <c r="K14" s="397">
        <v>5900000</v>
      </c>
    </row>
    <row r="15" spans="1:11" x14ac:dyDescent="0.25">
      <c r="A15" s="1260"/>
      <c r="B15" s="390" t="s">
        <v>305</v>
      </c>
      <c r="C15" s="406">
        <v>22866</v>
      </c>
      <c r="D15" s="393">
        <v>9.6999999999999993</v>
      </c>
      <c r="E15" s="393">
        <v>9.11</v>
      </c>
      <c r="F15" s="393">
        <v>0.59</v>
      </c>
      <c r="G15" s="394">
        <v>72</v>
      </c>
      <c r="H15" s="394">
        <v>2</v>
      </c>
      <c r="I15" s="394">
        <v>1</v>
      </c>
      <c r="J15" s="408">
        <v>0</v>
      </c>
      <c r="K15" s="397">
        <v>3200000</v>
      </c>
    </row>
    <row r="16" spans="1:11" x14ac:dyDescent="0.25">
      <c r="A16" s="1260"/>
      <c r="B16" s="390" t="s">
        <v>306</v>
      </c>
      <c r="C16" s="406">
        <v>26579</v>
      </c>
      <c r="D16" s="393">
        <v>10.199999999999999</v>
      </c>
      <c r="E16" s="393">
        <v>9.82</v>
      </c>
      <c r="F16" s="393">
        <f>D16-E16</f>
        <v>0.37999999999999901</v>
      </c>
      <c r="G16" s="394">
        <v>102</v>
      </c>
      <c r="H16" s="394">
        <v>3</v>
      </c>
      <c r="I16" s="394">
        <v>4</v>
      </c>
      <c r="J16" s="408">
        <v>0</v>
      </c>
      <c r="K16" s="397">
        <v>2200000</v>
      </c>
    </row>
    <row r="17" spans="1:11" ht="13.8" thickBot="1" x14ac:dyDescent="0.3">
      <c r="A17" s="1261"/>
      <c r="B17" s="398" t="s">
        <v>307</v>
      </c>
      <c r="C17" s="411">
        <v>3052</v>
      </c>
      <c r="D17" s="401">
        <v>0.92</v>
      </c>
      <c r="E17" s="401">
        <v>0.92</v>
      </c>
      <c r="F17" s="401">
        <v>0</v>
      </c>
      <c r="G17" s="402">
        <v>24</v>
      </c>
      <c r="H17" s="402">
        <v>1</v>
      </c>
      <c r="I17" s="402">
        <v>1</v>
      </c>
      <c r="J17" s="412">
        <v>0</v>
      </c>
      <c r="K17" s="397">
        <v>800000</v>
      </c>
    </row>
    <row r="18" spans="1:11" x14ac:dyDescent="0.25">
      <c r="A18" s="1259" t="s">
        <v>308</v>
      </c>
      <c r="B18" s="384" t="s">
        <v>309</v>
      </c>
      <c r="C18" s="385">
        <f>58671+643</f>
        <v>59314</v>
      </c>
      <c r="D18" s="386">
        <v>49.51</v>
      </c>
      <c r="E18" s="387">
        <v>48.47</v>
      </c>
      <c r="F18" s="386">
        <f>+D18-E18</f>
        <v>1.0399999999999991</v>
      </c>
      <c r="G18" s="413">
        <v>3</v>
      </c>
      <c r="H18" s="387">
        <v>2</v>
      </c>
      <c r="I18" s="387">
        <v>2</v>
      </c>
      <c r="J18" s="388">
        <v>0</v>
      </c>
      <c r="K18" s="397">
        <v>5000000</v>
      </c>
    </row>
    <row r="19" spans="1:11" x14ac:dyDescent="0.25">
      <c r="A19" s="1260"/>
      <c r="B19" s="390" t="s">
        <v>310</v>
      </c>
      <c r="C19" s="406">
        <v>167819</v>
      </c>
      <c r="D19" s="393">
        <v>112.89</v>
      </c>
      <c r="E19" s="394">
        <v>90.1</v>
      </c>
      <c r="F19" s="394">
        <v>22.8</v>
      </c>
      <c r="G19" s="414">
        <v>738</v>
      </c>
      <c r="H19" s="394">
        <v>5</v>
      </c>
      <c r="I19" s="394">
        <v>5</v>
      </c>
      <c r="J19" s="408">
        <v>0</v>
      </c>
      <c r="K19" s="397">
        <v>8000000</v>
      </c>
    </row>
    <row r="20" spans="1:11" ht="13.8" thickBot="1" x14ac:dyDescent="0.3">
      <c r="A20" s="1261"/>
      <c r="B20" s="398" t="s">
        <v>311</v>
      </c>
      <c r="C20" s="411">
        <v>16946</v>
      </c>
      <c r="D20" s="401">
        <v>11.07</v>
      </c>
      <c r="E20" s="402">
        <v>10.7</v>
      </c>
      <c r="F20" s="401">
        <f>+D20-E20</f>
        <v>0.37000000000000099</v>
      </c>
      <c r="G20" s="415">
        <v>9</v>
      </c>
      <c r="H20" s="402">
        <v>3</v>
      </c>
      <c r="I20" s="402">
        <v>3</v>
      </c>
      <c r="J20" s="412">
        <v>0</v>
      </c>
      <c r="K20" s="397">
        <v>2500000</v>
      </c>
    </row>
    <row r="21" spans="1:11" x14ac:dyDescent="0.25">
      <c r="A21" s="1259" t="s">
        <v>312</v>
      </c>
      <c r="B21" s="384" t="s">
        <v>313</v>
      </c>
      <c r="C21" s="416">
        <v>249394</v>
      </c>
      <c r="D21" s="417">
        <f>E21+F21</f>
        <v>175</v>
      </c>
      <c r="E21" s="417">
        <v>168</v>
      </c>
      <c r="F21" s="417">
        <v>7</v>
      </c>
      <c r="G21" s="405">
        <v>368</v>
      </c>
      <c r="H21" s="387">
        <v>1</v>
      </c>
      <c r="I21" s="387">
        <v>1</v>
      </c>
      <c r="J21" s="388">
        <v>0</v>
      </c>
      <c r="K21" s="397">
        <v>13000000</v>
      </c>
    </row>
    <row r="22" spans="1:11" x14ac:dyDescent="0.25">
      <c r="A22" s="1260"/>
      <c r="B22" s="390" t="s">
        <v>314</v>
      </c>
      <c r="C22" s="406">
        <v>29161</v>
      </c>
      <c r="D22" s="393">
        <f>+E22+F22</f>
        <v>31.45</v>
      </c>
      <c r="E22" s="393">
        <v>30.9</v>
      </c>
      <c r="F22" s="393">
        <v>0.55000000000000004</v>
      </c>
      <c r="G22" s="418">
        <v>14</v>
      </c>
      <c r="H22" s="394">
        <v>2</v>
      </c>
      <c r="I22" s="418">
        <v>3</v>
      </c>
      <c r="J22" s="408">
        <v>0</v>
      </c>
      <c r="K22" s="397">
        <v>2700000</v>
      </c>
    </row>
    <row r="23" spans="1:11" ht="13.8" thickBot="1" x14ac:dyDescent="0.3">
      <c r="A23" s="1261"/>
      <c r="B23" s="398" t="s">
        <v>315</v>
      </c>
      <c r="C23" s="419">
        <v>20167</v>
      </c>
      <c r="D23" s="420">
        <v>22.05</v>
      </c>
      <c r="E23" s="420">
        <v>21.72</v>
      </c>
      <c r="F23" s="420">
        <f>+D23-E23</f>
        <v>0.33000000000000185</v>
      </c>
      <c r="G23" s="421">
        <v>14</v>
      </c>
      <c r="H23" s="402">
        <v>2</v>
      </c>
      <c r="I23" s="402">
        <v>2</v>
      </c>
      <c r="J23" s="412">
        <v>0</v>
      </c>
      <c r="K23" s="397">
        <v>2400000</v>
      </c>
    </row>
    <row r="24" spans="1:11" s="432" customFormat="1" x14ac:dyDescent="0.25">
      <c r="A24" s="1262" t="s">
        <v>316</v>
      </c>
      <c r="B24" s="425" t="s">
        <v>317</v>
      </c>
      <c r="C24" s="426">
        <v>1183421</v>
      </c>
      <c r="D24" s="427">
        <f>E24+F24</f>
        <v>1298.7</v>
      </c>
      <c r="E24" s="427">
        <v>1212</v>
      </c>
      <c r="F24" s="427">
        <v>86.7</v>
      </c>
      <c r="G24" s="428" t="s">
        <v>295</v>
      </c>
      <c r="H24" s="429">
        <v>7</v>
      </c>
      <c r="I24" s="429">
        <v>2</v>
      </c>
      <c r="J24" s="430">
        <v>2</v>
      </c>
      <c r="K24" s="431"/>
    </row>
    <row r="25" spans="1:11" s="432" customFormat="1" x14ac:dyDescent="0.25">
      <c r="A25" s="1263"/>
      <c r="B25" s="433" t="s">
        <v>318</v>
      </c>
      <c r="C25" s="426">
        <v>27760</v>
      </c>
      <c r="D25" s="434">
        <v>12</v>
      </c>
      <c r="E25" s="434">
        <v>12</v>
      </c>
      <c r="F25" s="434">
        <v>0</v>
      </c>
      <c r="G25" s="435">
        <v>0</v>
      </c>
      <c r="H25" s="435">
        <v>1</v>
      </c>
      <c r="I25" s="435">
        <v>1</v>
      </c>
      <c r="J25" s="436">
        <v>0</v>
      </c>
      <c r="K25" s="431"/>
    </row>
    <row r="26" spans="1:11" s="432" customFormat="1" ht="13.8" thickBot="1" x14ac:dyDescent="0.3">
      <c r="A26" s="1264"/>
      <c r="B26" s="437" t="s">
        <v>319</v>
      </c>
      <c r="C26" s="438">
        <v>29009</v>
      </c>
      <c r="D26" s="439">
        <f>E26+F26</f>
        <v>45.5</v>
      </c>
      <c r="E26" s="440">
        <v>44</v>
      </c>
      <c r="F26" s="440">
        <v>1.5</v>
      </c>
      <c r="G26" s="441">
        <v>0</v>
      </c>
      <c r="H26" s="441">
        <v>3</v>
      </c>
      <c r="I26" s="441">
        <v>2</v>
      </c>
      <c r="J26" s="442">
        <v>0</v>
      </c>
      <c r="K26" s="431"/>
    </row>
    <row r="27" spans="1:11" s="432" customFormat="1" ht="15.6" thickBot="1" x14ac:dyDescent="0.3">
      <c r="A27" s="450" t="s">
        <v>320</v>
      </c>
      <c r="B27" s="444" t="s">
        <v>321</v>
      </c>
      <c r="C27" s="445">
        <v>32166</v>
      </c>
      <c r="D27" s="446">
        <f>E27+F27</f>
        <v>29.34</v>
      </c>
      <c r="E27" s="446">
        <v>27.5</v>
      </c>
      <c r="F27" s="446">
        <v>1.84</v>
      </c>
      <c r="G27" s="448">
        <v>0</v>
      </c>
      <c r="H27" s="448">
        <v>1</v>
      </c>
      <c r="I27" s="448">
        <v>1</v>
      </c>
      <c r="J27" s="449">
        <v>0</v>
      </c>
      <c r="K27" s="431"/>
    </row>
    <row r="28" spans="1:11" s="432" customFormat="1" ht="15" customHeight="1" x14ac:dyDescent="0.25">
      <c r="A28" s="1253" t="s">
        <v>322</v>
      </c>
      <c r="B28" s="451" t="s">
        <v>323</v>
      </c>
      <c r="C28" s="452">
        <v>334608</v>
      </c>
      <c r="D28" s="453">
        <v>615</v>
      </c>
      <c r="E28" s="454">
        <f>D28-F28</f>
        <v>609.4</v>
      </c>
      <c r="F28" s="454">
        <v>5.6</v>
      </c>
      <c r="G28" s="455">
        <v>1664</v>
      </c>
      <c r="H28" s="455">
        <v>1</v>
      </c>
      <c r="I28" s="455">
        <v>0</v>
      </c>
      <c r="J28" s="456">
        <v>0</v>
      </c>
      <c r="K28" s="457"/>
    </row>
    <row r="29" spans="1:11" ht="12.75" customHeight="1" x14ac:dyDescent="0.25">
      <c r="A29" s="1254"/>
      <c r="B29" s="422" t="s">
        <v>324</v>
      </c>
      <c r="C29" s="373">
        <v>208000</v>
      </c>
      <c r="D29" s="372">
        <v>200</v>
      </c>
      <c r="E29" s="372">
        <v>180</v>
      </c>
      <c r="F29" s="372">
        <v>20</v>
      </c>
      <c r="G29" s="372"/>
      <c r="H29" s="372">
        <v>2</v>
      </c>
      <c r="I29" s="372"/>
      <c r="J29" s="372"/>
      <c r="K29" s="397"/>
    </row>
    <row r="30" spans="1:11" ht="12.75" customHeight="1" thickBot="1" x14ac:dyDescent="0.3">
      <c r="A30" s="1255"/>
      <c r="B30" s="390" t="s">
        <v>325</v>
      </c>
      <c r="C30" s="373">
        <v>150350</v>
      </c>
      <c r="D30" s="372">
        <v>233</v>
      </c>
      <c r="E30" s="372"/>
      <c r="F30" s="372"/>
      <c r="G30" s="372"/>
      <c r="H30" s="372">
        <v>2</v>
      </c>
      <c r="I30" s="372"/>
      <c r="J30" s="372"/>
      <c r="K30" s="397">
        <v>14005000</v>
      </c>
    </row>
    <row r="31" spans="1:11" x14ac:dyDescent="0.25">
      <c r="A31" s="423" t="s">
        <v>326</v>
      </c>
      <c r="B31" s="372" t="s">
        <v>327</v>
      </c>
      <c r="C31" s="373">
        <v>338000</v>
      </c>
      <c r="D31" s="372">
        <v>310</v>
      </c>
      <c r="E31" s="372">
        <v>295</v>
      </c>
      <c r="F31" s="372">
        <v>15</v>
      </c>
      <c r="G31" s="372">
        <v>0</v>
      </c>
      <c r="H31" s="372">
        <v>5</v>
      </c>
      <c r="I31" s="372">
        <v>0</v>
      </c>
      <c r="J31" s="372">
        <v>0</v>
      </c>
      <c r="K31" s="397">
        <v>4500000</v>
      </c>
    </row>
    <row r="32" spans="1:11" x14ac:dyDescent="0.25">
      <c r="B32" s="424" t="s">
        <v>328</v>
      </c>
      <c r="C32" s="373">
        <v>178454</v>
      </c>
      <c r="H32" s="460">
        <v>3</v>
      </c>
    </row>
  </sheetData>
  <mergeCells count="7">
    <mergeCell ref="A28:A30"/>
    <mergeCell ref="A4:A7"/>
    <mergeCell ref="A9:A13"/>
    <mergeCell ref="A14:A17"/>
    <mergeCell ref="A18:A20"/>
    <mergeCell ref="A21:A23"/>
    <mergeCell ref="A24:A26"/>
  </mergeCells>
  <pageMargins left="0.7" right="0.7" top="0.75" bottom="0.75" header="0.3" footer="0.3"/>
  <pageSetup scale="7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22"/>
  <sheetViews>
    <sheetView workbookViewId="0">
      <selection activeCell="H11" sqref="H11"/>
    </sheetView>
  </sheetViews>
  <sheetFormatPr defaultColWidth="11.5546875" defaultRowHeight="13.2" x14ac:dyDescent="0.25"/>
  <cols>
    <col min="2" max="2" width="33.109375" customWidth="1"/>
  </cols>
  <sheetData>
    <row r="2" spans="2:7" x14ac:dyDescent="0.25">
      <c r="B2" t="s">
        <v>329</v>
      </c>
      <c r="C2" t="s">
        <v>330</v>
      </c>
      <c r="D2" s="459">
        <v>5505859.4594594594</v>
      </c>
      <c r="F2" t="s">
        <v>330</v>
      </c>
      <c r="G2" s="459">
        <f>+D2+D6+D9+D15+D20</f>
        <v>10773619.459459459</v>
      </c>
    </row>
    <row r="3" spans="2:7" x14ac:dyDescent="0.25">
      <c r="B3" t="s">
        <v>331</v>
      </c>
      <c r="C3" t="s">
        <v>332</v>
      </c>
      <c r="D3" s="459">
        <v>786551.35135135136</v>
      </c>
      <c r="F3" t="s">
        <v>332</v>
      </c>
      <c r="G3" s="459">
        <f>+D3+D7+D10+D13+D14+D21+D16</f>
        <v>1676891.3513513515</v>
      </c>
    </row>
    <row r="4" spans="2:7" x14ac:dyDescent="0.25">
      <c r="B4" t="s">
        <v>333</v>
      </c>
      <c r="C4" t="s">
        <v>81</v>
      </c>
      <c r="D4" s="459">
        <v>1573102.7027027027</v>
      </c>
      <c r="F4" t="s">
        <v>81</v>
      </c>
      <c r="G4" s="459">
        <f>+D4+D8+D11+D17+D22</f>
        <v>3053782.702702703</v>
      </c>
    </row>
    <row r="5" spans="2:7" ht="60" customHeight="1" x14ac:dyDescent="0.25">
      <c r="B5" s="458" t="s">
        <v>334</v>
      </c>
      <c r="D5" s="459">
        <v>1160000</v>
      </c>
    </row>
    <row r="6" spans="2:7" x14ac:dyDescent="0.25">
      <c r="B6" t="s">
        <v>335</v>
      </c>
      <c r="C6" t="s">
        <v>330</v>
      </c>
      <c r="D6" s="459">
        <v>1319760</v>
      </c>
    </row>
    <row r="7" spans="2:7" x14ac:dyDescent="0.25">
      <c r="B7" t="s">
        <v>336</v>
      </c>
      <c r="C7" t="s">
        <v>332</v>
      </c>
      <c r="D7" s="459">
        <v>219960</v>
      </c>
    </row>
    <row r="8" spans="2:7" x14ac:dyDescent="0.25">
      <c r="B8" t="s">
        <v>337</v>
      </c>
      <c r="C8" t="s">
        <v>81</v>
      </c>
      <c r="D8" s="459">
        <v>439920</v>
      </c>
    </row>
    <row r="9" spans="2:7" x14ac:dyDescent="0.25">
      <c r="B9" t="s">
        <v>338</v>
      </c>
      <c r="C9" t="s">
        <v>330</v>
      </c>
      <c r="D9" s="459">
        <v>1470000</v>
      </c>
    </row>
    <row r="10" spans="2:7" x14ac:dyDescent="0.25">
      <c r="B10" t="s">
        <v>339</v>
      </c>
      <c r="C10" t="s">
        <v>332</v>
      </c>
      <c r="D10" s="459">
        <v>166380</v>
      </c>
    </row>
    <row r="11" spans="2:7" x14ac:dyDescent="0.25">
      <c r="B11" t="s">
        <v>340</v>
      </c>
      <c r="C11" t="s">
        <v>81</v>
      </c>
      <c r="D11" s="459">
        <v>332760</v>
      </c>
    </row>
    <row r="12" spans="2:7" x14ac:dyDescent="0.25">
      <c r="B12" t="s">
        <v>341</v>
      </c>
      <c r="D12" s="459">
        <v>1222000</v>
      </c>
    </row>
    <row r="13" spans="2:7" x14ac:dyDescent="0.25">
      <c r="B13" t="s">
        <v>342</v>
      </c>
      <c r="C13" t="s">
        <v>332</v>
      </c>
      <c r="D13" s="459">
        <v>60000</v>
      </c>
    </row>
    <row r="14" spans="2:7" x14ac:dyDescent="0.25">
      <c r="B14" t="s">
        <v>343</v>
      </c>
      <c r="C14" t="s">
        <v>332</v>
      </c>
      <c r="D14" s="459">
        <v>90000</v>
      </c>
    </row>
    <row r="15" spans="2:7" x14ac:dyDescent="0.25">
      <c r="B15" t="s">
        <v>344</v>
      </c>
      <c r="C15" t="s">
        <v>330</v>
      </c>
      <c r="D15" s="459">
        <v>1890000</v>
      </c>
    </row>
    <row r="16" spans="2:7" x14ac:dyDescent="0.25">
      <c r="B16" t="s">
        <v>344</v>
      </c>
      <c r="C16" t="s">
        <v>345</v>
      </c>
      <c r="D16" s="459">
        <v>270000</v>
      </c>
    </row>
    <row r="17" spans="2:4" x14ac:dyDescent="0.25">
      <c r="B17" t="s">
        <v>344</v>
      </c>
      <c r="C17" t="s">
        <v>81</v>
      </c>
      <c r="D17" s="459">
        <v>540000</v>
      </c>
    </row>
    <row r="18" spans="2:4" ht="66.75" customHeight="1" x14ac:dyDescent="0.25">
      <c r="B18" s="458" t="s">
        <v>346</v>
      </c>
      <c r="D18" s="459">
        <v>0</v>
      </c>
    </row>
    <row r="19" spans="2:4" x14ac:dyDescent="0.25">
      <c r="B19" t="s">
        <v>347</v>
      </c>
      <c r="D19" s="459">
        <v>840000</v>
      </c>
    </row>
    <row r="20" spans="2:4" x14ac:dyDescent="0.25">
      <c r="B20" t="s">
        <v>347</v>
      </c>
      <c r="C20" t="s">
        <v>330</v>
      </c>
      <c r="D20" s="459">
        <v>588000</v>
      </c>
    </row>
    <row r="21" spans="2:4" x14ac:dyDescent="0.25">
      <c r="B21" t="s">
        <v>347</v>
      </c>
      <c r="C21" t="s">
        <v>345</v>
      </c>
      <c r="D21" s="459">
        <v>84000</v>
      </c>
    </row>
    <row r="22" spans="2:4" x14ac:dyDescent="0.25">
      <c r="B22" t="s">
        <v>347</v>
      </c>
      <c r="C22" t="s">
        <v>81</v>
      </c>
      <c r="D22" s="459">
        <v>168000</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2"/>
  <sheetViews>
    <sheetView showGridLines="0" topLeftCell="D1" zoomScale="80" zoomScaleNormal="80" workbookViewId="0">
      <selection activeCell="J27" sqref="J27"/>
    </sheetView>
  </sheetViews>
  <sheetFormatPr defaultColWidth="11.44140625" defaultRowHeight="13.2" x14ac:dyDescent="0.25"/>
  <cols>
    <col min="1" max="1" width="2.5546875" style="173" customWidth="1"/>
    <col min="2" max="2" width="2.109375" style="173" customWidth="1"/>
    <col min="3" max="3" width="5" style="173" bestFit="1" customWidth="1"/>
    <col min="4" max="4" width="89.109375" style="173" bestFit="1" customWidth="1"/>
    <col min="5" max="5" width="12.88671875" style="173" customWidth="1"/>
    <col min="6" max="6" width="17" style="173" bestFit="1" customWidth="1"/>
    <col min="7" max="7" width="16.88671875" style="173" bestFit="1" customWidth="1"/>
    <col min="8" max="10" width="16.33203125" style="173" bestFit="1" customWidth="1"/>
    <col min="11" max="12" width="17.44140625" style="173" bestFit="1" customWidth="1"/>
    <col min="13" max="13" width="15.44140625" style="173" bestFit="1" customWidth="1"/>
    <col min="14" max="17" width="11.44140625" style="173"/>
    <col min="18" max="19" width="15.109375" style="173" bestFit="1" customWidth="1"/>
    <col min="20" max="16384" width="11.44140625" style="173"/>
  </cols>
  <sheetData>
    <row r="1" spans="1:36" ht="13.8" thickBot="1" x14ac:dyDescent="0.3"/>
    <row r="2" spans="1:36" s="2" customFormat="1" ht="14.4" thickBot="1" x14ac:dyDescent="0.3">
      <c r="D2" s="1238" t="s">
        <v>0</v>
      </c>
      <c r="E2" s="1239"/>
      <c r="F2" s="1239"/>
      <c r="G2" s="1239"/>
      <c r="H2" s="1239"/>
      <c r="I2" s="1239"/>
      <c r="J2" s="1239"/>
      <c r="K2" s="1240"/>
      <c r="L2" s="3"/>
      <c r="M2" s="3"/>
      <c r="N2" s="3"/>
      <c r="O2" s="3"/>
      <c r="P2" s="4"/>
    </row>
    <row r="3" spans="1:36" s="2" customFormat="1" ht="65.25" customHeight="1" thickBot="1" x14ac:dyDescent="0.3">
      <c r="D3" s="1241" t="s">
        <v>1</v>
      </c>
      <c r="E3" s="1242"/>
      <c r="F3" s="1242"/>
      <c r="G3" s="1242"/>
      <c r="H3" s="1242"/>
      <c r="I3" s="1242"/>
      <c r="J3" s="1242"/>
      <c r="K3" s="1243"/>
      <c r="L3" s="5"/>
      <c r="M3" s="5"/>
      <c r="N3" s="5"/>
      <c r="O3" s="5"/>
      <c r="P3" s="6"/>
      <c r="Q3" s="7"/>
      <c r="R3" s="7"/>
      <c r="S3" s="7"/>
      <c r="V3" s="7"/>
      <c r="W3" s="7"/>
      <c r="X3" s="7"/>
      <c r="Y3" s="7"/>
      <c r="Z3" s="7"/>
      <c r="AA3" s="7"/>
      <c r="AB3" s="7"/>
      <c r="AC3" s="7"/>
      <c r="AD3" s="7"/>
      <c r="AE3" s="7"/>
      <c r="AF3" s="7"/>
      <c r="AG3" s="7"/>
      <c r="AH3" s="7"/>
      <c r="AI3" s="7"/>
      <c r="AJ3" s="7"/>
    </row>
    <row r="4" spans="1:36" s="2" customFormat="1" ht="13.8" thickBot="1" x14ac:dyDescent="0.3">
      <c r="D4" s="128"/>
      <c r="E4" s="128"/>
      <c r="F4" s="128"/>
      <c r="G4" s="128"/>
      <c r="H4" s="128"/>
      <c r="I4" s="5"/>
      <c r="J4" s="5"/>
      <c r="K4" s="5"/>
      <c r="L4" s="5"/>
      <c r="M4" s="5"/>
      <c r="N4" s="5"/>
      <c r="O4" s="5"/>
      <c r="P4" s="6"/>
      <c r="Q4" s="7"/>
      <c r="R4" s="7"/>
      <c r="S4" s="7"/>
      <c r="V4" s="7"/>
      <c r="W4" s="7"/>
      <c r="X4" s="7"/>
      <c r="Y4" s="7"/>
      <c r="Z4" s="7"/>
      <c r="AA4" s="7"/>
      <c r="AB4" s="7"/>
      <c r="AC4" s="7"/>
      <c r="AD4" s="7"/>
      <c r="AE4" s="7"/>
      <c r="AF4" s="7"/>
      <c r="AG4" s="7"/>
      <c r="AH4" s="7"/>
      <c r="AI4" s="7"/>
      <c r="AJ4" s="7"/>
    </row>
    <row r="5" spans="1:36" s="2" customFormat="1" ht="14.4" thickBot="1" x14ac:dyDescent="0.3">
      <c r="D5" s="124" t="s">
        <v>74</v>
      </c>
      <c r="E5" s="122" t="s">
        <v>68</v>
      </c>
      <c r="F5" s="129" t="e">
        <f>F50</f>
        <v>#REF!</v>
      </c>
      <c r="G5" s="129" t="e">
        <f>G50</f>
        <v>#REF!</v>
      </c>
      <c r="H5" s="129" t="e">
        <f>H50</f>
        <v>#REF!</v>
      </c>
      <c r="I5" s="129" t="e">
        <f>I50</f>
        <v>#REF!</v>
      </c>
      <c r="J5" s="129" t="e">
        <f>J50</f>
        <v>#REF!</v>
      </c>
      <c r="K5" s="130" t="e">
        <f>SUM(F5:J5)</f>
        <v>#REF!</v>
      </c>
      <c r="L5" s="139" t="e">
        <f>IF(NOT(K5=125000000),"El valor total debe coincidir con el valor total del préstamo (USD 125.000.000)"," ")</f>
        <v>#REF!</v>
      </c>
      <c r="M5" s="5"/>
      <c r="N5" s="5"/>
      <c r="O5" s="5"/>
      <c r="P5" s="6"/>
      <c r="Q5" s="7"/>
      <c r="R5" s="7"/>
      <c r="S5" s="7"/>
      <c r="V5" s="7"/>
      <c r="W5" s="7"/>
      <c r="X5" s="7"/>
      <c r="Y5" s="7"/>
      <c r="Z5" s="7"/>
      <c r="AA5" s="7"/>
      <c r="AB5" s="7"/>
      <c r="AC5" s="7"/>
      <c r="AD5" s="7"/>
      <c r="AE5" s="7"/>
      <c r="AF5" s="7"/>
      <c r="AG5" s="7"/>
      <c r="AH5" s="7"/>
      <c r="AI5" s="7"/>
      <c r="AJ5" s="7"/>
    </row>
    <row r="6" spans="1:36" ht="13.8" thickBot="1" x14ac:dyDescent="0.3"/>
    <row r="7" spans="1:36" ht="15" customHeight="1" x14ac:dyDescent="0.25">
      <c r="D7" s="1231" t="s">
        <v>98</v>
      </c>
      <c r="E7" s="1232"/>
      <c r="F7" s="1232"/>
      <c r="G7" s="1232"/>
      <c r="H7" s="1232"/>
      <c r="I7" s="1232"/>
      <c r="J7" s="1232"/>
      <c r="K7" s="1233"/>
      <c r="L7" s="112"/>
    </row>
    <row r="8" spans="1:36" ht="15" customHeight="1" thickBot="1" x14ac:dyDescent="0.3">
      <c r="D8" s="1234"/>
      <c r="E8" s="1235"/>
      <c r="F8" s="1235"/>
      <c r="G8" s="1235"/>
      <c r="H8" s="1235"/>
      <c r="I8" s="1235"/>
      <c r="J8" s="1235"/>
      <c r="K8" s="1237"/>
      <c r="L8" s="112"/>
    </row>
    <row r="9" spans="1:36" ht="27" thickBot="1" x14ac:dyDescent="0.3">
      <c r="D9" s="127" t="s">
        <v>15</v>
      </c>
      <c r="E9" s="165" t="s">
        <v>3</v>
      </c>
      <c r="F9" s="48" t="s">
        <v>8</v>
      </c>
      <c r="G9" s="164" t="s">
        <v>9</v>
      </c>
      <c r="H9" s="164" t="s">
        <v>10</v>
      </c>
      <c r="I9" s="164" t="s">
        <v>11</v>
      </c>
      <c r="J9" s="52" t="s">
        <v>12</v>
      </c>
      <c r="K9" s="165" t="s">
        <v>67</v>
      </c>
      <c r="L9" s="112"/>
    </row>
    <row r="10" spans="1:36" ht="13.8" x14ac:dyDescent="0.25">
      <c r="A10" s="112"/>
      <c r="B10" s="112"/>
      <c r="C10" s="315">
        <v>2.4</v>
      </c>
      <c r="D10" s="125" t="s">
        <v>56</v>
      </c>
      <c r="E10" s="126" t="s">
        <v>68</v>
      </c>
      <c r="F10" s="361" t="e">
        <f>Costos!F13/#REF!</f>
        <v>#REF!</v>
      </c>
      <c r="G10" s="361" t="e">
        <f>Costos!G13/#REF!</f>
        <v>#REF!</v>
      </c>
      <c r="H10" s="361" t="e">
        <f>Costos!H13/#REF!</f>
        <v>#REF!</v>
      </c>
      <c r="I10" s="361" t="e">
        <f>Costos!I13/#REF!</f>
        <v>#REF!</v>
      </c>
      <c r="J10" s="361" t="e">
        <f>Costos!J13/#REF!</f>
        <v>#REF!</v>
      </c>
      <c r="K10" s="340" t="e">
        <f>SUM(F10:J10)</f>
        <v>#REF!</v>
      </c>
    </row>
    <row r="11" spans="1:36" ht="13.8" x14ac:dyDescent="0.25">
      <c r="A11" s="112"/>
      <c r="B11" s="112"/>
      <c r="C11" s="315">
        <v>2.5</v>
      </c>
      <c r="D11" s="113" t="s">
        <v>21</v>
      </c>
      <c r="E11" s="118" t="s">
        <v>68</v>
      </c>
      <c r="F11" s="361" t="e">
        <f>Costos!F14/#REF!</f>
        <v>#REF!</v>
      </c>
      <c r="G11" s="361" t="e">
        <f>Costos!G14/#REF!</f>
        <v>#REF!</v>
      </c>
      <c r="H11" s="361" t="e">
        <f>Costos!H14/#REF!</f>
        <v>#REF!</v>
      </c>
      <c r="I11" s="361" t="e">
        <f>Costos!I14/#REF!</f>
        <v>#REF!</v>
      </c>
      <c r="J11" s="361" t="e">
        <f>Costos!J14/#REF!</f>
        <v>#REF!</v>
      </c>
      <c r="K11" s="340" t="e">
        <f>SUM(F11:J11)</f>
        <v>#REF!</v>
      </c>
    </row>
    <row r="12" spans="1:36" ht="13.8" x14ac:dyDescent="0.25">
      <c r="A12" s="112"/>
      <c r="B12" s="112"/>
      <c r="C12" s="315">
        <v>2.6</v>
      </c>
      <c r="D12" s="322" t="s">
        <v>63</v>
      </c>
      <c r="E12" s="118" t="s">
        <v>68</v>
      </c>
      <c r="F12" s="361" t="e">
        <f>Costos!F15/#REF!</f>
        <v>#REF!</v>
      </c>
      <c r="G12" s="361" t="e">
        <f>Costos!G15/#REF!</f>
        <v>#REF!</v>
      </c>
      <c r="H12" s="361" t="e">
        <f>Costos!H15/#REF!</f>
        <v>#REF!</v>
      </c>
      <c r="I12" s="361" t="e">
        <f>Costos!I15/#REF!</f>
        <v>#REF!</v>
      </c>
      <c r="J12" s="361" t="e">
        <f>Costos!J15/#REF!</f>
        <v>#REF!</v>
      </c>
      <c r="K12" s="340" t="e">
        <f>SUM(F12:J12)</f>
        <v>#REF!</v>
      </c>
    </row>
    <row r="13" spans="1:36" ht="13.8" x14ac:dyDescent="0.25">
      <c r="A13" s="112"/>
      <c r="B13" s="112"/>
      <c r="C13" s="315">
        <v>2.7</v>
      </c>
      <c r="D13" s="321" t="s">
        <v>259</v>
      </c>
      <c r="E13" s="118" t="s">
        <v>68</v>
      </c>
      <c r="F13" s="361" t="e">
        <f>Costos!F16/#REF!</f>
        <v>#REF!</v>
      </c>
      <c r="G13" s="361" t="e">
        <f>Costos!G16/#REF!</f>
        <v>#REF!</v>
      </c>
      <c r="H13" s="361" t="e">
        <f>Costos!H16/#REF!</f>
        <v>#REF!</v>
      </c>
      <c r="I13" s="361" t="e">
        <f>Costos!I16/#REF!</f>
        <v>#REF!</v>
      </c>
      <c r="J13" s="361" t="e">
        <f>Costos!J16/#REF!</f>
        <v>#REF!</v>
      </c>
      <c r="K13" s="340" t="e">
        <f>SUM(F13:J13)</f>
        <v>#REF!</v>
      </c>
    </row>
    <row r="14" spans="1:36" ht="14.4" thickBot="1" x14ac:dyDescent="0.3">
      <c r="A14" s="112"/>
      <c r="B14" s="112"/>
      <c r="C14" s="315">
        <v>2.8</v>
      </c>
      <c r="D14" s="38" t="s">
        <v>239</v>
      </c>
      <c r="E14" s="121" t="s">
        <v>68</v>
      </c>
      <c r="F14" s="361" t="e">
        <f>Costos!#REF!/#REF!</f>
        <v>#REF!</v>
      </c>
      <c r="G14" s="361" t="e">
        <f>Costos!#REF!/#REF!</f>
        <v>#REF!</v>
      </c>
      <c r="H14" s="361" t="e">
        <f>Costos!#REF!/#REF!</f>
        <v>#REF!</v>
      </c>
      <c r="I14" s="361" t="e">
        <f>Costos!#REF!/#REF!</f>
        <v>#REF!</v>
      </c>
      <c r="J14" s="361" t="e">
        <f>Costos!#REF!/#REF!</f>
        <v>#REF!</v>
      </c>
      <c r="K14" s="141" t="e">
        <f>SUM(F14:J14)</f>
        <v>#REF!</v>
      </c>
      <c r="P14" s="173">
        <v>800</v>
      </c>
      <c r="Q14" s="173">
        <v>2000</v>
      </c>
      <c r="R14" s="173">
        <v>3</v>
      </c>
      <c r="S14" s="173">
        <v>3</v>
      </c>
      <c r="T14" s="33">
        <f>(S14*R14*P14)+(Q14*R14)</f>
        <v>13200</v>
      </c>
    </row>
    <row r="15" spans="1:36" ht="14.4" thickBot="1" x14ac:dyDescent="0.3">
      <c r="C15" s="316"/>
      <c r="D15" s="124" t="s">
        <v>67</v>
      </c>
      <c r="E15" s="122" t="s">
        <v>68</v>
      </c>
      <c r="F15" s="129" t="e">
        <f t="shared" ref="F15:K15" si="0">SUM(F10:F14)</f>
        <v>#REF!</v>
      </c>
      <c r="G15" s="129" t="e">
        <f t="shared" si="0"/>
        <v>#REF!</v>
      </c>
      <c r="H15" s="129" t="e">
        <f t="shared" si="0"/>
        <v>#REF!</v>
      </c>
      <c r="I15" s="129" t="e">
        <f t="shared" si="0"/>
        <v>#REF!</v>
      </c>
      <c r="J15" s="341" t="e">
        <f t="shared" si="0"/>
        <v>#REF!</v>
      </c>
      <c r="K15" s="130" t="e">
        <f t="shared" si="0"/>
        <v>#REF!</v>
      </c>
      <c r="L15" s="139" t="e">
        <f>IF(NOT(K15=5700000),"El valor total debe coincidir con el valor total de la Categoría II.1 (USD 5.700.000)"," ")</f>
        <v>#REF!</v>
      </c>
      <c r="T15" s="173">
        <f>T14/9</f>
        <v>1466.6666666666667</v>
      </c>
    </row>
    <row r="16" spans="1:36" ht="15" thickBot="1" x14ac:dyDescent="0.3">
      <c r="C16" s="316"/>
      <c r="D16" s="34"/>
      <c r="L16" s="368" t="e">
        <f>5700000-K15</f>
        <v>#REF!</v>
      </c>
    </row>
    <row r="17" spans="1:12" ht="15" customHeight="1" x14ac:dyDescent="0.25">
      <c r="C17" s="316"/>
      <c r="D17" s="1231" t="s">
        <v>110</v>
      </c>
      <c r="E17" s="1232"/>
      <c r="F17" s="1232"/>
      <c r="G17" s="1232"/>
      <c r="H17" s="1232"/>
      <c r="I17" s="1232"/>
      <c r="J17" s="1232"/>
      <c r="K17" s="1233"/>
      <c r="L17" s="142"/>
    </row>
    <row r="18" spans="1:12" ht="15.75" customHeight="1" thickBot="1" x14ac:dyDescent="0.3">
      <c r="C18" s="316"/>
      <c r="D18" s="1234"/>
      <c r="E18" s="1235"/>
      <c r="F18" s="1235"/>
      <c r="G18" s="1235"/>
      <c r="H18" s="1235"/>
      <c r="I18" s="1235"/>
      <c r="J18" s="1235"/>
      <c r="K18" s="1236"/>
      <c r="L18" s="142"/>
    </row>
    <row r="19" spans="1:12" ht="27" thickBot="1" x14ac:dyDescent="0.3">
      <c r="C19" s="316"/>
      <c r="D19" s="127" t="s">
        <v>15</v>
      </c>
      <c r="E19" s="165" t="s">
        <v>3</v>
      </c>
      <c r="F19" s="48" t="s">
        <v>8</v>
      </c>
      <c r="G19" s="164" t="s">
        <v>9</v>
      </c>
      <c r="H19" s="164" t="s">
        <v>10</v>
      </c>
      <c r="I19" s="164" t="s">
        <v>11</v>
      </c>
      <c r="J19" s="52" t="s">
        <v>12</v>
      </c>
      <c r="K19" s="165" t="s">
        <v>67</v>
      </c>
      <c r="L19" s="112"/>
    </row>
    <row r="20" spans="1:12" ht="13.8" x14ac:dyDescent="0.25">
      <c r="A20" s="112"/>
      <c r="B20" s="112"/>
      <c r="C20" s="315">
        <v>3.12</v>
      </c>
      <c r="D20" s="322" t="s">
        <v>133</v>
      </c>
      <c r="E20" s="115" t="s">
        <v>68</v>
      </c>
      <c r="F20" s="362" t="e">
        <f>Costos!#REF!/#REF!</f>
        <v>#REF!</v>
      </c>
      <c r="G20" s="362" t="e">
        <f>Costos!#REF!/#REF!</f>
        <v>#REF!</v>
      </c>
      <c r="H20" s="362" t="e">
        <f>Costos!#REF!/#REF!</f>
        <v>#REF!</v>
      </c>
      <c r="I20" s="362" t="e">
        <f>Costos!#REF!/#REF!</f>
        <v>#REF!</v>
      </c>
      <c r="J20" s="362" t="e">
        <f>Costos!#REF!/#REF!</f>
        <v>#REF!</v>
      </c>
      <c r="K20" s="340" t="e">
        <f t="shared" ref="K20:K27" si="1">SUM(F20:J20)</f>
        <v>#REF!</v>
      </c>
    </row>
    <row r="21" spans="1:12" ht="13.8" x14ac:dyDescent="0.25">
      <c r="A21" s="112"/>
      <c r="B21" s="112"/>
      <c r="C21" s="317">
        <v>3.13</v>
      </c>
      <c r="D21" s="321" t="s">
        <v>30</v>
      </c>
      <c r="E21" s="115" t="s">
        <v>68</v>
      </c>
      <c r="F21" s="362" t="e">
        <f>Costos!#REF!/#REF!</f>
        <v>#REF!</v>
      </c>
      <c r="G21" s="362" t="e">
        <f>Costos!#REF!/#REF!</f>
        <v>#REF!</v>
      </c>
      <c r="H21" s="362" t="e">
        <f>Costos!#REF!/#REF!</f>
        <v>#REF!</v>
      </c>
      <c r="I21" s="362" t="e">
        <f>Costos!#REF!/#REF!</f>
        <v>#REF!</v>
      </c>
      <c r="J21" s="362" t="e">
        <f>Costos!#REF!/#REF!</f>
        <v>#REF!</v>
      </c>
      <c r="K21" s="340" t="e">
        <f t="shared" si="1"/>
        <v>#REF!</v>
      </c>
    </row>
    <row r="22" spans="1:12" ht="13.8" x14ac:dyDescent="0.25">
      <c r="A22" s="112"/>
      <c r="B22" s="112"/>
      <c r="C22" s="315">
        <v>3.14</v>
      </c>
      <c r="D22" s="321" t="s">
        <v>58</v>
      </c>
      <c r="E22" s="115" t="s">
        <v>68</v>
      </c>
      <c r="F22" s="362" t="e">
        <f>Costos!#REF!/#REF!</f>
        <v>#REF!</v>
      </c>
      <c r="G22" s="362" t="e">
        <f>Costos!#REF!/#REF!</f>
        <v>#REF!</v>
      </c>
      <c r="H22" s="362" t="e">
        <f>Costos!#REF!/#REF!</f>
        <v>#REF!</v>
      </c>
      <c r="I22" s="362" t="e">
        <f>Costos!#REF!/#REF!</f>
        <v>#REF!</v>
      </c>
      <c r="J22" s="362" t="e">
        <f>Costos!#REF!/#REF!</f>
        <v>#REF!</v>
      </c>
      <c r="K22" s="340" t="e">
        <f t="shared" si="1"/>
        <v>#REF!</v>
      </c>
    </row>
    <row r="23" spans="1:12" ht="13.8" x14ac:dyDescent="0.25">
      <c r="A23" s="112"/>
      <c r="B23" s="112"/>
      <c r="C23" s="315">
        <v>3.15</v>
      </c>
      <c r="D23" s="321" t="s">
        <v>57</v>
      </c>
      <c r="E23" s="115" t="s">
        <v>68</v>
      </c>
      <c r="F23" s="362" t="e">
        <f>Costos!#REF!/#REF!</f>
        <v>#REF!</v>
      </c>
      <c r="G23" s="362" t="e">
        <f>Costos!#REF!/#REF!</f>
        <v>#REF!</v>
      </c>
      <c r="H23" s="362" t="e">
        <f>Costos!#REF!/#REF!</f>
        <v>#REF!</v>
      </c>
      <c r="I23" s="362" t="e">
        <f>Costos!#REF!/#REF!</f>
        <v>#REF!</v>
      </c>
      <c r="J23" s="362" t="e">
        <f>Costos!#REF!/#REF!</f>
        <v>#REF!</v>
      </c>
      <c r="K23" s="340" t="e">
        <f t="shared" si="1"/>
        <v>#REF!</v>
      </c>
    </row>
    <row r="24" spans="1:12" ht="13.8" x14ac:dyDescent="0.25">
      <c r="A24" s="112"/>
      <c r="B24" s="112"/>
      <c r="C24" s="315">
        <v>3.16</v>
      </c>
      <c r="D24" s="321" t="s">
        <v>26</v>
      </c>
      <c r="E24" s="115" t="s">
        <v>68</v>
      </c>
      <c r="F24" s="362" t="e">
        <f>Costos!#REF!/#REF!</f>
        <v>#REF!</v>
      </c>
      <c r="G24" s="362" t="e">
        <f>Costos!#REF!/#REF!</f>
        <v>#REF!</v>
      </c>
      <c r="H24" s="362" t="e">
        <f>Costos!#REF!/#REF!</f>
        <v>#REF!</v>
      </c>
      <c r="I24" s="362" t="e">
        <f>Costos!#REF!/#REF!</f>
        <v>#REF!</v>
      </c>
      <c r="J24" s="362" t="e">
        <f>Costos!#REF!/#REF!</f>
        <v>#REF!</v>
      </c>
      <c r="K24" s="340" t="e">
        <f t="shared" si="1"/>
        <v>#REF!</v>
      </c>
    </row>
    <row r="25" spans="1:12" ht="13.8" x14ac:dyDescent="0.25">
      <c r="A25" s="112"/>
      <c r="B25" s="112"/>
      <c r="C25" s="317">
        <v>3.17</v>
      </c>
      <c r="D25" s="321" t="s">
        <v>27</v>
      </c>
      <c r="E25" s="115" t="s">
        <v>68</v>
      </c>
      <c r="F25" s="362" t="e">
        <f>Costos!#REF!/#REF!</f>
        <v>#REF!</v>
      </c>
      <c r="G25" s="362" t="e">
        <f>Costos!#REF!/#REF!</f>
        <v>#REF!</v>
      </c>
      <c r="H25" s="362" t="e">
        <f>Costos!#REF!/#REF!</f>
        <v>#REF!</v>
      </c>
      <c r="I25" s="362" t="e">
        <f>Costos!#REF!/#REF!</f>
        <v>#REF!</v>
      </c>
      <c r="J25" s="362" t="e">
        <f>Costos!#REF!/#REF!</f>
        <v>#REF!</v>
      </c>
      <c r="K25" s="340" t="e">
        <f t="shared" si="1"/>
        <v>#REF!</v>
      </c>
    </row>
    <row r="26" spans="1:12" ht="13.8" x14ac:dyDescent="0.25">
      <c r="A26" s="112"/>
      <c r="B26" s="112"/>
      <c r="C26" s="315">
        <v>3.18</v>
      </c>
      <c r="D26" s="79" t="s">
        <v>146</v>
      </c>
      <c r="E26" s="115" t="s">
        <v>68</v>
      </c>
      <c r="F26" s="362" t="e">
        <f>Costos!#REF!/#REF!</f>
        <v>#REF!</v>
      </c>
      <c r="G26" s="362" t="e">
        <f>Costos!#REF!/#REF!</f>
        <v>#REF!</v>
      </c>
      <c r="H26" s="362" t="e">
        <f>Costos!#REF!/#REF!</f>
        <v>#REF!</v>
      </c>
      <c r="I26" s="362" t="e">
        <f>Costos!#REF!/#REF!</f>
        <v>#REF!</v>
      </c>
      <c r="J26" s="362" t="e">
        <f>Costos!#REF!/#REF!</f>
        <v>#REF!</v>
      </c>
      <c r="K26" s="340" t="e">
        <f t="shared" si="1"/>
        <v>#REF!</v>
      </c>
    </row>
    <row r="27" spans="1:12" ht="14.4" thickBot="1" x14ac:dyDescent="0.3">
      <c r="A27" s="112"/>
      <c r="B27" s="112"/>
      <c r="C27" s="315">
        <v>3.19</v>
      </c>
      <c r="D27" s="38" t="s">
        <v>28</v>
      </c>
      <c r="E27" s="123" t="s">
        <v>68</v>
      </c>
      <c r="F27" s="362" t="e">
        <f>Costos!#REF!/#REF!</f>
        <v>#REF!</v>
      </c>
      <c r="G27" s="362" t="e">
        <f>Costos!#REF!/#REF!</f>
        <v>#REF!</v>
      </c>
      <c r="H27" s="362" t="e">
        <f>Costos!#REF!/#REF!</f>
        <v>#REF!</v>
      </c>
      <c r="I27" s="362" t="e">
        <f>Costos!#REF!/#REF!</f>
        <v>#REF!</v>
      </c>
      <c r="J27" s="362" t="e">
        <f>Costos!#REF!/#REF!</f>
        <v>#REF!</v>
      </c>
      <c r="K27" s="340" t="e">
        <f t="shared" si="1"/>
        <v>#REF!</v>
      </c>
    </row>
    <row r="28" spans="1:12" ht="14.4" thickBot="1" x14ac:dyDescent="0.3">
      <c r="D28" s="124" t="s">
        <v>67</v>
      </c>
      <c r="E28" s="122" t="s">
        <v>68</v>
      </c>
      <c r="F28" s="129" t="e">
        <f t="shared" ref="F28:K28" si="2">SUM(F20:F27)</f>
        <v>#REF!</v>
      </c>
      <c r="G28" s="129" t="e">
        <f t="shared" si="2"/>
        <v>#REF!</v>
      </c>
      <c r="H28" s="129" t="e">
        <f t="shared" si="2"/>
        <v>#REF!</v>
      </c>
      <c r="I28" s="129" t="e">
        <f t="shared" si="2"/>
        <v>#REF!</v>
      </c>
      <c r="J28" s="341" t="e">
        <f t="shared" si="2"/>
        <v>#REF!</v>
      </c>
      <c r="K28" s="130" t="e">
        <f t="shared" si="2"/>
        <v>#REF!</v>
      </c>
      <c r="L28" s="139" t="e">
        <f>IF(NOT(K28=92000000),"El valor total debe coincidir con el valor total de la Categoría II.2 (USD 92.000.000)"," ")</f>
        <v>#REF!</v>
      </c>
    </row>
    <row r="29" spans="1:12" ht="14.4" thickBot="1" x14ac:dyDescent="0.3">
      <c r="D29" s="13"/>
      <c r="H29" s="142"/>
      <c r="L29" s="368" t="e">
        <f>92000000-K28</f>
        <v>#REF!</v>
      </c>
    </row>
    <row r="30" spans="1:12" ht="15" customHeight="1" x14ac:dyDescent="0.25">
      <c r="D30" s="1231" t="s">
        <v>149</v>
      </c>
      <c r="E30" s="1232"/>
      <c r="F30" s="1232"/>
      <c r="G30" s="1232"/>
      <c r="H30" s="1232"/>
      <c r="I30" s="1232"/>
      <c r="J30" s="1232"/>
      <c r="K30" s="1233"/>
    </row>
    <row r="31" spans="1:12" ht="15" customHeight="1" thickBot="1" x14ac:dyDescent="0.3">
      <c r="D31" s="1234"/>
      <c r="E31" s="1235"/>
      <c r="F31" s="1235"/>
      <c r="G31" s="1235"/>
      <c r="H31" s="1235"/>
      <c r="I31" s="1235"/>
      <c r="J31" s="1235"/>
      <c r="K31" s="1236"/>
    </row>
    <row r="32" spans="1:12" ht="27" thickBot="1" x14ac:dyDescent="0.3">
      <c r="D32" s="127" t="s">
        <v>15</v>
      </c>
      <c r="E32" s="165" t="s">
        <v>3</v>
      </c>
      <c r="F32" s="48" t="s">
        <v>8</v>
      </c>
      <c r="G32" s="164" t="s">
        <v>9</v>
      </c>
      <c r="H32" s="164" t="s">
        <v>10</v>
      </c>
      <c r="I32" s="164" t="s">
        <v>11</v>
      </c>
      <c r="J32" s="52" t="s">
        <v>12</v>
      </c>
      <c r="K32" s="165" t="s">
        <v>67</v>
      </c>
      <c r="L32" s="112"/>
    </row>
    <row r="33" spans="1:19" ht="13.8" x14ac:dyDescent="0.25">
      <c r="A33" s="112"/>
      <c r="B33" s="112"/>
      <c r="C33" s="315">
        <v>4.07</v>
      </c>
      <c r="D33" s="322" t="s">
        <v>189</v>
      </c>
      <c r="E33" s="118" t="s">
        <v>68</v>
      </c>
      <c r="F33" s="353" t="e">
        <f>Costos!#REF!/#REF!</f>
        <v>#REF!</v>
      </c>
      <c r="G33" s="353" t="e">
        <f>Costos!#REF!/#REF!</f>
        <v>#REF!</v>
      </c>
      <c r="H33" s="353" t="e">
        <f>Costos!#REF!/#REF!</f>
        <v>#REF!</v>
      </c>
      <c r="I33" s="353" t="e">
        <f>Costos!#REF!/#REF!</f>
        <v>#REF!</v>
      </c>
      <c r="J33" s="353" t="e">
        <f>Costos!#REF!/#REF!</f>
        <v>#REF!</v>
      </c>
      <c r="K33" s="340" t="e">
        <f t="shared" ref="K33:K38" si="3">SUM(F33:J33)</f>
        <v>#REF!</v>
      </c>
    </row>
    <row r="34" spans="1:19" ht="13.8" x14ac:dyDescent="0.25">
      <c r="A34" s="112"/>
      <c r="B34" s="112"/>
      <c r="C34" s="315">
        <v>4.08</v>
      </c>
      <c r="D34" s="322" t="s">
        <v>44</v>
      </c>
      <c r="E34" s="118" t="s">
        <v>68</v>
      </c>
      <c r="F34" s="353" t="e">
        <f>Costos!#REF!/#REF!</f>
        <v>#REF!</v>
      </c>
      <c r="G34" s="353" t="e">
        <f>Costos!#REF!/#REF!</f>
        <v>#REF!</v>
      </c>
      <c r="H34" s="353" t="e">
        <f>Costos!#REF!/#REF!</f>
        <v>#REF!</v>
      </c>
      <c r="I34" s="353" t="e">
        <f>Costos!#REF!/#REF!</f>
        <v>#REF!</v>
      </c>
      <c r="J34" s="353" t="e">
        <f>Costos!#REF!/#REF!</f>
        <v>#REF!</v>
      </c>
      <c r="K34" s="340" t="e">
        <f t="shared" si="3"/>
        <v>#REF!</v>
      </c>
    </row>
    <row r="35" spans="1:19" ht="13.8" x14ac:dyDescent="0.25">
      <c r="A35" s="112"/>
      <c r="B35" s="112"/>
      <c r="C35" s="315">
        <v>4.09</v>
      </c>
      <c r="D35" s="322" t="s">
        <v>43</v>
      </c>
      <c r="E35" s="118" t="s">
        <v>68</v>
      </c>
      <c r="F35" s="353" t="e">
        <f>Costos!#REF!/#REF!</f>
        <v>#REF!</v>
      </c>
      <c r="G35" s="353" t="e">
        <f>Costos!#REF!/#REF!</f>
        <v>#REF!</v>
      </c>
      <c r="H35" s="353" t="e">
        <f>Costos!#REF!/#REF!</f>
        <v>#REF!</v>
      </c>
      <c r="I35" s="353" t="e">
        <f>Costos!#REF!/#REF!</f>
        <v>#REF!</v>
      </c>
      <c r="J35" s="353" t="e">
        <f>Costos!#REF!/#REF!</f>
        <v>#REF!</v>
      </c>
      <c r="K35" s="340" t="e">
        <f t="shared" si="3"/>
        <v>#REF!</v>
      </c>
    </row>
    <row r="36" spans="1:19" ht="13.8" x14ac:dyDescent="0.25">
      <c r="A36" s="112"/>
      <c r="B36" s="112"/>
      <c r="C36" s="315">
        <v>4.0999999999999996</v>
      </c>
      <c r="D36" s="321" t="s">
        <v>193</v>
      </c>
      <c r="E36" s="118" t="s">
        <v>68</v>
      </c>
      <c r="F36" s="353" t="e">
        <f>Costos!#REF!/#REF!</f>
        <v>#REF!</v>
      </c>
      <c r="G36" s="353" t="e">
        <f>Costos!#REF!/#REF!</f>
        <v>#REF!</v>
      </c>
      <c r="H36" s="353" t="e">
        <f>Costos!#REF!/#REF!</f>
        <v>#REF!</v>
      </c>
      <c r="I36" s="353" t="e">
        <f>Costos!#REF!/#REF!</f>
        <v>#REF!</v>
      </c>
      <c r="J36" s="353" t="e">
        <f>Costos!#REF!/#REF!</f>
        <v>#REF!</v>
      </c>
      <c r="K36" s="340" t="e">
        <f t="shared" si="3"/>
        <v>#REF!</v>
      </c>
    </row>
    <row r="37" spans="1:19" ht="13.8" x14ac:dyDescent="0.25">
      <c r="A37" s="112"/>
      <c r="B37" s="112"/>
      <c r="C37" s="315">
        <v>4.1100000000000003</v>
      </c>
      <c r="D37" s="322" t="s">
        <v>39</v>
      </c>
      <c r="E37" s="118" t="s">
        <v>68</v>
      </c>
      <c r="F37" s="353" t="e">
        <f>Costos!#REF!/#REF!</f>
        <v>#REF!</v>
      </c>
      <c r="G37" s="353" t="e">
        <f>Costos!#REF!/#REF!</f>
        <v>#REF!</v>
      </c>
      <c r="H37" s="353" t="e">
        <f>Costos!#REF!/#REF!</f>
        <v>#REF!</v>
      </c>
      <c r="I37" s="353" t="e">
        <f>Costos!#REF!/#REF!</f>
        <v>#REF!</v>
      </c>
      <c r="J37" s="353" t="e">
        <f>Costos!#REF!/#REF!</f>
        <v>#REF!</v>
      </c>
      <c r="K37" s="340" t="e">
        <f t="shared" si="3"/>
        <v>#REF!</v>
      </c>
      <c r="L37" s="173" t="s">
        <v>254</v>
      </c>
    </row>
    <row r="38" spans="1:19" ht="14.4" thickBot="1" x14ac:dyDescent="0.3">
      <c r="A38" s="112"/>
      <c r="B38" s="112"/>
      <c r="C38" s="315">
        <v>4.12</v>
      </c>
      <c r="D38" s="322" t="s">
        <v>41</v>
      </c>
      <c r="E38" s="118" t="s">
        <v>68</v>
      </c>
      <c r="F38" s="353" t="e">
        <f>Costos!#REF!/#REF!</f>
        <v>#REF!</v>
      </c>
      <c r="G38" s="353" t="e">
        <f>Costos!#REF!/#REF!</f>
        <v>#REF!</v>
      </c>
      <c r="H38" s="353" t="e">
        <f>Costos!#REF!/#REF!</f>
        <v>#REF!</v>
      </c>
      <c r="I38" s="353" t="e">
        <f>Costos!#REF!/#REF!</f>
        <v>#REF!</v>
      </c>
      <c r="J38" s="353" t="e">
        <f>Costos!#REF!/#REF!</f>
        <v>#REF!</v>
      </c>
      <c r="K38" s="340" t="e">
        <f t="shared" si="3"/>
        <v>#REF!</v>
      </c>
      <c r="L38" s="173" t="s">
        <v>255</v>
      </c>
    </row>
    <row r="39" spans="1:19" ht="14.4" thickBot="1" x14ac:dyDescent="0.3">
      <c r="D39" s="124" t="s">
        <v>67</v>
      </c>
      <c r="E39" s="122" t="s">
        <v>68</v>
      </c>
      <c r="F39" s="341" t="e">
        <f t="shared" ref="F39:K39" si="4">SUM(F33:F38)</f>
        <v>#REF!</v>
      </c>
      <c r="G39" s="341" t="e">
        <f t="shared" si="4"/>
        <v>#REF!</v>
      </c>
      <c r="H39" s="341" t="e">
        <f t="shared" si="4"/>
        <v>#REF!</v>
      </c>
      <c r="I39" s="341" t="e">
        <f t="shared" si="4"/>
        <v>#REF!</v>
      </c>
      <c r="J39" s="341" t="e">
        <f t="shared" si="4"/>
        <v>#REF!</v>
      </c>
      <c r="K39" s="130" t="e">
        <f t="shared" si="4"/>
        <v>#REF!</v>
      </c>
      <c r="L39" s="139" t="e">
        <f>IF(NOT(K39=7150000),"El valor total debe coincidir con el valor total de la Categoría II.3 (USD 7.150.000)"," ")</f>
        <v>#REF!</v>
      </c>
    </row>
    <row r="40" spans="1:19" ht="14.4" thickBot="1" x14ac:dyDescent="0.3">
      <c r="A40" s="112"/>
      <c r="B40" s="112"/>
      <c r="C40" s="112"/>
      <c r="D40" s="163"/>
      <c r="L40" s="368" t="e">
        <f>7150000-K39</f>
        <v>#REF!</v>
      </c>
    </row>
    <row r="41" spans="1:19" x14ac:dyDescent="0.25">
      <c r="A41" s="112"/>
      <c r="B41" s="112"/>
      <c r="C41" s="112"/>
      <c r="D41" s="1231" t="s">
        <v>69</v>
      </c>
      <c r="E41" s="1232"/>
      <c r="F41" s="1232"/>
      <c r="G41" s="1232"/>
      <c r="H41" s="1232"/>
      <c r="I41" s="1232"/>
      <c r="J41" s="1232"/>
      <c r="K41" s="1233"/>
    </row>
    <row r="42" spans="1:19" ht="13.8" thickBot="1" x14ac:dyDescent="0.3">
      <c r="A42" s="112"/>
      <c r="B42" s="112"/>
      <c r="C42" s="112"/>
      <c r="D42" s="1234"/>
      <c r="E42" s="1235"/>
      <c r="F42" s="1235"/>
      <c r="G42" s="1235"/>
      <c r="H42" s="1235"/>
      <c r="I42" s="1235"/>
      <c r="J42" s="1235"/>
      <c r="K42" s="1236"/>
    </row>
    <row r="43" spans="1:19" ht="27" thickBot="1" x14ac:dyDescent="0.3">
      <c r="D43" s="127" t="s">
        <v>71</v>
      </c>
      <c r="E43" s="165" t="s">
        <v>3</v>
      </c>
      <c r="F43" s="48" t="s">
        <v>8</v>
      </c>
      <c r="G43" s="164" t="s">
        <v>9</v>
      </c>
      <c r="H43" s="164" t="s">
        <v>10</v>
      </c>
      <c r="I43" s="164" t="s">
        <v>11</v>
      </c>
      <c r="J43" s="52" t="s">
        <v>12</v>
      </c>
      <c r="K43" s="165" t="s">
        <v>67</v>
      </c>
      <c r="L43" s="112"/>
    </row>
    <row r="44" spans="1:19" ht="13.8" x14ac:dyDescent="0.25">
      <c r="D44" s="322" t="s">
        <v>70</v>
      </c>
      <c r="E44" s="118" t="s">
        <v>68</v>
      </c>
      <c r="F44" s="353">
        <v>698000</v>
      </c>
      <c r="G44" s="349">
        <v>1740000</v>
      </c>
      <c r="H44" s="349">
        <v>1913000</v>
      </c>
      <c r="I44" s="349">
        <v>2500000</v>
      </c>
      <c r="J44" s="350">
        <v>3099000</v>
      </c>
      <c r="K44" s="340">
        <f>SUM(F44:J44)</f>
        <v>9950000</v>
      </c>
      <c r="L44" s="139"/>
      <c r="S44" s="142"/>
    </row>
    <row r="45" spans="1:19" ht="13.8" x14ac:dyDescent="0.25">
      <c r="D45" s="322" t="s">
        <v>72</v>
      </c>
      <c r="E45" s="118" t="s">
        <v>68</v>
      </c>
      <c r="F45" s="353">
        <v>0</v>
      </c>
      <c r="G45" s="349">
        <v>0</v>
      </c>
      <c r="H45" s="349">
        <v>2000000</v>
      </c>
      <c r="I45" s="349">
        <v>3850000</v>
      </c>
      <c r="J45" s="350">
        <v>4000000</v>
      </c>
      <c r="K45" s="340">
        <f>SUM(F45:J45)</f>
        <v>9850000</v>
      </c>
      <c r="L45" s="139" t="str">
        <f>IF(NOT(K45=9850000),"El valor total debe coincidir con el valor total de la Categoría III (USD 9.850.000)"," ")</f>
        <v xml:space="preserve"> </v>
      </c>
      <c r="R45" s="142"/>
      <c r="S45" s="142"/>
    </row>
    <row r="46" spans="1:19" ht="14.4" thickBot="1" x14ac:dyDescent="0.3">
      <c r="D46" s="322" t="s">
        <v>73</v>
      </c>
      <c r="E46" s="118" t="s">
        <v>68</v>
      </c>
      <c r="F46" s="353">
        <v>70000</v>
      </c>
      <c r="G46" s="353">
        <v>70000</v>
      </c>
      <c r="H46" s="353">
        <v>70000</v>
      </c>
      <c r="I46" s="353">
        <v>70000</v>
      </c>
      <c r="J46" s="353">
        <v>70000</v>
      </c>
      <c r="K46" s="340">
        <f>SUM(F46:J46)</f>
        <v>350000</v>
      </c>
      <c r="L46" s="336"/>
      <c r="S46" s="142"/>
    </row>
    <row r="47" spans="1:19" ht="14.4" thickBot="1" x14ac:dyDescent="0.3">
      <c r="D47" s="124" t="s">
        <v>67</v>
      </c>
      <c r="E47" s="122" t="s">
        <v>68</v>
      </c>
      <c r="F47" s="129">
        <f t="shared" ref="F47:K47" si="5">SUM(F44:F46)</f>
        <v>768000</v>
      </c>
      <c r="G47" s="129">
        <f t="shared" si="5"/>
        <v>1810000</v>
      </c>
      <c r="H47" s="129">
        <f t="shared" si="5"/>
        <v>3983000</v>
      </c>
      <c r="I47" s="129">
        <f t="shared" si="5"/>
        <v>6420000</v>
      </c>
      <c r="J47" s="341">
        <f t="shared" si="5"/>
        <v>7169000</v>
      </c>
      <c r="K47" s="130">
        <f t="shared" si="5"/>
        <v>20150000</v>
      </c>
      <c r="S47" s="142"/>
    </row>
    <row r="49" spans="4:12" ht="13.8" thickBot="1" x14ac:dyDescent="0.3"/>
    <row r="50" spans="4:12" ht="14.4" thickBot="1" x14ac:dyDescent="0.3">
      <c r="D50" s="124" t="s">
        <v>74</v>
      </c>
      <c r="E50" s="122" t="s">
        <v>68</v>
      </c>
      <c r="F50" s="129" t="e">
        <f>F47+F39+F28+F15</f>
        <v>#REF!</v>
      </c>
      <c r="G50" s="129" t="e">
        <f>G47+G39+G28+G15</f>
        <v>#REF!</v>
      </c>
      <c r="H50" s="129" t="e">
        <f>H47+H39+H28+H15</f>
        <v>#REF!</v>
      </c>
      <c r="I50" s="129" t="e">
        <f>I47+I39+I28+I15</f>
        <v>#REF!</v>
      </c>
      <c r="J50" s="341" t="e">
        <f>J47+J39+J28+J15</f>
        <v>#REF!</v>
      </c>
      <c r="K50" s="130" t="e">
        <f>SUM(F50:J50)</f>
        <v>#REF!</v>
      </c>
      <c r="L50" s="139" t="e">
        <f>IF(NOT(K50=125000000),"El valor total debe coincidir con el valor total del préstamo (USD 125.000.000)"," ")</f>
        <v>#REF!</v>
      </c>
    </row>
    <row r="51" spans="4:12" x14ac:dyDescent="0.25">
      <c r="L51" s="142" t="e">
        <f>125000000-K50</f>
        <v>#REF!</v>
      </c>
    </row>
    <row r="52" spans="4:12" x14ac:dyDescent="0.25">
      <c r="K52" s="323"/>
    </row>
  </sheetData>
  <mergeCells count="6">
    <mergeCell ref="D41:K42"/>
    <mergeCell ref="D2:K2"/>
    <mergeCell ref="D3:K3"/>
    <mergeCell ref="D7:K8"/>
    <mergeCell ref="D17:K18"/>
    <mergeCell ref="D30:K31"/>
  </mergeCells>
  <pageMargins left="0.25" right="0.25" top="0.75" bottom="0.75" header="0.3" footer="0.3"/>
  <pageSetup scale="56" fitToHeight="0" orientation="landscape" verticalDpi="599"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88"/>
  <sheetViews>
    <sheetView showGridLines="0" topLeftCell="E58" zoomScale="90" zoomScaleNormal="90" workbookViewId="0">
      <selection activeCell="F67" sqref="F67"/>
    </sheetView>
  </sheetViews>
  <sheetFormatPr defaultColWidth="11.44140625" defaultRowHeight="13.2" x14ac:dyDescent="0.25"/>
  <cols>
    <col min="1" max="1" width="2.5546875" style="1" customWidth="1"/>
    <col min="2" max="2" width="2.109375" style="1" customWidth="1"/>
    <col min="3" max="3" width="2.6640625" style="1" customWidth="1"/>
    <col min="4" max="4" width="118.33203125" style="1" bestFit="1" customWidth="1"/>
    <col min="5" max="5" width="15.88671875" style="1" bestFit="1" customWidth="1"/>
    <col min="6" max="6" width="14" style="1" bestFit="1" customWidth="1"/>
    <col min="7" max="7" width="16.88671875" style="1" bestFit="1" customWidth="1"/>
    <col min="8" max="8" width="11.44140625" style="1"/>
    <col min="9" max="9" width="14.6640625" style="1" customWidth="1"/>
    <col min="10" max="11" width="11.44140625" style="1"/>
    <col min="12" max="12" width="23.88671875" style="1" customWidth="1"/>
    <col min="13" max="13" width="11.44140625" style="1"/>
    <col min="14" max="14" width="22.33203125" style="1" customWidth="1"/>
    <col min="15" max="16384" width="11.44140625" style="1"/>
  </cols>
  <sheetData>
    <row r="1" spans="1:39" ht="13.8" thickBot="1" x14ac:dyDescent="0.3"/>
    <row r="2" spans="1:39" s="2" customFormat="1" ht="13.8" x14ac:dyDescent="0.25">
      <c r="D2" s="1238" t="s">
        <v>0</v>
      </c>
      <c r="E2" s="1239"/>
      <c r="F2" s="1239"/>
      <c r="G2" s="1239"/>
      <c r="H2" s="1240"/>
      <c r="I2" s="3"/>
      <c r="J2" s="3"/>
      <c r="K2" s="3"/>
      <c r="L2" s="3"/>
      <c r="M2" s="3"/>
      <c r="N2" s="3"/>
      <c r="O2" s="3"/>
      <c r="P2" s="3"/>
      <c r="Q2" s="3"/>
      <c r="R2" s="3"/>
      <c r="S2" s="4"/>
    </row>
    <row r="3" spans="1:39" s="2" customFormat="1" ht="65.25" customHeight="1" thickBot="1" x14ac:dyDescent="0.3">
      <c r="D3" s="1265" t="s">
        <v>1</v>
      </c>
      <c r="E3" s="1266"/>
      <c r="F3" s="1266"/>
      <c r="G3" s="1266"/>
      <c r="H3" s="1267"/>
      <c r="I3" s="5"/>
      <c r="J3" s="5"/>
      <c r="K3" s="5"/>
      <c r="L3" s="5"/>
      <c r="M3" s="5"/>
      <c r="N3" s="5"/>
      <c r="O3" s="5"/>
      <c r="P3" s="5"/>
      <c r="Q3" s="5"/>
      <c r="R3" s="5"/>
      <c r="S3" s="6"/>
      <c r="T3" s="7"/>
      <c r="U3" s="7"/>
      <c r="V3" s="7"/>
      <c r="Y3" s="7"/>
      <c r="Z3" s="7"/>
      <c r="AA3" s="7"/>
      <c r="AB3" s="7"/>
      <c r="AC3" s="7"/>
      <c r="AD3" s="7"/>
      <c r="AE3" s="7"/>
      <c r="AF3" s="7"/>
      <c r="AG3" s="7"/>
      <c r="AH3" s="7"/>
      <c r="AI3" s="7"/>
      <c r="AJ3" s="7"/>
      <c r="AK3" s="7"/>
      <c r="AL3" s="7"/>
      <c r="AM3" s="7"/>
    </row>
    <row r="4" spans="1:39" ht="13.8" thickBot="1" x14ac:dyDescent="0.3"/>
    <row r="5" spans="1:39" ht="55.2" x14ac:dyDescent="0.25">
      <c r="D5" s="43" t="s">
        <v>2</v>
      </c>
      <c r="E5" s="44" t="s">
        <v>3</v>
      </c>
      <c r="F5" s="45" t="s">
        <v>4</v>
      </c>
      <c r="G5" s="46" t="s">
        <v>5</v>
      </c>
      <c r="H5" s="151" t="s">
        <v>6</v>
      </c>
      <c r="I5" s="107" t="s">
        <v>66</v>
      </c>
    </row>
    <row r="6" spans="1:39" ht="13.8" x14ac:dyDescent="0.25">
      <c r="A6" s="89"/>
      <c r="B6" s="97"/>
      <c r="C6" s="102"/>
      <c r="D6" s="72" t="s">
        <v>52</v>
      </c>
      <c r="E6" s="9"/>
      <c r="F6" s="10"/>
      <c r="G6" s="58"/>
      <c r="H6" s="11"/>
      <c r="I6" s="108"/>
    </row>
    <row r="7" spans="1:39" ht="12.75" customHeight="1" x14ac:dyDescent="0.25">
      <c r="A7" s="95"/>
      <c r="B7" s="87"/>
      <c r="C7" s="102"/>
      <c r="D7" s="8" t="s">
        <v>18</v>
      </c>
      <c r="E7" s="11"/>
      <c r="F7" s="59"/>
      <c r="G7" s="12"/>
      <c r="H7" s="11"/>
      <c r="I7" s="108"/>
    </row>
    <row r="8" spans="1:39" ht="12.75" customHeight="1" x14ac:dyDescent="0.25">
      <c r="A8" s="95"/>
      <c r="B8" s="87"/>
      <c r="C8" s="102"/>
      <c r="D8" s="63" t="s">
        <v>54</v>
      </c>
      <c r="E8" s="11"/>
      <c r="F8" s="59"/>
      <c r="G8" s="12"/>
      <c r="H8" s="11"/>
      <c r="I8" s="108"/>
    </row>
    <row r="9" spans="1:39" ht="12.75" customHeight="1" x14ac:dyDescent="0.25">
      <c r="A9" s="94"/>
      <c r="B9" s="101"/>
      <c r="C9" s="93"/>
      <c r="D9" s="64" t="s">
        <v>55</v>
      </c>
      <c r="E9" s="11"/>
      <c r="F9" s="59"/>
      <c r="G9" s="12"/>
      <c r="H9" s="11"/>
      <c r="I9" s="108"/>
    </row>
    <row r="10" spans="1:39" ht="12.75" customHeight="1" x14ac:dyDescent="0.25">
      <c r="A10" s="100"/>
      <c r="B10" s="97"/>
      <c r="C10" s="88"/>
      <c r="D10" s="64" t="s">
        <v>53</v>
      </c>
      <c r="E10" s="11"/>
      <c r="F10" s="59"/>
      <c r="G10" s="12"/>
      <c r="H10" s="11"/>
      <c r="I10" s="108"/>
    </row>
    <row r="11" spans="1:39" ht="12.75" customHeight="1" thickBot="1" x14ac:dyDescent="0.3">
      <c r="C11" s="98"/>
      <c r="D11" s="62" t="s">
        <v>19</v>
      </c>
      <c r="E11" s="23"/>
      <c r="F11" s="149"/>
      <c r="G11" s="150"/>
      <c r="H11" s="23"/>
      <c r="I11" s="152"/>
    </row>
    <row r="12" spans="1:39" ht="13.8" x14ac:dyDescent="0.25">
      <c r="D12" s="42"/>
      <c r="E12" s="13"/>
      <c r="F12" s="13"/>
      <c r="G12" s="13"/>
      <c r="H12" s="13"/>
    </row>
    <row r="13" spans="1:39" ht="14.4" thickBot="1" x14ac:dyDescent="0.3">
      <c r="D13" s="13"/>
      <c r="E13" s="13"/>
      <c r="F13" s="13"/>
      <c r="G13" s="13"/>
      <c r="H13" s="13"/>
    </row>
    <row r="14" spans="1:39" ht="15" customHeight="1" x14ac:dyDescent="0.25">
      <c r="D14" s="1231" t="s">
        <v>20</v>
      </c>
      <c r="E14" s="1232"/>
      <c r="F14" s="1232"/>
      <c r="G14" s="1232"/>
      <c r="H14" s="1232"/>
      <c r="I14" s="1232"/>
      <c r="J14" s="1232"/>
      <c r="K14" s="1232"/>
      <c r="L14" s="1232"/>
      <c r="M14" s="1232"/>
      <c r="N14" s="1233"/>
    </row>
    <row r="15" spans="1:39" ht="15" customHeight="1" thickBot="1" x14ac:dyDescent="0.3">
      <c r="D15" s="1234"/>
      <c r="E15" s="1235"/>
      <c r="F15" s="1235"/>
      <c r="G15" s="1235"/>
      <c r="H15" s="1235"/>
      <c r="I15" s="1235"/>
      <c r="J15" s="1235"/>
      <c r="K15" s="1235"/>
      <c r="L15" s="1235"/>
      <c r="M15" s="1235"/>
      <c r="N15" s="1236"/>
    </row>
    <row r="16" spans="1:39" ht="42" thickBot="1" x14ac:dyDescent="0.3">
      <c r="D16" s="47" t="s">
        <v>22</v>
      </c>
      <c r="E16" s="51" t="s">
        <v>3</v>
      </c>
      <c r="F16" s="53" t="s">
        <v>4</v>
      </c>
      <c r="G16" s="54" t="s">
        <v>7</v>
      </c>
      <c r="H16" s="48" t="s">
        <v>8</v>
      </c>
      <c r="I16" s="49" t="s">
        <v>9</v>
      </c>
      <c r="J16" s="49" t="s">
        <v>10</v>
      </c>
      <c r="K16" s="49" t="s">
        <v>11</v>
      </c>
      <c r="L16" s="50" t="s">
        <v>12</v>
      </c>
      <c r="M16" s="51" t="s">
        <v>6</v>
      </c>
      <c r="N16" s="107" t="s">
        <v>66</v>
      </c>
      <c r="O16" s="14"/>
      <c r="P16" s="14"/>
      <c r="Q16" s="14"/>
      <c r="R16" s="14"/>
      <c r="S16" s="14"/>
      <c r="T16" s="14"/>
    </row>
    <row r="17" spans="1:20" ht="13.8" x14ac:dyDescent="0.25">
      <c r="A17" s="97"/>
      <c r="B17" s="97"/>
      <c r="C17" s="98"/>
      <c r="D17" s="96" t="s">
        <v>13</v>
      </c>
      <c r="E17" s="35"/>
      <c r="F17" s="36"/>
      <c r="G17" s="81"/>
      <c r="H17" s="16"/>
      <c r="I17" s="17"/>
      <c r="J17" s="17"/>
      <c r="K17" s="17"/>
      <c r="L17" s="18"/>
      <c r="M17" s="15"/>
      <c r="N17" s="15"/>
    </row>
    <row r="18" spans="1:20" ht="13.8" x14ac:dyDescent="0.25">
      <c r="A18" s="89"/>
      <c r="B18" s="89"/>
      <c r="C18" s="88"/>
      <c r="D18" s="76" t="s">
        <v>14</v>
      </c>
      <c r="E18" s="19"/>
      <c r="F18" s="32"/>
      <c r="G18" s="109"/>
      <c r="H18" s="20"/>
      <c r="I18" s="21"/>
      <c r="J18" s="21"/>
      <c r="K18" s="21"/>
      <c r="L18" s="22"/>
      <c r="M18" s="19"/>
      <c r="N18" s="19"/>
    </row>
    <row r="19" spans="1:20" ht="14.4" thickBot="1" x14ac:dyDescent="0.3">
      <c r="A19" s="90"/>
      <c r="B19" s="90"/>
      <c r="C19" s="90"/>
      <c r="D19" s="23" t="s">
        <v>23</v>
      </c>
      <c r="E19" s="27"/>
      <c r="F19" s="39"/>
      <c r="G19" s="110"/>
      <c r="H19" s="24"/>
      <c r="I19" s="25"/>
      <c r="J19" s="25"/>
      <c r="K19" s="25"/>
      <c r="L19" s="26"/>
      <c r="M19" s="27"/>
      <c r="N19" s="27"/>
    </row>
    <row r="20" spans="1:20" ht="14.4" thickBot="1" x14ac:dyDescent="0.3">
      <c r="D20" s="28"/>
    </row>
    <row r="21" spans="1:20" ht="27.6" x14ac:dyDescent="0.25">
      <c r="D21" s="65" t="s">
        <v>15</v>
      </c>
      <c r="E21" s="69" t="s">
        <v>3</v>
      </c>
      <c r="F21" s="66" t="s">
        <v>8</v>
      </c>
      <c r="G21" s="67" t="s">
        <v>9</v>
      </c>
      <c r="H21" s="67" t="s">
        <v>10</v>
      </c>
      <c r="I21" s="67" t="s">
        <v>11</v>
      </c>
      <c r="J21" s="68" t="s">
        <v>12</v>
      </c>
      <c r="K21" s="69" t="s">
        <v>6</v>
      </c>
      <c r="L21" s="107" t="s">
        <v>66</v>
      </c>
    </row>
    <row r="22" spans="1:20" ht="13.8" x14ac:dyDescent="0.25">
      <c r="A22" s="89"/>
      <c r="B22" s="89"/>
      <c r="C22" s="87"/>
      <c r="D22" s="147" t="s">
        <v>56</v>
      </c>
      <c r="E22" s="147"/>
      <c r="F22" s="116"/>
      <c r="G22" s="70"/>
      <c r="H22" s="70"/>
      <c r="I22" s="70"/>
      <c r="J22" s="119"/>
      <c r="K22" s="147"/>
      <c r="L22" s="77"/>
    </row>
    <row r="23" spans="1:20" ht="13.8" x14ac:dyDescent="0.25">
      <c r="A23" s="87"/>
      <c r="B23" s="87"/>
      <c r="C23" s="87"/>
      <c r="D23" s="147" t="s">
        <v>21</v>
      </c>
      <c r="E23" s="148"/>
      <c r="F23" s="117"/>
      <c r="G23" s="71"/>
      <c r="H23" s="71"/>
      <c r="I23" s="71"/>
      <c r="J23" s="120"/>
      <c r="K23" s="148"/>
      <c r="L23" s="78"/>
    </row>
    <row r="24" spans="1:20" ht="13.8" x14ac:dyDescent="0.25">
      <c r="A24" s="89"/>
      <c r="B24" s="89"/>
      <c r="C24" s="87"/>
      <c r="D24" s="61" t="s">
        <v>63</v>
      </c>
      <c r="E24" s="35"/>
      <c r="F24" s="16"/>
      <c r="G24" s="17"/>
      <c r="H24" s="17"/>
      <c r="I24" s="17"/>
      <c r="J24" s="18"/>
      <c r="K24" s="35"/>
      <c r="L24" s="35"/>
    </row>
    <row r="25" spans="1:20" ht="13.8" x14ac:dyDescent="0.25">
      <c r="A25" s="89"/>
      <c r="B25" s="89"/>
      <c r="C25" s="89"/>
      <c r="D25" s="37" t="s">
        <v>64</v>
      </c>
      <c r="E25" s="19"/>
      <c r="F25" s="20"/>
      <c r="G25" s="21"/>
      <c r="H25" s="21"/>
      <c r="I25" s="21"/>
      <c r="J25" s="22"/>
      <c r="K25" s="19"/>
      <c r="L25" s="19"/>
    </row>
    <row r="26" spans="1:20" ht="14.4" thickBot="1" x14ac:dyDescent="0.3">
      <c r="A26" s="89"/>
      <c r="B26" s="89"/>
      <c r="C26" s="90"/>
      <c r="D26" s="38" t="s">
        <v>24</v>
      </c>
      <c r="E26" s="27"/>
      <c r="F26" s="24"/>
      <c r="G26" s="25"/>
      <c r="H26" s="25"/>
      <c r="I26" s="25"/>
      <c r="J26" s="26"/>
      <c r="K26" s="27"/>
      <c r="L26" s="27"/>
    </row>
    <row r="27" spans="1:20" ht="15" thickBot="1" x14ac:dyDescent="0.3">
      <c r="D27" s="34"/>
    </row>
    <row r="28" spans="1:20" ht="15" customHeight="1" x14ac:dyDescent="0.25">
      <c r="D28" s="1231" t="s">
        <v>25</v>
      </c>
      <c r="E28" s="1232"/>
      <c r="F28" s="1232"/>
      <c r="G28" s="1232"/>
      <c r="H28" s="1232"/>
      <c r="I28" s="1232"/>
      <c r="J28" s="1232"/>
      <c r="K28" s="1232"/>
      <c r="L28" s="1232"/>
      <c r="M28" s="1232"/>
      <c r="N28" s="1233"/>
    </row>
    <row r="29" spans="1:20" ht="15.75" customHeight="1" thickBot="1" x14ac:dyDescent="0.3">
      <c r="D29" s="1234"/>
      <c r="E29" s="1235"/>
      <c r="F29" s="1235"/>
      <c r="G29" s="1235"/>
      <c r="H29" s="1235"/>
      <c r="I29" s="1235"/>
      <c r="J29" s="1235"/>
      <c r="K29" s="1235"/>
      <c r="L29" s="1235"/>
      <c r="M29" s="1235"/>
      <c r="N29" s="1236"/>
    </row>
    <row r="30" spans="1:20" ht="42" thickBot="1" x14ac:dyDescent="0.3">
      <c r="D30" s="55" t="s">
        <v>22</v>
      </c>
      <c r="E30" s="51" t="s">
        <v>3</v>
      </c>
      <c r="F30" s="53" t="s">
        <v>4</v>
      </c>
      <c r="G30" s="54" t="s">
        <v>7</v>
      </c>
      <c r="H30" s="48" t="s">
        <v>8</v>
      </c>
      <c r="I30" s="49" t="s">
        <v>9</v>
      </c>
      <c r="J30" s="49" t="s">
        <v>10</v>
      </c>
      <c r="K30" s="49" t="s">
        <v>11</v>
      </c>
      <c r="L30" s="55" t="s">
        <v>12</v>
      </c>
      <c r="M30" s="51" t="s">
        <v>6</v>
      </c>
      <c r="N30" s="107" t="s">
        <v>66</v>
      </c>
      <c r="O30" s="14"/>
      <c r="P30" s="14"/>
      <c r="Q30" s="14"/>
      <c r="R30" s="14"/>
      <c r="S30" s="14"/>
      <c r="T30" s="14"/>
    </row>
    <row r="31" spans="1:20" ht="13.8" x14ac:dyDescent="0.25">
      <c r="A31" s="91"/>
      <c r="B31" s="91"/>
      <c r="C31" s="91"/>
      <c r="D31" s="72" t="s">
        <v>29</v>
      </c>
      <c r="E31" s="35"/>
      <c r="F31" s="36"/>
      <c r="G31" s="144"/>
      <c r="H31" s="20"/>
      <c r="I31" s="21"/>
      <c r="J31" s="21"/>
      <c r="K31" s="21"/>
      <c r="L31" s="21"/>
      <c r="M31" s="21"/>
      <c r="N31" s="109"/>
    </row>
    <row r="32" spans="1:20" ht="13.8" x14ac:dyDescent="0.25">
      <c r="A32" s="92"/>
      <c r="B32" s="92"/>
      <c r="C32" s="91"/>
      <c r="D32" s="72" t="s">
        <v>32</v>
      </c>
      <c r="E32" s="83"/>
      <c r="F32" s="82"/>
      <c r="G32" s="145"/>
      <c r="H32" s="20"/>
      <c r="I32" s="21"/>
      <c r="J32" s="21"/>
      <c r="K32" s="21"/>
      <c r="L32" s="21"/>
      <c r="M32" s="21"/>
      <c r="N32" s="109"/>
    </row>
    <row r="33" spans="1:14" ht="13.8" x14ac:dyDescent="0.25">
      <c r="A33" s="92"/>
      <c r="B33" s="92"/>
      <c r="C33" s="92"/>
      <c r="D33" s="72" t="s">
        <v>31</v>
      </c>
      <c r="E33" s="19"/>
      <c r="F33" s="32"/>
      <c r="G33" s="145"/>
      <c r="H33" s="20"/>
      <c r="I33" s="21"/>
      <c r="J33" s="21"/>
      <c r="K33" s="21"/>
      <c r="L33" s="21"/>
      <c r="M33" s="21"/>
      <c r="N33" s="109"/>
    </row>
    <row r="34" spans="1:14" ht="13.8" x14ac:dyDescent="0.25">
      <c r="A34" s="93"/>
      <c r="B34" s="93"/>
      <c r="C34" s="100"/>
      <c r="D34" s="72" t="s">
        <v>33</v>
      </c>
      <c r="E34" s="83"/>
      <c r="F34" s="82"/>
      <c r="G34" s="145"/>
      <c r="H34" s="20"/>
      <c r="I34" s="21"/>
      <c r="J34" s="21"/>
      <c r="K34" s="21"/>
      <c r="L34" s="21"/>
      <c r="M34" s="21"/>
      <c r="N34" s="109"/>
    </row>
    <row r="35" spans="1:14" ht="13.8" x14ac:dyDescent="0.25">
      <c r="A35" s="93"/>
      <c r="B35" s="93"/>
      <c r="C35" s="93"/>
      <c r="D35" s="72" t="s">
        <v>60</v>
      </c>
      <c r="E35" s="75"/>
      <c r="F35" s="80"/>
      <c r="G35" s="145"/>
      <c r="H35" s="20"/>
      <c r="I35" s="21"/>
      <c r="J35" s="21"/>
      <c r="K35" s="21"/>
      <c r="L35" s="21"/>
      <c r="M35" s="21"/>
      <c r="N35" s="109"/>
    </row>
    <row r="36" spans="1:14" ht="13.8" x14ac:dyDescent="0.25">
      <c r="A36" s="99"/>
      <c r="B36" s="99"/>
      <c r="C36" s="99"/>
      <c r="D36" s="72" t="s">
        <v>34</v>
      </c>
      <c r="E36" s="19"/>
      <c r="F36" s="32"/>
      <c r="G36" s="145"/>
      <c r="H36" s="20"/>
      <c r="I36" s="21"/>
      <c r="J36" s="21"/>
      <c r="K36" s="21"/>
      <c r="L36" s="21"/>
      <c r="M36" s="21"/>
      <c r="N36" s="109"/>
    </row>
    <row r="37" spans="1:14" ht="13.8" x14ac:dyDescent="0.25">
      <c r="A37" s="103"/>
      <c r="B37" s="103"/>
      <c r="C37" s="102"/>
      <c r="D37" s="72" t="s">
        <v>61</v>
      </c>
      <c r="E37" s="83"/>
      <c r="F37" s="82"/>
      <c r="G37" s="145"/>
      <c r="H37" s="20"/>
      <c r="I37" s="21"/>
      <c r="J37" s="21"/>
      <c r="K37" s="21"/>
      <c r="L37" s="21"/>
      <c r="M37" s="21"/>
      <c r="N37" s="109"/>
    </row>
    <row r="38" spans="1:14" ht="13.8" x14ac:dyDescent="0.25">
      <c r="A38" s="103"/>
      <c r="B38" s="103"/>
      <c r="C38" s="102"/>
      <c r="D38" s="72" t="s">
        <v>35</v>
      </c>
      <c r="E38" s="19"/>
      <c r="F38" s="32"/>
      <c r="G38" s="145"/>
      <c r="H38" s="20"/>
      <c r="I38" s="21"/>
      <c r="J38" s="21"/>
      <c r="K38" s="21"/>
      <c r="L38" s="21"/>
      <c r="M38" s="21"/>
      <c r="N38" s="109"/>
    </row>
    <row r="39" spans="1:14" ht="13.8" x14ac:dyDescent="0.25">
      <c r="A39" s="95"/>
      <c r="B39" s="95"/>
      <c r="C39" s="95"/>
      <c r="D39" s="72" t="s">
        <v>37</v>
      </c>
      <c r="E39" s="35"/>
      <c r="F39" s="36"/>
      <c r="G39" s="145"/>
      <c r="H39" s="20"/>
      <c r="I39" s="21"/>
      <c r="J39" s="21"/>
      <c r="K39" s="21"/>
      <c r="L39" s="21"/>
      <c r="M39" s="21"/>
      <c r="N39" s="109"/>
    </row>
    <row r="40" spans="1:14" ht="13.8" x14ac:dyDescent="0.25">
      <c r="A40" s="95"/>
      <c r="B40" s="95"/>
      <c r="C40" s="95"/>
      <c r="D40" s="72" t="s">
        <v>36</v>
      </c>
      <c r="E40" s="19"/>
      <c r="F40" s="32"/>
      <c r="G40" s="145"/>
      <c r="H40" s="20"/>
      <c r="I40" s="21"/>
      <c r="J40" s="21"/>
      <c r="K40" s="21"/>
      <c r="L40" s="21"/>
      <c r="M40" s="21"/>
      <c r="N40" s="109"/>
    </row>
    <row r="41" spans="1:14" ht="14.4" thickBot="1" x14ac:dyDescent="0.3">
      <c r="A41" s="100"/>
      <c r="B41" s="100"/>
      <c r="C41" s="100"/>
      <c r="D41" s="106" t="s">
        <v>65</v>
      </c>
      <c r="E41" s="86"/>
      <c r="F41" s="85"/>
      <c r="G41" s="146"/>
      <c r="H41" s="24"/>
      <c r="I41" s="25"/>
      <c r="J41" s="25"/>
      <c r="K41" s="25"/>
      <c r="L41" s="25"/>
      <c r="M41" s="25"/>
      <c r="N41" s="110"/>
    </row>
    <row r="42" spans="1:14" ht="14.4" thickBot="1" x14ac:dyDescent="0.3">
      <c r="D42" s="13"/>
    </row>
    <row r="43" spans="1:14" ht="28.2" thickBot="1" x14ac:dyDescent="0.3">
      <c r="D43" s="56" t="s">
        <v>15</v>
      </c>
      <c r="E43" s="57" t="s">
        <v>3</v>
      </c>
      <c r="F43" s="53" t="s">
        <v>8</v>
      </c>
      <c r="G43" s="49" t="s">
        <v>9</v>
      </c>
      <c r="H43" s="49" t="s">
        <v>10</v>
      </c>
      <c r="I43" s="49" t="s">
        <v>11</v>
      </c>
      <c r="J43" s="52" t="s">
        <v>12</v>
      </c>
      <c r="K43" s="51" t="s">
        <v>6</v>
      </c>
      <c r="L43" s="107" t="s">
        <v>66</v>
      </c>
    </row>
    <row r="44" spans="1:14" ht="13.8" x14ac:dyDescent="0.25">
      <c r="A44" s="91"/>
      <c r="B44" s="91"/>
      <c r="C44" s="91"/>
      <c r="D44" s="61" t="s">
        <v>59</v>
      </c>
      <c r="E44" s="35"/>
      <c r="F44" s="36"/>
      <c r="G44" s="17"/>
      <c r="H44" s="17"/>
      <c r="I44" s="17"/>
      <c r="J44" s="18"/>
      <c r="K44" s="35"/>
      <c r="L44" s="35"/>
    </row>
    <row r="45" spans="1:14" ht="13.8" x14ac:dyDescent="0.25">
      <c r="A45" s="105"/>
      <c r="B45" s="91"/>
      <c r="C45" s="104"/>
      <c r="D45" s="37" t="s">
        <v>30</v>
      </c>
      <c r="E45" s="19"/>
      <c r="F45" s="32"/>
      <c r="G45" s="21"/>
      <c r="H45" s="21"/>
      <c r="I45" s="21"/>
      <c r="J45" s="22"/>
      <c r="K45" s="19"/>
      <c r="L45" s="19"/>
    </row>
    <row r="46" spans="1:14" ht="13.8" x14ac:dyDescent="0.25">
      <c r="A46" s="93"/>
      <c r="B46" s="93"/>
      <c r="C46" s="93"/>
      <c r="D46" s="37" t="s">
        <v>58</v>
      </c>
      <c r="E46" s="19"/>
      <c r="F46" s="32"/>
      <c r="G46" s="21"/>
      <c r="H46" s="21"/>
      <c r="I46" s="21"/>
      <c r="J46" s="22"/>
      <c r="K46" s="19"/>
      <c r="L46" s="19"/>
    </row>
    <row r="47" spans="1:14" ht="13.8" x14ac:dyDescent="0.25">
      <c r="A47" s="93"/>
      <c r="B47" s="93"/>
      <c r="C47" s="93"/>
      <c r="D47" s="37" t="s">
        <v>57</v>
      </c>
      <c r="E47" s="19"/>
      <c r="F47" s="32"/>
      <c r="G47" s="21"/>
      <c r="H47" s="21"/>
      <c r="I47" s="21"/>
      <c r="J47" s="22"/>
      <c r="K47" s="19"/>
      <c r="L47" s="19"/>
    </row>
    <row r="48" spans="1:14" ht="13.8" x14ac:dyDescent="0.25">
      <c r="A48" s="99"/>
      <c r="B48" s="99"/>
      <c r="C48" s="99"/>
      <c r="D48" s="37" t="s">
        <v>26</v>
      </c>
      <c r="E48" s="19"/>
      <c r="F48" s="32"/>
      <c r="G48" s="21"/>
      <c r="H48" s="21"/>
      <c r="I48" s="21"/>
      <c r="J48" s="22"/>
      <c r="K48" s="19"/>
      <c r="L48" s="19"/>
    </row>
    <row r="49" spans="1:20" ht="13.8" x14ac:dyDescent="0.25">
      <c r="A49" s="103"/>
      <c r="B49" s="103"/>
      <c r="C49" s="102"/>
      <c r="D49" s="37" t="s">
        <v>27</v>
      </c>
      <c r="E49" s="19"/>
      <c r="F49" s="32"/>
      <c r="G49" s="21"/>
      <c r="H49" s="21"/>
      <c r="I49" s="21"/>
      <c r="J49" s="22"/>
      <c r="K49" s="19"/>
      <c r="L49" s="19"/>
    </row>
    <row r="50" spans="1:20" ht="13.8" x14ac:dyDescent="0.25">
      <c r="A50" s="100"/>
      <c r="B50" s="100"/>
      <c r="C50" s="100"/>
      <c r="D50" s="79" t="s">
        <v>62</v>
      </c>
      <c r="E50" s="75"/>
      <c r="F50" s="80"/>
      <c r="G50" s="73"/>
      <c r="H50" s="73"/>
      <c r="I50" s="73"/>
      <c r="J50" s="74"/>
      <c r="K50" s="75"/>
      <c r="L50" s="75"/>
    </row>
    <row r="51" spans="1:20" ht="14.4" thickBot="1" x14ac:dyDescent="0.3">
      <c r="A51" s="95"/>
      <c r="B51" s="95"/>
      <c r="C51" s="95"/>
      <c r="D51" s="38" t="s">
        <v>28</v>
      </c>
      <c r="E51" s="27"/>
      <c r="F51" s="39"/>
      <c r="G51" s="25"/>
      <c r="H51" s="25"/>
      <c r="I51" s="25"/>
      <c r="J51" s="26"/>
      <c r="K51" s="27"/>
      <c r="L51" s="27"/>
    </row>
    <row r="52" spans="1:20" ht="13.8" x14ac:dyDescent="0.25">
      <c r="D52" s="13"/>
    </row>
    <row r="53" spans="1:20" ht="14.4" thickBot="1" x14ac:dyDescent="0.3">
      <c r="D53" s="13"/>
      <c r="N53" s="111"/>
    </row>
    <row r="54" spans="1:20" ht="15" customHeight="1" x14ac:dyDescent="0.25">
      <c r="D54" s="1231" t="s">
        <v>16</v>
      </c>
      <c r="E54" s="1232"/>
      <c r="F54" s="1232"/>
      <c r="G54" s="1232"/>
      <c r="H54" s="1232"/>
      <c r="I54" s="1232"/>
      <c r="J54" s="1232"/>
      <c r="K54" s="1232"/>
      <c r="L54" s="1232"/>
      <c r="M54" s="1232"/>
      <c r="N54" s="1233"/>
    </row>
    <row r="55" spans="1:20" ht="15" customHeight="1" thickBot="1" x14ac:dyDescent="0.3">
      <c r="D55" s="1234"/>
      <c r="E55" s="1235"/>
      <c r="F55" s="1235"/>
      <c r="G55" s="1235"/>
      <c r="H55" s="1235"/>
      <c r="I55" s="1235"/>
      <c r="J55" s="1235"/>
      <c r="K55" s="1235"/>
      <c r="L55" s="1235"/>
      <c r="M55" s="1235"/>
      <c r="N55" s="1236"/>
    </row>
    <row r="56" spans="1:20" ht="42" thickBot="1" x14ac:dyDescent="0.3">
      <c r="D56" s="47" t="s">
        <v>22</v>
      </c>
      <c r="E56" s="114" t="s">
        <v>3</v>
      </c>
      <c r="F56" s="143" t="s">
        <v>4</v>
      </c>
      <c r="G56" s="46" t="s">
        <v>7</v>
      </c>
      <c r="H56" s="66" t="s">
        <v>8</v>
      </c>
      <c r="I56" s="67" t="s">
        <v>9</v>
      </c>
      <c r="J56" s="67" t="s">
        <v>10</v>
      </c>
      <c r="K56" s="67" t="s">
        <v>11</v>
      </c>
      <c r="L56" s="156" t="s">
        <v>12</v>
      </c>
      <c r="M56" s="69" t="s">
        <v>6</v>
      </c>
      <c r="N56" s="157" t="s">
        <v>66</v>
      </c>
      <c r="O56" s="14"/>
      <c r="P56" s="14"/>
      <c r="Q56" s="14"/>
      <c r="R56" s="14"/>
      <c r="S56" s="14"/>
      <c r="T56" s="14"/>
    </row>
    <row r="57" spans="1:20" ht="13.8" x14ac:dyDescent="0.25">
      <c r="A57" s="94"/>
      <c r="B57" s="94"/>
      <c r="C57" s="94"/>
      <c r="D57" s="153" t="s">
        <v>45</v>
      </c>
      <c r="E57" s="15"/>
      <c r="F57" s="29"/>
      <c r="G57" s="40"/>
      <c r="H57" s="29"/>
      <c r="I57" s="30"/>
      <c r="J57" s="30"/>
      <c r="K57" s="30"/>
      <c r="L57" s="40"/>
      <c r="M57" s="15"/>
      <c r="N57" s="15"/>
    </row>
    <row r="58" spans="1:20" ht="13.8" x14ac:dyDescent="0.25">
      <c r="A58" s="94"/>
      <c r="B58" s="94"/>
      <c r="C58" s="94"/>
      <c r="D58" s="84" t="s">
        <v>50</v>
      </c>
      <c r="E58" s="19"/>
      <c r="F58" s="32"/>
      <c r="G58" s="109"/>
      <c r="H58" s="32"/>
      <c r="I58" s="21"/>
      <c r="J58" s="21"/>
      <c r="K58" s="21"/>
      <c r="L58" s="109"/>
      <c r="M58" s="19"/>
      <c r="N58" s="19"/>
    </row>
    <row r="59" spans="1:20" ht="13.8" x14ac:dyDescent="0.25">
      <c r="A59" s="94"/>
      <c r="B59" s="94"/>
      <c r="C59" s="94"/>
      <c r="D59" s="84" t="s">
        <v>46</v>
      </c>
      <c r="E59" s="19"/>
      <c r="F59" s="32"/>
      <c r="G59" s="109"/>
      <c r="H59" s="32"/>
      <c r="I59" s="21"/>
      <c r="J59" s="21"/>
      <c r="K59" s="21"/>
      <c r="L59" s="109"/>
      <c r="M59" s="19"/>
      <c r="N59" s="19"/>
    </row>
    <row r="60" spans="1:20" ht="13.8" x14ac:dyDescent="0.25">
      <c r="A60" s="94"/>
      <c r="B60" s="94"/>
      <c r="C60" s="94"/>
      <c r="D60" s="84" t="s">
        <v>51</v>
      </c>
      <c r="E60" s="19"/>
      <c r="F60" s="32"/>
      <c r="G60" s="109"/>
      <c r="H60" s="32"/>
      <c r="I60" s="21"/>
      <c r="J60" s="21"/>
      <c r="K60" s="21"/>
      <c r="L60" s="109"/>
      <c r="M60" s="19"/>
      <c r="N60" s="19"/>
    </row>
    <row r="61" spans="1:20" ht="13.8" x14ac:dyDescent="0.25">
      <c r="A61" s="94"/>
      <c r="B61" s="94"/>
      <c r="C61" s="94"/>
      <c r="D61" s="154" t="s">
        <v>47</v>
      </c>
      <c r="E61" s="19"/>
      <c r="F61" s="32"/>
      <c r="G61" s="109"/>
      <c r="H61" s="32"/>
      <c r="I61" s="21"/>
      <c r="J61" s="21"/>
      <c r="K61" s="21"/>
      <c r="L61" s="109"/>
      <c r="M61" s="19"/>
      <c r="N61" s="19"/>
    </row>
    <row r="62" spans="1:20" ht="13.8" x14ac:dyDescent="0.25">
      <c r="A62" s="94"/>
      <c r="B62" s="94"/>
      <c r="C62" s="93"/>
      <c r="D62" s="154" t="s">
        <v>48</v>
      </c>
      <c r="E62" s="19"/>
      <c r="F62" s="32"/>
      <c r="G62" s="109"/>
      <c r="H62" s="32"/>
      <c r="I62" s="21"/>
      <c r="J62" s="21"/>
      <c r="K62" s="21"/>
      <c r="L62" s="109"/>
      <c r="M62" s="19"/>
      <c r="N62" s="19"/>
    </row>
    <row r="63" spans="1:20" ht="13.8" x14ac:dyDescent="0.25">
      <c r="A63" s="94"/>
      <c r="B63" s="94"/>
      <c r="C63" s="93"/>
      <c r="D63" s="8" t="s">
        <v>17</v>
      </c>
      <c r="E63" s="19"/>
      <c r="F63" s="32"/>
      <c r="G63" s="109"/>
      <c r="H63" s="32"/>
      <c r="I63" s="21"/>
      <c r="J63" s="21"/>
      <c r="K63" s="21"/>
      <c r="L63" s="109"/>
      <c r="M63" s="19"/>
      <c r="N63" s="19"/>
    </row>
    <row r="64" spans="1:20" ht="14.4" thickBot="1" x14ac:dyDescent="0.3">
      <c r="A64" s="101"/>
      <c r="B64" s="101"/>
      <c r="C64" s="101"/>
      <c r="D64" s="155" t="s">
        <v>49</v>
      </c>
      <c r="E64" s="27"/>
      <c r="F64" s="39"/>
      <c r="G64" s="110"/>
      <c r="H64" s="39"/>
      <c r="I64" s="25"/>
      <c r="J64" s="25"/>
      <c r="K64" s="25"/>
      <c r="L64" s="110"/>
      <c r="M64" s="27"/>
      <c r="N64" s="27"/>
    </row>
    <row r="65" spans="1:12" ht="14.4" thickBot="1" x14ac:dyDescent="0.3">
      <c r="D65" s="28"/>
    </row>
    <row r="66" spans="1:12" ht="28.2" thickBot="1" x14ac:dyDescent="0.3">
      <c r="D66" s="60" t="s">
        <v>15</v>
      </c>
      <c r="E66" s="114" t="s">
        <v>3</v>
      </c>
      <c r="F66" s="143" t="s">
        <v>8</v>
      </c>
      <c r="G66" s="67" t="s">
        <v>9</v>
      </c>
      <c r="H66" s="67" t="s">
        <v>10</v>
      </c>
      <c r="I66" s="67" t="s">
        <v>11</v>
      </c>
      <c r="J66" s="158" t="s">
        <v>12</v>
      </c>
      <c r="K66" s="159" t="s">
        <v>6</v>
      </c>
      <c r="L66" s="157" t="s">
        <v>66</v>
      </c>
    </row>
    <row r="67" spans="1:12" ht="13.8" x14ac:dyDescent="0.25">
      <c r="A67" s="101"/>
      <c r="B67" s="101"/>
      <c r="C67" s="101"/>
      <c r="D67" s="84" t="s">
        <v>40</v>
      </c>
      <c r="E67" s="15"/>
      <c r="F67" s="41"/>
      <c r="G67" s="30"/>
      <c r="H67" s="30"/>
      <c r="I67" s="30"/>
      <c r="J67" s="31"/>
      <c r="K67" s="15"/>
      <c r="L67" s="160"/>
    </row>
    <row r="68" spans="1:12" ht="13.8" x14ac:dyDescent="0.25">
      <c r="A68" s="101"/>
      <c r="B68" s="101"/>
      <c r="C68" s="101"/>
      <c r="D68" s="84" t="s">
        <v>44</v>
      </c>
      <c r="E68" s="19"/>
      <c r="F68" s="20"/>
      <c r="G68" s="21"/>
      <c r="H68" s="21"/>
      <c r="I68" s="21"/>
      <c r="J68" s="22"/>
      <c r="K68" s="19"/>
      <c r="L68" s="145"/>
    </row>
    <row r="69" spans="1:12" ht="13.8" x14ac:dyDescent="0.25">
      <c r="A69" s="101"/>
      <c r="B69" s="101"/>
      <c r="C69" s="101"/>
      <c r="D69" s="84" t="s">
        <v>43</v>
      </c>
      <c r="E69" s="19"/>
      <c r="F69" s="20"/>
      <c r="G69" s="21"/>
      <c r="H69" s="21"/>
      <c r="I69" s="21"/>
      <c r="J69" s="22"/>
      <c r="K69" s="19"/>
      <c r="L69" s="145"/>
    </row>
    <row r="70" spans="1:12" ht="13.8" x14ac:dyDescent="0.25">
      <c r="A70" s="94"/>
      <c r="B70" s="94"/>
      <c r="C70" s="94"/>
      <c r="D70" s="154" t="s">
        <v>38</v>
      </c>
      <c r="E70" s="19"/>
      <c r="F70" s="20"/>
      <c r="G70" s="21"/>
      <c r="H70" s="21"/>
      <c r="I70" s="21"/>
      <c r="J70" s="22"/>
      <c r="K70" s="19"/>
      <c r="L70" s="145"/>
    </row>
    <row r="71" spans="1:12" ht="13.8" x14ac:dyDescent="0.25">
      <c r="A71" s="94"/>
      <c r="B71" s="94"/>
      <c r="C71" s="94"/>
      <c r="D71" s="84" t="s">
        <v>39</v>
      </c>
      <c r="E71" s="19"/>
      <c r="F71" s="20"/>
      <c r="G71" s="21"/>
      <c r="H71" s="21"/>
      <c r="I71" s="21"/>
      <c r="J71" s="22"/>
      <c r="K71" s="19"/>
      <c r="L71" s="145"/>
    </row>
    <row r="72" spans="1:12" ht="13.8" x14ac:dyDescent="0.25">
      <c r="A72" s="94"/>
      <c r="B72" s="94"/>
      <c r="C72" s="94"/>
      <c r="D72" s="84" t="s">
        <v>42</v>
      </c>
      <c r="E72" s="19"/>
      <c r="F72" s="20"/>
      <c r="G72" s="21"/>
      <c r="H72" s="21"/>
      <c r="I72" s="21"/>
      <c r="J72" s="22"/>
      <c r="K72" s="19"/>
      <c r="L72" s="145"/>
    </row>
    <row r="73" spans="1:12" ht="14.4" thickBot="1" x14ac:dyDescent="0.3">
      <c r="A73" s="94"/>
      <c r="B73" s="94"/>
      <c r="C73" s="94"/>
      <c r="D73" s="84" t="s">
        <v>41</v>
      </c>
      <c r="E73" s="27"/>
      <c r="F73" s="24"/>
      <c r="G73" s="25"/>
      <c r="H73" s="25"/>
      <c r="I73" s="25"/>
      <c r="J73" s="26"/>
      <c r="K73" s="27"/>
      <c r="L73" s="146"/>
    </row>
    <row r="74" spans="1:12" ht="13.8" x14ac:dyDescent="0.25">
      <c r="D74" s="28"/>
    </row>
    <row r="88" spans="13:13" x14ac:dyDescent="0.25">
      <c r="M88" s="33"/>
    </row>
  </sheetData>
  <mergeCells count="5">
    <mergeCell ref="D2:H2"/>
    <mergeCell ref="D3:H3"/>
    <mergeCell ref="D14:N15"/>
    <mergeCell ref="D54:N55"/>
    <mergeCell ref="D28:N29"/>
  </mergeCells>
  <pageMargins left="0.25" right="0.25" top="0.75" bottom="0.75" header="0.3" footer="0.3"/>
  <pageSetup scale="56" fitToHeight="0" orientation="landscape" verticalDpi="599"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2"/>
  <sheetViews>
    <sheetView showGridLines="0" topLeftCell="D10" zoomScale="80" zoomScaleNormal="80" workbookViewId="0">
      <selection activeCell="I20" sqref="I20:J28"/>
    </sheetView>
  </sheetViews>
  <sheetFormatPr defaultColWidth="11.44140625" defaultRowHeight="13.2" x14ac:dyDescent="0.25"/>
  <cols>
    <col min="1" max="1" width="2.5546875" style="173" customWidth="1"/>
    <col min="2" max="2" width="2.109375" style="173" customWidth="1"/>
    <col min="3" max="3" width="5" style="173" bestFit="1" customWidth="1"/>
    <col min="4" max="4" width="89.109375" style="173" bestFit="1" customWidth="1"/>
    <col min="5" max="5" width="12.88671875" style="173" customWidth="1"/>
    <col min="6" max="6" width="17" style="173" bestFit="1" customWidth="1"/>
    <col min="7" max="7" width="16.88671875" style="173" bestFit="1" customWidth="1"/>
    <col min="8" max="10" width="16.33203125" style="173" bestFit="1" customWidth="1"/>
    <col min="11" max="12" width="17.44140625" style="173" bestFit="1" customWidth="1"/>
    <col min="13" max="13" width="15.44140625" style="173" bestFit="1" customWidth="1"/>
    <col min="14" max="17" width="11.44140625" style="173"/>
    <col min="18" max="19" width="15.109375" style="173" bestFit="1" customWidth="1"/>
    <col min="20" max="16384" width="11.44140625" style="173"/>
  </cols>
  <sheetData>
    <row r="1" spans="1:36" ht="13.8" thickBot="1" x14ac:dyDescent="0.3"/>
    <row r="2" spans="1:36" s="2" customFormat="1" ht="14.4" thickBot="1" x14ac:dyDescent="0.3">
      <c r="D2" s="1238" t="s">
        <v>0</v>
      </c>
      <c r="E2" s="1239"/>
      <c r="F2" s="1239"/>
      <c r="G2" s="1239"/>
      <c r="H2" s="1239"/>
      <c r="I2" s="1239"/>
      <c r="J2" s="1239"/>
      <c r="K2" s="1240"/>
      <c r="L2" s="3"/>
      <c r="M2" s="3"/>
      <c r="N2" s="3"/>
      <c r="O2" s="3"/>
      <c r="P2" s="4"/>
    </row>
    <row r="3" spans="1:36" s="2" customFormat="1" ht="65.25" customHeight="1" thickBot="1" x14ac:dyDescent="0.3">
      <c r="D3" s="1241" t="s">
        <v>1</v>
      </c>
      <c r="E3" s="1242"/>
      <c r="F3" s="1242"/>
      <c r="G3" s="1242"/>
      <c r="H3" s="1242"/>
      <c r="I3" s="1242"/>
      <c r="J3" s="1242"/>
      <c r="K3" s="1243"/>
      <c r="L3" s="5"/>
      <c r="M3" s="5"/>
      <c r="N3" s="5"/>
      <c r="O3" s="5"/>
      <c r="P3" s="6"/>
      <c r="Q3" s="7"/>
      <c r="R3" s="7"/>
      <c r="S3" s="7"/>
      <c r="V3" s="7"/>
      <c r="W3" s="7"/>
      <c r="X3" s="7"/>
      <c r="Y3" s="7"/>
      <c r="Z3" s="7"/>
      <c r="AA3" s="7"/>
      <c r="AB3" s="7"/>
      <c r="AC3" s="7"/>
      <c r="AD3" s="7"/>
      <c r="AE3" s="7"/>
      <c r="AF3" s="7"/>
      <c r="AG3" s="7"/>
      <c r="AH3" s="7"/>
      <c r="AI3" s="7"/>
      <c r="AJ3" s="7"/>
    </row>
    <row r="4" spans="1:36" s="2" customFormat="1" ht="13.8" thickBot="1" x14ac:dyDescent="0.3">
      <c r="D4" s="128"/>
      <c r="E4" s="128"/>
      <c r="F4" s="128"/>
      <c r="G4" s="128"/>
      <c r="H4" s="128"/>
      <c r="I4" s="5"/>
      <c r="J4" s="5"/>
      <c r="K4" s="5"/>
      <c r="L4" s="5"/>
      <c r="M4" s="5"/>
      <c r="N4" s="5"/>
      <c r="O4" s="5"/>
      <c r="P4" s="6"/>
      <c r="Q4" s="7"/>
      <c r="R4" s="7"/>
      <c r="S4" s="7"/>
      <c r="V4" s="7"/>
      <c r="W4" s="7"/>
      <c r="X4" s="7"/>
      <c r="Y4" s="7"/>
      <c r="Z4" s="7"/>
      <c r="AA4" s="7"/>
      <c r="AB4" s="7"/>
      <c r="AC4" s="7"/>
      <c r="AD4" s="7"/>
      <c r="AE4" s="7"/>
      <c r="AF4" s="7"/>
      <c r="AG4" s="7"/>
      <c r="AH4" s="7"/>
      <c r="AI4" s="7"/>
      <c r="AJ4" s="7"/>
    </row>
    <row r="5" spans="1:36" s="2" customFormat="1" ht="14.4" thickBot="1" x14ac:dyDescent="0.3">
      <c r="D5" s="124" t="s">
        <v>74</v>
      </c>
      <c r="E5" s="122" t="s">
        <v>68</v>
      </c>
      <c r="F5" s="129" t="e">
        <f>F50</f>
        <v>#REF!</v>
      </c>
      <c r="G5" s="129" t="e">
        <f>G50</f>
        <v>#REF!</v>
      </c>
      <c r="H5" s="129" t="e">
        <f>H50</f>
        <v>#REF!</v>
      </c>
      <c r="I5" s="129" t="e">
        <f>I50</f>
        <v>#REF!</v>
      </c>
      <c r="J5" s="129" t="e">
        <f>J50</f>
        <v>#REF!</v>
      </c>
      <c r="K5" s="130" t="e">
        <f>SUM(F5:J5)</f>
        <v>#REF!</v>
      </c>
      <c r="L5" s="139" t="e">
        <f>IF(NOT(K5=125000000),"El valor total debe coincidir con el valor total del préstamo (USD 125.000.000)"," ")</f>
        <v>#REF!</v>
      </c>
      <c r="M5" s="5"/>
      <c r="N5" s="5"/>
      <c r="O5" s="5"/>
      <c r="P5" s="6"/>
      <c r="Q5" s="7"/>
      <c r="R5" s="7"/>
      <c r="S5" s="7"/>
      <c r="V5" s="7"/>
      <c r="W5" s="7"/>
      <c r="X5" s="7"/>
      <c r="Y5" s="7"/>
      <c r="Z5" s="7"/>
      <c r="AA5" s="7"/>
      <c r="AB5" s="7"/>
      <c r="AC5" s="7"/>
      <c r="AD5" s="7"/>
      <c r="AE5" s="7"/>
      <c r="AF5" s="7"/>
      <c r="AG5" s="7"/>
      <c r="AH5" s="7"/>
      <c r="AI5" s="7"/>
      <c r="AJ5" s="7"/>
    </row>
    <row r="6" spans="1:36" ht="13.8" thickBot="1" x14ac:dyDescent="0.3"/>
    <row r="7" spans="1:36" ht="15" customHeight="1" x14ac:dyDescent="0.25">
      <c r="D7" s="1231" t="s">
        <v>98</v>
      </c>
      <c r="E7" s="1232"/>
      <c r="F7" s="1232"/>
      <c r="G7" s="1232"/>
      <c r="H7" s="1232"/>
      <c r="I7" s="1232"/>
      <c r="J7" s="1232"/>
      <c r="K7" s="1233"/>
      <c r="L7" s="112"/>
    </row>
    <row r="8" spans="1:36" ht="15" customHeight="1" thickBot="1" x14ac:dyDescent="0.3">
      <c r="D8" s="1234"/>
      <c r="E8" s="1235"/>
      <c r="F8" s="1235"/>
      <c r="G8" s="1235"/>
      <c r="H8" s="1235"/>
      <c r="I8" s="1235"/>
      <c r="J8" s="1235"/>
      <c r="K8" s="1237"/>
      <c r="L8" s="112"/>
    </row>
    <row r="9" spans="1:36" ht="27" thickBot="1" x14ac:dyDescent="0.3">
      <c r="D9" s="127" t="s">
        <v>15</v>
      </c>
      <c r="E9" s="165" t="s">
        <v>3</v>
      </c>
      <c r="F9" s="48" t="s">
        <v>8</v>
      </c>
      <c r="G9" s="164" t="s">
        <v>9</v>
      </c>
      <c r="H9" s="164" t="s">
        <v>10</v>
      </c>
      <c r="I9" s="164" t="s">
        <v>11</v>
      </c>
      <c r="J9" s="52" t="s">
        <v>12</v>
      </c>
      <c r="K9" s="165" t="s">
        <v>67</v>
      </c>
      <c r="L9" s="112"/>
    </row>
    <row r="10" spans="1:36" ht="13.8" x14ac:dyDescent="0.25">
      <c r="A10" s="112"/>
      <c r="B10" s="112"/>
      <c r="C10" s="315">
        <v>2.4</v>
      </c>
      <c r="D10" s="125" t="s">
        <v>56</v>
      </c>
      <c r="E10" s="126" t="s">
        <v>68</v>
      </c>
      <c r="F10" s="353">
        <v>0</v>
      </c>
      <c r="G10" s="349">
        <v>500000</v>
      </c>
      <c r="H10" s="349">
        <v>450000</v>
      </c>
      <c r="I10" s="349">
        <v>480000</v>
      </c>
      <c r="J10" s="349">
        <v>0</v>
      </c>
      <c r="K10" s="340">
        <f>SUM(F10:J10)</f>
        <v>1430000</v>
      </c>
    </row>
    <row r="11" spans="1:36" ht="13.8" x14ac:dyDescent="0.25">
      <c r="A11" s="112"/>
      <c r="B11" s="112"/>
      <c r="C11" s="315">
        <v>2.5</v>
      </c>
      <c r="D11" s="113" t="s">
        <v>21</v>
      </c>
      <c r="E11" s="118" t="s">
        <v>68</v>
      </c>
      <c r="F11" s="353">
        <v>0</v>
      </c>
      <c r="G11" s="349">
        <v>560000</v>
      </c>
      <c r="H11" s="349">
        <v>1180000</v>
      </c>
      <c r="I11" s="349">
        <v>935000</v>
      </c>
      <c r="J11" s="349">
        <v>315000</v>
      </c>
      <c r="K11" s="340">
        <f>SUM(F11:J11)</f>
        <v>2990000</v>
      </c>
    </row>
    <row r="12" spans="1:36" ht="13.8" x14ac:dyDescent="0.25">
      <c r="A12" s="112"/>
      <c r="B12" s="112"/>
      <c r="C12" s="315">
        <v>2.6</v>
      </c>
      <c r="D12" s="322" t="s">
        <v>63</v>
      </c>
      <c r="E12" s="118" t="s">
        <v>68</v>
      </c>
      <c r="F12" s="353">
        <v>5000</v>
      </c>
      <c r="G12" s="349">
        <v>150000</v>
      </c>
      <c r="H12" s="349">
        <v>50000</v>
      </c>
      <c r="I12" s="349">
        <v>150000</v>
      </c>
      <c r="J12" s="349">
        <v>50000</v>
      </c>
      <c r="K12" s="340">
        <f>SUM(F12:J12)</f>
        <v>405000</v>
      </c>
    </row>
    <row r="13" spans="1:36" ht="13.8" x14ac:dyDescent="0.25">
      <c r="A13" s="112"/>
      <c r="B13" s="112"/>
      <c r="C13" s="315">
        <v>2.7</v>
      </c>
      <c r="D13" s="321" t="s">
        <v>259</v>
      </c>
      <c r="E13" s="118" t="s">
        <v>68</v>
      </c>
      <c r="F13" s="354">
        <v>0</v>
      </c>
      <c r="G13" s="351">
        <v>0</v>
      </c>
      <c r="H13" s="351">
        <v>330000</v>
      </c>
      <c r="I13" s="351">
        <v>0</v>
      </c>
      <c r="J13" s="352">
        <v>0</v>
      </c>
      <c r="K13" s="340">
        <f>SUM(F13:J13)</f>
        <v>330000</v>
      </c>
    </row>
    <row r="14" spans="1:36" ht="14.4" thickBot="1" x14ac:dyDescent="0.3">
      <c r="A14" s="112"/>
      <c r="B14" s="112"/>
      <c r="C14" s="315">
        <v>2.8</v>
      </c>
      <c r="D14" s="38" t="s">
        <v>239</v>
      </c>
      <c r="E14" s="121" t="s">
        <v>68</v>
      </c>
      <c r="F14" s="140" t="e">
        <f>11300*((#REF!)-1)+250000</f>
        <v>#REF!</v>
      </c>
      <c r="G14" s="140" t="e">
        <f>11300*#REF!+300</f>
        <v>#REF!</v>
      </c>
      <c r="H14" s="140" t="e">
        <f>11300*#REF!+300</f>
        <v>#REF!</v>
      </c>
      <c r="I14" s="140" t="e">
        <f>11300*#REF!+300</f>
        <v>#REF!</v>
      </c>
      <c r="J14" s="140" t="e">
        <f>11300*#REF!+300</f>
        <v>#REF!</v>
      </c>
      <c r="K14" s="141" t="e">
        <f>SUM(F14:J14)</f>
        <v>#REF!</v>
      </c>
      <c r="L14" s="142"/>
      <c r="P14" s="173">
        <v>800</v>
      </c>
      <c r="Q14" s="173">
        <v>2000</v>
      </c>
      <c r="R14" s="173">
        <v>3</v>
      </c>
      <c r="S14" s="173">
        <v>3</v>
      </c>
      <c r="T14" s="33">
        <f>(S14*R14*P14)+(Q14*R14)</f>
        <v>13200</v>
      </c>
    </row>
    <row r="15" spans="1:36" ht="14.4" thickBot="1" x14ac:dyDescent="0.3">
      <c r="C15" s="316"/>
      <c r="D15" s="124" t="s">
        <v>67</v>
      </c>
      <c r="E15" s="122" t="s">
        <v>68</v>
      </c>
      <c r="F15" s="129" t="e">
        <f t="shared" ref="F15:K15" si="0">SUM(F10:F14)</f>
        <v>#REF!</v>
      </c>
      <c r="G15" s="129" t="e">
        <f t="shared" si="0"/>
        <v>#REF!</v>
      </c>
      <c r="H15" s="129" t="e">
        <f t="shared" si="0"/>
        <v>#REF!</v>
      </c>
      <c r="I15" s="129" t="e">
        <f t="shared" si="0"/>
        <v>#REF!</v>
      </c>
      <c r="J15" s="341" t="e">
        <f t="shared" si="0"/>
        <v>#REF!</v>
      </c>
      <c r="K15" s="130" t="e">
        <f t="shared" si="0"/>
        <v>#REF!</v>
      </c>
      <c r="L15" s="139" t="e">
        <f>IF(NOT(K15=5700000),"El valor total debe coincidir con el valor total de la Categoría II.1 (USD 5.700.000)"," ")</f>
        <v>#REF!</v>
      </c>
      <c r="T15" s="173">
        <f>T14/9</f>
        <v>1466.6666666666667</v>
      </c>
    </row>
    <row r="16" spans="1:36" ht="15" thickBot="1" x14ac:dyDescent="0.3">
      <c r="C16" s="316"/>
      <c r="D16" s="34"/>
      <c r="L16" s="368" t="e">
        <f>5700000-K15</f>
        <v>#REF!</v>
      </c>
    </row>
    <row r="17" spans="1:12" ht="15" customHeight="1" x14ac:dyDescent="0.25">
      <c r="C17" s="316"/>
      <c r="D17" s="1231" t="s">
        <v>110</v>
      </c>
      <c r="E17" s="1232"/>
      <c r="F17" s="1232"/>
      <c r="G17" s="1232"/>
      <c r="H17" s="1232"/>
      <c r="I17" s="1232"/>
      <c r="J17" s="1232"/>
      <c r="K17" s="1233"/>
      <c r="L17" s="142"/>
    </row>
    <row r="18" spans="1:12" ht="15.75" customHeight="1" thickBot="1" x14ac:dyDescent="0.3">
      <c r="C18" s="316"/>
      <c r="D18" s="1234"/>
      <c r="E18" s="1235"/>
      <c r="F18" s="1235"/>
      <c r="G18" s="1235"/>
      <c r="H18" s="1235"/>
      <c r="I18" s="1235"/>
      <c r="J18" s="1235"/>
      <c r="K18" s="1236"/>
      <c r="L18" s="142"/>
    </row>
    <row r="19" spans="1:12" ht="27" thickBot="1" x14ac:dyDescent="0.3">
      <c r="C19" s="316"/>
      <c r="D19" s="127" t="s">
        <v>15</v>
      </c>
      <c r="E19" s="165" t="s">
        <v>3</v>
      </c>
      <c r="F19" s="48" t="s">
        <v>8</v>
      </c>
      <c r="G19" s="164" t="s">
        <v>9</v>
      </c>
      <c r="H19" s="164" t="s">
        <v>10</v>
      </c>
      <c r="I19" s="164" t="s">
        <v>11</v>
      </c>
      <c r="J19" s="52" t="s">
        <v>12</v>
      </c>
      <c r="K19" s="165" t="s">
        <v>67</v>
      </c>
      <c r="L19" s="112"/>
    </row>
    <row r="20" spans="1:12" ht="13.8" x14ac:dyDescent="0.25">
      <c r="A20" s="112"/>
      <c r="B20" s="112"/>
      <c r="C20" s="315">
        <v>3.12</v>
      </c>
      <c r="D20" s="322" t="s">
        <v>133</v>
      </c>
      <c r="E20" s="115" t="s">
        <v>68</v>
      </c>
      <c r="F20" s="362">
        <f>650*2000*0.94</f>
        <v>1222000</v>
      </c>
      <c r="G20" s="363">
        <v>0</v>
      </c>
      <c r="H20" s="363">
        <f>72*1000*0.94</f>
        <v>67680</v>
      </c>
      <c r="I20" s="363">
        <f>20000*0.94</f>
        <v>18800</v>
      </c>
      <c r="J20" s="364">
        <f>20000*0.94</f>
        <v>18800</v>
      </c>
      <c r="K20" s="340">
        <f t="shared" ref="K20:K27" si="1">SUM(F20:J20)</f>
        <v>1327280</v>
      </c>
    </row>
    <row r="21" spans="1:12" ht="13.8" x14ac:dyDescent="0.25">
      <c r="A21" s="112"/>
      <c r="B21" s="112"/>
      <c r="C21" s="317">
        <v>3.13</v>
      </c>
      <c r="D21" s="321" t="s">
        <v>30</v>
      </c>
      <c r="E21" s="115" t="s">
        <v>68</v>
      </c>
      <c r="F21" s="365">
        <f>(3680000-590000)*0.94</f>
        <v>2904600</v>
      </c>
      <c r="G21" s="366">
        <f>460000*0.94</f>
        <v>432400</v>
      </c>
      <c r="H21" s="366">
        <f>120000*3*0.94</f>
        <v>338400</v>
      </c>
      <c r="I21" s="366">
        <f>2*120000*0.94</f>
        <v>225600</v>
      </c>
      <c r="J21" s="367">
        <v>0</v>
      </c>
      <c r="K21" s="340">
        <f t="shared" si="1"/>
        <v>3901000</v>
      </c>
    </row>
    <row r="22" spans="1:12" ht="13.8" x14ac:dyDescent="0.25">
      <c r="A22" s="112"/>
      <c r="B22" s="112"/>
      <c r="C22" s="315">
        <v>3.14</v>
      </c>
      <c r="D22" s="321" t="s">
        <v>58</v>
      </c>
      <c r="E22" s="115" t="s">
        <v>68</v>
      </c>
      <c r="F22" s="131">
        <f>(9790000/2)*0.94</f>
        <v>4601300</v>
      </c>
      <c r="G22" s="351">
        <f>3170000*0.5*0.94</f>
        <v>1489900</v>
      </c>
      <c r="H22" s="351">
        <f>+H23*0.94</f>
        <v>945452</v>
      </c>
      <c r="I22" s="351">
        <f>50000*0.94</f>
        <v>47000</v>
      </c>
      <c r="J22" s="352">
        <f>50000*0.94</f>
        <v>47000</v>
      </c>
      <c r="K22" s="340">
        <f t="shared" si="1"/>
        <v>7130652</v>
      </c>
    </row>
    <row r="23" spans="1:12" ht="13.8" x14ac:dyDescent="0.25">
      <c r="A23" s="112"/>
      <c r="B23" s="112"/>
      <c r="C23" s="315">
        <v>3.15</v>
      </c>
      <c r="D23" s="321" t="s">
        <v>57</v>
      </c>
      <c r="E23" s="115" t="s">
        <v>68</v>
      </c>
      <c r="F23" s="131">
        <f>(9790000/2)*0.94</f>
        <v>4601300</v>
      </c>
      <c r="G23" s="351">
        <f>3170000*0.5*0.94</f>
        <v>1489900</v>
      </c>
      <c r="H23" s="351">
        <f>+((5000+3200+2500)*1000*0.1)*0.94</f>
        <v>1005800</v>
      </c>
      <c r="I23" s="351">
        <f>100000*0.94</f>
        <v>94000</v>
      </c>
      <c r="J23" s="352">
        <f>500000*0.94</f>
        <v>470000</v>
      </c>
      <c r="K23" s="340">
        <f t="shared" si="1"/>
        <v>7661000</v>
      </c>
    </row>
    <row r="24" spans="1:12" ht="13.8" x14ac:dyDescent="0.25">
      <c r="A24" s="112"/>
      <c r="B24" s="112"/>
      <c r="C24" s="315">
        <v>3.16</v>
      </c>
      <c r="D24" s="321" t="s">
        <v>26</v>
      </c>
      <c r="E24" s="115" t="s">
        <v>68</v>
      </c>
      <c r="F24" s="131">
        <v>0</v>
      </c>
      <c r="G24" s="351">
        <f>1510000*0.94</f>
        <v>1419400</v>
      </c>
      <c r="H24" s="351">
        <v>0</v>
      </c>
      <c r="I24" s="351">
        <f>45000*0.94</f>
        <v>42300</v>
      </c>
      <c r="J24" s="352">
        <f>450000*0.94</f>
        <v>423000</v>
      </c>
      <c r="K24" s="340">
        <f t="shared" si="1"/>
        <v>1884700</v>
      </c>
    </row>
    <row r="25" spans="1:12" ht="13.8" x14ac:dyDescent="0.25">
      <c r="A25" s="112"/>
      <c r="B25" s="112"/>
      <c r="C25" s="317">
        <v>3.17</v>
      </c>
      <c r="D25" s="321" t="s">
        <v>27</v>
      </c>
      <c r="E25" s="115" t="s">
        <v>68</v>
      </c>
      <c r="F25" s="131">
        <f>+((17200+7800+5900)*0.6*1000)*0.94</f>
        <v>17427600</v>
      </c>
      <c r="G25" s="351">
        <f>26760000*0.95-13932</f>
        <v>25408068</v>
      </c>
      <c r="H25" s="351">
        <f>+((5000+3200+2500)*1000*0.7)*0.95</f>
        <v>7115499.9999999991</v>
      </c>
      <c r="I25" s="351">
        <f>1900000*0.94</f>
        <v>1786000</v>
      </c>
      <c r="J25" s="352">
        <v>0</v>
      </c>
      <c r="K25" s="340">
        <f t="shared" si="1"/>
        <v>51737168</v>
      </c>
    </row>
    <row r="26" spans="1:12" ht="13.8" x14ac:dyDescent="0.25">
      <c r="A26" s="112"/>
      <c r="B26" s="112"/>
      <c r="C26" s="315">
        <v>3.18</v>
      </c>
      <c r="D26" s="79" t="s">
        <v>146</v>
      </c>
      <c r="E26" s="115" t="s">
        <v>68</v>
      </c>
      <c r="F26" s="132">
        <f>200000*0.94</f>
        <v>188000</v>
      </c>
      <c r="G26" s="133">
        <f>50000*0.94</f>
        <v>47000</v>
      </c>
      <c r="H26" s="133">
        <f>150000*0.94</f>
        <v>141000</v>
      </c>
      <c r="I26" s="133">
        <f>20000*0.94</f>
        <v>18800</v>
      </c>
      <c r="J26" s="134">
        <v>0</v>
      </c>
      <c r="K26" s="340">
        <f t="shared" si="1"/>
        <v>394800</v>
      </c>
    </row>
    <row r="27" spans="1:12" ht="14.4" thickBot="1" x14ac:dyDescent="0.3">
      <c r="A27" s="112"/>
      <c r="B27" s="112"/>
      <c r="C27" s="315">
        <v>3.19</v>
      </c>
      <c r="D27" s="38" t="s">
        <v>28</v>
      </c>
      <c r="E27" s="123" t="s">
        <v>68</v>
      </c>
      <c r="F27" s="135">
        <f>((17200+7800+5900)*0.2*1000)*0.94</f>
        <v>5809200</v>
      </c>
      <c r="G27" s="136">
        <f>9660000*0.94</f>
        <v>9080400</v>
      </c>
      <c r="H27" s="136">
        <f>(((5000+3200+2500)*1000*0.1)+1800000)*0.94</f>
        <v>2697800</v>
      </c>
      <c r="I27" s="136">
        <f>400000*0.94</f>
        <v>376000</v>
      </c>
      <c r="J27" s="137">
        <v>0</v>
      </c>
      <c r="K27" s="340">
        <f t="shared" si="1"/>
        <v>17963400</v>
      </c>
    </row>
    <row r="28" spans="1:12" ht="14.4" thickBot="1" x14ac:dyDescent="0.3">
      <c r="D28" s="124" t="s">
        <v>67</v>
      </c>
      <c r="E28" s="122" t="s">
        <v>68</v>
      </c>
      <c r="F28" s="129">
        <f t="shared" ref="F28:K28" si="2">SUM(F20:F27)</f>
        <v>36754000</v>
      </c>
      <c r="G28" s="129">
        <f t="shared" si="2"/>
        <v>39367068</v>
      </c>
      <c r="H28" s="129">
        <f t="shared" si="2"/>
        <v>12311632</v>
      </c>
      <c r="I28" s="129">
        <f t="shared" si="2"/>
        <v>2608500</v>
      </c>
      <c r="J28" s="341">
        <f t="shared" si="2"/>
        <v>958800</v>
      </c>
      <c r="K28" s="130">
        <f t="shared" si="2"/>
        <v>92000000</v>
      </c>
      <c r="L28" s="139" t="str">
        <f>IF(NOT(K28=92000000),"El valor total debe coincidir con el valor total de la Categoría II.2 (USD 92.000.000)"," ")</f>
        <v xml:space="preserve"> </v>
      </c>
    </row>
    <row r="29" spans="1:12" ht="14.4" thickBot="1" x14ac:dyDescent="0.3">
      <c r="D29" s="13"/>
      <c r="F29" s="173">
        <f>F28/$K$28</f>
        <v>0.39950000000000002</v>
      </c>
      <c r="G29" s="173">
        <f>G28/$K$28</f>
        <v>0.42790291304347827</v>
      </c>
      <c r="H29" s="173">
        <f>H28/$K$28</f>
        <v>0.13382208695652173</v>
      </c>
      <c r="I29" s="173">
        <f>I28/$K$28</f>
        <v>2.8353260869565217E-2</v>
      </c>
      <c r="J29" s="173">
        <f>J28/$K$28</f>
        <v>1.0421739130434782E-2</v>
      </c>
      <c r="L29" s="368">
        <f>92000000-K28</f>
        <v>0</v>
      </c>
    </row>
    <row r="30" spans="1:12" ht="15" customHeight="1" x14ac:dyDescent="0.25">
      <c r="D30" s="1231" t="s">
        <v>149</v>
      </c>
      <c r="E30" s="1232"/>
      <c r="F30" s="1232"/>
      <c r="G30" s="1232"/>
      <c r="H30" s="1232"/>
      <c r="I30" s="1232"/>
      <c r="J30" s="1232"/>
      <c r="K30" s="1233"/>
    </row>
    <row r="31" spans="1:12" ht="15" customHeight="1" thickBot="1" x14ac:dyDescent="0.3">
      <c r="D31" s="1234"/>
      <c r="E31" s="1235"/>
      <c r="F31" s="1235"/>
      <c r="G31" s="1235"/>
      <c r="H31" s="1235"/>
      <c r="I31" s="1235"/>
      <c r="J31" s="1235"/>
      <c r="K31" s="1236"/>
    </row>
    <row r="32" spans="1:12" ht="27" thickBot="1" x14ac:dyDescent="0.3">
      <c r="D32" s="127" t="s">
        <v>15</v>
      </c>
      <c r="E32" s="165" t="s">
        <v>3</v>
      </c>
      <c r="F32" s="48" t="s">
        <v>8</v>
      </c>
      <c r="G32" s="164" t="s">
        <v>9</v>
      </c>
      <c r="H32" s="164" t="s">
        <v>10</v>
      </c>
      <c r="I32" s="164" t="s">
        <v>11</v>
      </c>
      <c r="J32" s="52" t="s">
        <v>12</v>
      </c>
      <c r="K32" s="165" t="s">
        <v>67</v>
      </c>
      <c r="L32" s="112"/>
    </row>
    <row r="33" spans="1:19" ht="13.8" x14ac:dyDescent="0.25">
      <c r="A33" s="112"/>
      <c r="B33" s="112"/>
      <c r="C33" s="315">
        <v>4.07</v>
      </c>
      <c r="D33" s="322" t="s">
        <v>189</v>
      </c>
      <c r="E33" s="118" t="s">
        <v>68</v>
      </c>
      <c r="F33" s="353" t="e">
        <f>#REF!*4000</f>
        <v>#REF!</v>
      </c>
      <c r="G33" s="349" t="e">
        <f>#REF!*4000</f>
        <v>#REF!</v>
      </c>
      <c r="H33" s="349" t="e">
        <f>#REF!*4000</f>
        <v>#REF!</v>
      </c>
      <c r="I33" s="349" t="e">
        <f>#REF!*4000</f>
        <v>#REF!</v>
      </c>
      <c r="J33" s="350" t="e">
        <f>#REF!*4000</f>
        <v>#REF!</v>
      </c>
      <c r="K33" s="340" t="e">
        <f t="shared" ref="K33:K38" si="3">SUM(F33:J33)</f>
        <v>#REF!</v>
      </c>
    </row>
    <row r="34" spans="1:19" ht="13.8" x14ac:dyDescent="0.25">
      <c r="A34" s="112"/>
      <c r="B34" s="112"/>
      <c r="C34" s="315">
        <v>4.08</v>
      </c>
      <c r="D34" s="322" t="s">
        <v>44</v>
      </c>
      <c r="E34" s="118" t="s">
        <v>68</v>
      </c>
      <c r="F34" s="353" t="e">
        <f>#REF!*100000</f>
        <v>#REF!</v>
      </c>
      <c r="G34" s="349" t="e">
        <f>#REF!*120000</f>
        <v>#REF!</v>
      </c>
      <c r="H34" s="349" t="e">
        <f>#REF!*120000</f>
        <v>#REF!</v>
      </c>
      <c r="I34" s="349" t="e">
        <f>#REF!*120000</f>
        <v>#REF!</v>
      </c>
      <c r="J34" s="350" t="e">
        <f>#REF!*120000</f>
        <v>#REF!</v>
      </c>
      <c r="K34" s="340" t="e">
        <f t="shared" si="3"/>
        <v>#REF!</v>
      </c>
    </row>
    <row r="35" spans="1:19" ht="13.8" x14ac:dyDescent="0.25">
      <c r="A35" s="112"/>
      <c r="B35" s="112"/>
      <c r="C35" s="315">
        <v>4.09</v>
      </c>
      <c r="D35" s="322" t="s">
        <v>43</v>
      </c>
      <c r="E35" s="118" t="s">
        <v>68</v>
      </c>
      <c r="F35" s="353" t="e">
        <f>#REF!*12000</f>
        <v>#REF!</v>
      </c>
      <c r="G35" s="349" t="e">
        <f>#REF!*15000</f>
        <v>#REF!</v>
      </c>
      <c r="H35" s="349" t="e">
        <f>#REF!*15000</f>
        <v>#REF!</v>
      </c>
      <c r="I35" s="349" t="e">
        <f>#REF!*15000</f>
        <v>#REF!</v>
      </c>
      <c r="J35" s="350" t="e">
        <f>#REF!*15000</f>
        <v>#REF!</v>
      </c>
      <c r="K35" s="340" t="e">
        <f t="shared" si="3"/>
        <v>#REF!</v>
      </c>
    </row>
    <row r="36" spans="1:19" ht="13.8" x14ac:dyDescent="0.25">
      <c r="A36" s="112"/>
      <c r="B36" s="112"/>
      <c r="C36" s="315">
        <v>4.0999999999999996</v>
      </c>
      <c r="D36" s="321" t="s">
        <v>193</v>
      </c>
      <c r="E36" s="118" t="s">
        <v>68</v>
      </c>
      <c r="F36" s="354" t="e">
        <f>#REF!*(6000+50000)</f>
        <v>#REF!</v>
      </c>
      <c r="G36" s="351" t="e">
        <f>#REF!*(6000+50000)</f>
        <v>#REF!</v>
      </c>
      <c r="H36" s="351" t="e">
        <f>#REF!*(6000+50000)</f>
        <v>#REF!</v>
      </c>
      <c r="I36" s="351" t="e">
        <f>#REF!*(6000+50000)</f>
        <v>#REF!</v>
      </c>
      <c r="J36" s="352" t="e">
        <f>#REF!*(6000+50000)</f>
        <v>#REF!</v>
      </c>
      <c r="K36" s="340" t="e">
        <f t="shared" si="3"/>
        <v>#REF!</v>
      </c>
    </row>
    <row r="37" spans="1:19" ht="13.8" x14ac:dyDescent="0.25">
      <c r="A37" s="112"/>
      <c r="B37" s="112"/>
      <c r="C37" s="315">
        <v>4.1100000000000003</v>
      </c>
      <c r="D37" s="322" t="s">
        <v>39</v>
      </c>
      <c r="E37" s="118" t="s">
        <v>68</v>
      </c>
      <c r="F37" s="353" t="e">
        <f>#REF!*100000</f>
        <v>#REF!</v>
      </c>
      <c r="G37" s="349" t="e">
        <f>#REF!*100200</f>
        <v>#REF!</v>
      </c>
      <c r="H37" s="349" t="e">
        <f>#REF!*100200</f>
        <v>#REF!</v>
      </c>
      <c r="I37" s="349" t="e">
        <f>#REF!*100200</f>
        <v>#REF!</v>
      </c>
      <c r="J37" s="350" t="e">
        <f>#REF!*100200+19000</f>
        <v>#REF!</v>
      </c>
      <c r="K37" s="340" t="e">
        <f t="shared" si="3"/>
        <v>#REF!</v>
      </c>
    </row>
    <row r="38" spans="1:19" ht="14.4" thickBot="1" x14ac:dyDescent="0.3">
      <c r="A38" s="112"/>
      <c r="B38" s="112"/>
      <c r="C38" s="315">
        <v>4.12</v>
      </c>
      <c r="D38" s="322" t="s">
        <v>41</v>
      </c>
      <c r="E38" s="118" t="s">
        <v>68</v>
      </c>
      <c r="F38" s="353" t="e">
        <f>#REF!*300000</f>
        <v>#REF!</v>
      </c>
      <c r="G38" s="349" t="e">
        <f>#REF!*300000</f>
        <v>#REF!</v>
      </c>
      <c r="H38" s="349" t="e">
        <f>#REF!*300000</f>
        <v>#REF!</v>
      </c>
      <c r="I38" s="349" t="e">
        <f>#REF!*300000</f>
        <v>#REF!</v>
      </c>
      <c r="J38" s="350" t="e">
        <f>#REF!*300000</f>
        <v>#REF!</v>
      </c>
      <c r="K38" s="340" t="e">
        <f t="shared" si="3"/>
        <v>#REF!</v>
      </c>
    </row>
    <row r="39" spans="1:19" ht="14.4" thickBot="1" x14ac:dyDescent="0.3">
      <c r="D39" s="124" t="s">
        <v>67</v>
      </c>
      <c r="E39" s="122" t="s">
        <v>68</v>
      </c>
      <c r="F39" s="341" t="e">
        <f t="shared" ref="F39:K39" si="4">SUM(F33:F38)</f>
        <v>#REF!</v>
      </c>
      <c r="G39" s="341" t="e">
        <f t="shared" si="4"/>
        <v>#REF!</v>
      </c>
      <c r="H39" s="341" t="e">
        <f t="shared" si="4"/>
        <v>#REF!</v>
      </c>
      <c r="I39" s="341" t="e">
        <f t="shared" si="4"/>
        <v>#REF!</v>
      </c>
      <c r="J39" s="341" t="e">
        <f t="shared" si="4"/>
        <v>#REF!</v>
      </c>
      <c r="K39" s="130" t="e">
        <f t="shared" si="4"/>
        <v>#REF!</v>
      </c>
      <c r="L39" s="139" t="e">
        <f>IF(NOT(K39=7150000),"El valor total debe coincidir con el valor total de la Categoría II.3 (USD 7.150.000)"," ")</f>
        <v>#REF!</v>
      </c>
    </row>
    <row r="40" spans="1:19" ht="14.4" thickBot="1" x14ac:dyDescent="0.3">
      <c r="A40" s="112"/>
      <c r="B40" s="112"/>
      <c r="C40" s="112"/>
      <c r="D40" s="163"/>
      <c r="L40" s="368" t="e">
        <f>7150000-K39</f>
        <v>#REF!</v>
      </c>
    </row>
    <row r="41" spans="1:19" x14ac:dyDescent="0.25">
      <c r="A41" s="112"/>
      <c r="B41" s="112"/>
      <c r="C41" s="112"/>
      <c r="D41" s="1231" t="s">
        <v>69</v>
      </c>
      <c r="E41" s="1232"/>
      <c r="F41" s="1232"/>
      <c r="G41" s="1232"/>
      <c r="H41" s="1232"/>
      <c r="I41" s="1232"/>
      <c r="J41" s="1232"/>
      <c r="K41" s="1233"/>
    </row>
    <row r="42" spans="1:19" ht="13.8" thickBot="1" x14ac:dyDescent="0.3">
      <c r="A42" s="112"/>
      <c r="B42" s="112"/>
      <c r="C42" s="112"/>
      <c r="D42" s="1234"/>
      <c r="E42" s="1235"/>
      <c r="F42" s="1235"/>
      <c r="G42" s="1235"/>
      <c r="H42" s="1235"/>
      <c r="I42" s="1235"/>
      <c r="J42" s="1235"/>
      <c r="K42" s="1236"/>
    </row>
    <row r="43" spans="1:19" ht="27" thickBot="1" x14ac:dyDescent="0.3">
      <c r="D43" s="127" t="s">
        <v>71</v>
      </c>
      <c r="E43" s="165" t="s">
        <v>3</v>
      </c>
      <c r="F43" s="48" t="s">
        <v>8</v>
      </c>
      <c r="G43" s="164" t="s">
        <v>9</v>
      </c>
      <c r="H43" s="164" t="s">
        <v>10</v>
      </c>
      <c r="I43" s="164" t="s">
        <v>11</v>
      </c>
      <c r="J43" s="52" t="s">
        <v>12</v>
      </c>
      <c r="K43" s="165" t="s">
        <v>67</v>
      </c>
      <c r="L43" s="112"/>
    </row>
    <row r="44" spans="1:19" ht="13.8" x14ac:dyDescent="0.25">
      <c r="D44" s="322" t="s">
        <v>70</v>
      </c>
      <c r="E44" s="118" t="s">
        <v>68</v>
      </c>
      <c r="F44" s="353">
        <v>698000</v>
      </c>
      <c r="G44" s="349">
        <v>1740000</v>
      </c>
      <c r="H44" s="349">
        <v>1913000</v>
      </c>
      <c r="I44" s="349">
        <v>2500000</v>
      </c>
      <c r="J44" s="350">
        <v>3099000</v>
      </c>
      <c r="K44" s="340">
        <f>SUM(F44:J44)</f>
        <v>9950000</v>
      </c>
      <c r="L44" s="139"/>
      <c r="S44" s="142"/>
    </row>
    <row r="45" spans="1:19" ht="13.8" x14ac:dyDescent="0.25">
      <c r="D45" s="322" t="s">
        <v>72</v>
      </c>
      <c r="E45" s="118" t="s">
        <v>68</v>
      </c>
      <c r="F45" s="353">
        <v>0</v>
      </c>
      <c r="G45" s="349">
        <v>0</v>
      </c>
      <c r="H45" s="349">
        <v>2000000</v>
      </c>
      <c r="I45" s="349">
        <v>3850000</v>
      </c>
      <c r="J45" s="350">
        <v>4000000</v>
      </c>
      <c r="K45" s="340">
        <f>SUM(F45:J45)</f>
        <v>9850000</v>
      </c>
      <c r="L45" s="139" t="str">
        <f>IF(NOT(K45=9850000),"El valor total debe coincidir con el valor total de la Categoría III (USD 9.850.000)"," ")</f>
        <v xml:space="preserve"> </v>
      </c>
      <c r="R45" s="142"/>
      <c r="S45" s="142"/>
    </row>
    <row r="46" spans="1:19" ht="14.4" thickBot="1" x14ac:dyDescent="0.3">
      <c r="D46" s="322" t="s">
        <v>73</v>
      </c>
      <c r="E46" s="118" t="s">
        <v>68</v>
      </c>
      <c r="F46" s="353">
        <v>70000</v>
      </c>
      <c r="G46" s="353">
        <v>70000</v>
      </c>
      <c r="H46" s="353">
        <v>70000</v>
      </c>
      <c r="I46" s="353">
        <v>70000</v>
      </c>
      <c r="J46" s="353">
        <v>70000</v>
      </c>
      <c r="K46" s="340">
        <f>SUM(F46:J46)</f>
        <v>350000</v>
      </c>
      <c r="L46" s="336"/>
      <c r="S46" s="142"/>
    </row>
    <row r="47" spans="1:19" ht="14.4" thickBot="1" x14ac:dyDescent="0.3">
      <c r="D47" s="124" t="s">
        <v>67</v>
      </c>
      <c r="E47" s="122" t="s">
        <v>68</v>
      </c>
      <c r="F47" s="129">
        <f t="shared" ref="F47:K47" si="5">SUM(F44:F46)</f>
        <v>768000</v>
      </c>
      <c r="G47" s="129">
        <f t="shared" si="5"/>
        <v>1810000</v>
      </c>
      <c r="H47" s="129">
        <f t="shared" si="5"/>
        <v>3983000</v>
      </c>
      <c r="I47" s="129">
        <f t="shared" si="5"/>
        <v>6420000</v>
      </c>
      <c r="J47" s="341">
        <f t="shared" si="5"/>
        <v>7169000</v>
      </c>
      <c r="K47" s="130">
        <f t="shared" si="5"/>
        <v>20150000</v>
      </c>
      <c r="S47" s="142"/>
    </row>
    <row r="49" spans="4:12" ht="13.8" thickBot="1" x14ac:dyDescent="0.3"/>
    <row r="50" spans="4:12" ht="14.4" thickBot="1" x14ac:dyDescent="0.3">
      <c r="D50" s="124" t="s">
        <v>74</v>
      </c>
      <c r="E50" s="122" t="s">
        <v>68</v>
      </c>
      <c r="F50" s="129" t="e">
        <f>F47+F39+F28+F15</f>
        <v>#REF!</v>
      </c>
      <c r="G50" s="129" t="e">
        <f>G47+G39+G28+G15</f>
        <v>#REF!</v>
      </c>
      <c r="H50" s="129" t="e">
        <f>H47+H39+H28+H15</f>
        <v>#REF!</v>
      </c>
      <c r="I50" s="129" t="e">
        <f>I47+I39+I28+I15</f>
        <v>#REF!</v>
      </c>
      <c r="J50" s="341" t="e">
        <f>J47+J39+J28+J15</f>
        <v>#REF!</v>
      </c>
      <c r="K50" s="130" t="e">
        <f>SUM(F50:J50)</f>
        <v>#REF!</v>
      </c>
      <c r="L50" s="139" t="e">
        <f>IF(NOT(K50=125000000),"El valor total debe coincidir con el valor total del préstamo (USD 125.000.000)"," ")</f>
        <v>#REF!</v>
      </c>
    </row>
    <row r="51" spans="4:12" x14ac:dyDescent="0.25">
      <c r="L51" s="142" t="e">
        <f>125000000-K50</f>
        <v>#REF!</v>
      </c>
    </row>
    <row r="52" spans="4:12" x14ac:dyDescent="0.25">
      <c r="K52" s="323"/>
    </row>
  </sheetData>
  <mergeCells count="6">
    <mergeCell ref="D41:K42"/>
    <mergeCell ref="D2:K2"/>
    <mergeCell ref="D3:K3"/>
    <mergeCell ref="D7:K8"/>
    <mergeCell ref="D17:K18"/>
    <mergeCell ref="D30:K31"/>
  </mergeCells>
  <pageMargins left="0.25" right="0.25" top="0.75" bottom="0.75" header="0.3" footer="0.3"/>
  <pageSetup scale="56" fitToHeight="0" orientation="landscape" verticalDpi="599"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N110"/>
  <sheetViews>
    <sheetView showGridLines="0" topLeftCell="A42" zoomScale="90" zoomScaleNormal="90" workbookViewId="0">
      <selection activeCell="F80" sqref="F80"/>
    </sheetView>
  </sheetViews>
  <sheetFormatPr defaultColWidth="11.44140625" defaultRowHeight="13.2" x14ac:dyDescent="0.25"/>
  <cols>
    <col min="1" max="1" width="2.5546875" style="173" customWidth="1"/>
    <col min="2" max="2" width="2.109375" style="173" customWidth="1"/>
    <col min="3" max="3" width="2.6640625" style="173" customWidth="1"/>
    <col min="4" max="4" width="7.88671875" style="214" customWidth="1"/>
    <col min="5" max="5" width="85.5546875" style="173" bestFit="1" customWidth="1"/>
    <col min="6" max="6" width="19.6640625" style="173" customWidth="1"/>
    <col min="7" max="13" width="9.88671875" style="173" customWidth="1"/>
    <col min="14" max="14" width="12.33203125" style="173" bestFit="1" customWidth="1"/>
    <col min="15" max="16" width="9.88671875" style="173" customWidth="1"/>
    <col min="17" max="18" width="161.109375" style="173" bestFit="1" customWidth="1"/>
    <col min="19" max="16384" width="11.44140625" style="173"/>
  </cols>
  <sheetData>
    <row r="1" spans="1:40" ht="13.8" thickBot="1" x14ac:dyDescent="0.3"/>
    <row r="2" spans="1:40" s="2" customFormat="1" ht="13.8" x14ac:dyDescent="0.25">
      <c r="D2" s="215"/>
      <c r="E2" s="1238" t="s">
        <v>0</v>
      </c>
      <c r="F2" s="1239"/>
      <c r="G2" s="1239"/>
      <c r="H2" s="1239"/>
      <c r="I2" s="1240"/>
      <c r="J2" s="3"/>
      <c r="K2" s="3"/>
      <c r="L2" s="3"/>
      <c r="M2" s="3"/>
      <c r="N2" s="3"/>
      <c r="O2" s="3"/>
      <c r="P2" s="3"/>
      <c r="Q2" s="3"/>
      <c r="R2" s="3"/>
      <c r="S2" s="3"/>
      <c r="T2" s="4"/>
    </row>
    <row r="3" spans="1:40" s="2" customFormat="1" ht="65.25" customHeight="1" thickBot="1" x14ac:dyDescent="0.3">
      <c r="D3" s="215"/>
      <c r="E3" s="1265" t="s">
        <v>1</v>
      </c>
      <c r="F3" s="1266"/>
      <c r="G3" s="1266"/>
      <c r="H3" s="1266"/>
      <c r="I3" s="1267"/>
      <c r="J3" s="5"/>
      <c r="K3" s="5"/>
      <c r="L3" s="5"/>
      <c r="M3" s="5"/>
      <c r="N3" s="5"/>
      <c r="O3" s="5"/>
      <c r="P3" s="5"/>
      <c r="Q3" s="5"/>
      <c r="R3" s="5"/>
      <c r="S3" s="5"/>
      <c r="T3" s="6"/>
      <c r="U3" s="7"/>
      <c r="V3" s="7"/>
      <c r="W3" s="7"/>
      <c r="Z3" s="7"/>
      <c r="AA3" s="7"/>
      <c r="AB3" s="7"/>
      <c r="AC3" s="7"/>
      <c r="AD3" s="7"/>
      <c r="AE3" s="7"/>
      <c r="AF3" s="7"/>
      <c r="AG3" s="7"/>
      <c r="AH3" s="7"/>
      <c r="AI3" s="7"/>
      <c r="AJ3" s="7"/>
      <c r="AK3" s="7"/>
      <c r="AL3" s="7"/>
      <c r="AM3" s="7"/>
      <c r="AN3" s="7"/>
    </row>
    <row r="4" spans="1:40" ht="13.8" thickBot="1" x14ac:dyDescent="0.3"/>
    <row r="5" spans="1:40" ht="28.2" thickBot="1" x14ac:dyDescent="0.3">
      <c r="E5" s="193" t="s">
        <v>2</v>
      </c>
      <c r="F5" s="164" t="s">
        <v>3</v>
      </c>
      <c r="G5" s="164" t="s">
        <v>4</v>
      </c>
      <c r="H5" s="52" t="s">
        <v>5</v>
      </c>
      <c r="I5" s="122" t="s">
        <v>6</v>
      </c>
      <c r="J5" s="122" t="s">
        <v>203</v>
      </c>
    </row>
    <row r="6" spans="1:40" ht="13.8" x14ac:dyDescent="0.25">
      <c r="A6" s="89"/>
      <c r="B6" s="174"/>
      <c r="C6" s="103"/>
      <c r="D6" s="214" t="s">
        <v>75</v>
      </c>
      <c r="E6" s="64" t="s">
        <v>76</v>
      </c>
      <c r="F6" s="255" t="s">
        <v>77</v>
      </c>
      <c r="G6" s="258">
        <v>64.7</v>
      </c>
      <c r="H6" s="285">
        <v>2010</v>
      </c>
      <c r="I6" s="288">
        <v>71.7</v>
      </c>
      <c r="J6" s="282" t="s">
        <v>78</v>
      </c>
    </row>
    <row r="7" spans="1:40" ht="13.8" x14ac:dyDescent="0.25">
      <c r="A7" s="95"/>
      <c r="B7" s="87"/>
      <c r="C7" s="103"/>
      <c r="D7" s="214" t="s">
        <v>79</v>
      </c>
      <c r="E7" s="326" t="s">
        <v>80</v>
      </c>
      <c r="F7" s="256" t="s">
        <v>81</v>
      </c>
      <c r="G7" s="259">
        <v>0</v>
      </c>
      <c r="H7" s="286">
        <v>2014</v>
      </c>
      <c r="I7" s="289">
        <v>34</v>
      </c>
      <c r="J7" s="283" t="s">
        <v>82</v>
      </c>
    </row>
    <row r="8" spans="1:40" ht="13.8" x14ac:dyDescent="0.25">
      <c r="A8" s="95"/>
      <c r="B8" s="87"/>
      <c r="C8" s="103"/>
      <c r="D8" s="214" t="s">
        <v>83</v>
      </c>
      <c r="E8" s="72" t="s">
        <v>84</v>
      </c>
      <c r="F8" s="256" t="s">
        <v>81</v>
      </c>
      <c r="G8" s="259">
        <v>0</v>
      </c>
      <c r="H8" s="286">
        <v>2014</v>
      </c>
      <c r="I8" s="289">
        <v>34</v>
      </c>
      <c r="J8" s="283" t="s">
        <v>85</v>
      </c>
    </row>
    <row r="9" spans="1:40" ht="27.6" x14ac:dyDescent="0.25">
      <c r="A9" s="168"/>
      <c r="B9" s="169"/>
      <c r="C9" s="93"/>
      <c r="D9" s="214" t="s">
        <v>86</v>
      </c>
      <c r="E9" s="72" t="s">
        <v>87</v>
      </c>
      <c r="F9" s="256" t="s">
        <v>88</v>
      </c>
      <c r="G9" s="261">
        <v>2.2000000000000002</v>
      </c>
      <c r="H9" s="286">
        <v>2010</v>
      </c>
      <c r="I9" s="290">
        <v>7</v>
      </c>
      <c r="J9" s="283" t="s">
        <v>89</v>
      </c>
    </row>
    <row r="10" spans="1:40" ht="84" customHeight="1" x14ac:dyDescent="0.25">
      <c r="A10" s="100"/>
      <c r="B10" s="174"/>
      <c r="C10" s="89"/>
      <c r="D10" s="214" t="s">
        <v>90</v>
      </c>
      <c r="E10" s="72" t="s">
        <v>91</v>
      </c>
      <c r="F10" s="256" t="s">
        <v>260</v>
      </c>
      <c r="G10" s="259">
        <v>0</v>
      </c>
      <c r="H10" s="286">
        <v>2015</v>
      </c>
      <c r="I10" s="289">
        <v>85</v>
      </c>
      <c r="J10" s="283" t="s">
        <v>93</v>
      </c>
    </row>
    <row r="11" spans="1:40" ht="42" thickBot="1" x14ac:dyDescent="0.3">
      <c r="C11" s="174"/>
      <c r="D11" s="214" t="s">
        <v>94</v>
      </c>
      <c r="E11" s="254" t="s">
        <v>95</v>
      </c>
      <c r="F11" s="257" t="s">
        <v>96</v>
      </c>
      <c r="G11" s="260">
        <v>14</v>
      </c>
      <c r="H11" s="287">
        <v>2015</v>
      </c>
      <c r="I11" s="291">
        <v>19</v>
      </c>
      <c r="J11" s="284" t="s">
        <v>97</v>
      </c>
    </row>
    <row r="12" spans="1:40" ht="13.8" x14ac:dyDescent="0.25">
      <c r="E12" s="13"/>
      <c r="F12" s="13"/>
      <c r="G12" s="13"/>
      <c r="H12" s="13"/>
      <c r="I12" s="13"/>
    </row>
    <row r="13" spans="1:40" ht="14.4" thickBot="1" x14ac:dyDescent="0.3">
      <c r="E13" s="13"/>
      <c r="F13" s="13"/>
      <c r="G13" s="13"/>
      <c r="H13" s="13"/>
      <c r="I13" s="13"/>
    </row>
    <row r="14" spans="1:40" ht="15" customHeight="1" x14ac:dyDescent="0.25">
      <c r="E14" s="1231" t="s">
        <v>98</v>
      </c>
      <c r="F14" s="1232"/>
      <c r="G14" s="1232"/>
      <c r="H14" s="1232"/>
      <c r="I14" s="1232"/>
      <c r="J14" s="1232"/>
      <c r="K14" s="1232"/>
      <c r="L14" s="1232"/>
      <c r="M14" s="1232"/>
      <c r="N14" s="1232"/>
      <c r="O14" s="1233"/>
    </row>
    <row r="15" spans="1:40" ht="15" customHeight="1" thickBot="1" x14ac:dyDescent="0.3">
      <c r="E15" s="1234"/>
      <c r="F15" s="1235"/>
      <c r="G15" s="1235"/>
      <c r="H15" s="1235"/>
      <c r="I15" s="1235"/>
      <c r="J15" s="1235"/>
      <c r="K15" s="1235"/>
      <c r="L15" s="1235"/>
      <c r="M15" s="1235"/>
      <c r="N15" s="1235"/>
      <c r="O15" s="1236"/>
    </row>
    <row r="16" spans="1:40" ht="42" thickBot="1" x14ac:dyDescent="0.3">
      <c r="E16" s="55" t="s">
        <v>22</v>
      </c>
      <c r="F16" s="122" t="s">
        <v>3</v>
      </c>
      <c r="G16" s="200" t="s">
        <v>4</v>
      </c>
      <c r="H16" s="201" t="s">
        <v>7</v>
      </c>
      <c r="I16" s="292" t="s">
        <v>8</v>
      </c>
      <c r="J16" s="194" t="s">
        <v>9</v>
      </c>
      <c r="K16" s="194" t="s">
        <v>10</v>
      </c>
      <c r="L16" s="194" t="s">
        <v>11</v>
      </c>
      <c r="M16" s="50" t="s">
        <v>12</v>
      </c>
      <c r="N16" s="122" t="s">
        <v>6</v>
      </c>
      <c r="O16" s="122" t="s">
        <v>203</v>
      </c>
      <c r="P16" s="14"/>
      <c r="Q16" s="14"/>
      <c r="R16" s="14"/>
      <c r="S16" s="14"/>
      <c r="T16" s="14"/>
      <c r="U16" s="14"/>
    </row>
    <row r="17" spans="1:21" ht="13.8" x14ac:dyDescent="0.25">
      <c r="A17" s="89"/>
      <c r="B17" s="89"/>
      <c r="C17" s="89"/>
      <c r="D17" s="214">
        <v>2.1</v>
      </c>
      <c r="E17" s="253" t="s">
        <v>14</v>
      </c>
      <c r="F17" s="230" t="s">
        <v>92</v>
      </c>
      <c r="G17" s="242">
        <v>0</v>
      </c>
      <c r="H17" s="228">
        <v>2015</v>
      </c>
      <c r="I17" s="249">
        <v>40</v>
      </c>
      <c r="J17" s="220">
        <v>80</v>
      </c>
      <c r="K17" s="220">
        <v>60</v>
      </c>
      <c r="L17" s="220">
        <v>60</v>
      </c>
      <c r="M17" s="276">
        <v>60</v>
      </c>
      <c r="N17" s="310">
        <f>SUM(I17:M17)</f>
        <v>300</v>
      </c>
      <c r="O17" s="280" t="s">
        <v>207</v>
      </c>
    </row>
    <row r="18" spans="1:21" ht="13.8" x14ac:dyDescent="0.25">
      <c r="A18" s="90"/>
      <c r="B18" s="90"/>
      <c r="C18" s="90"/>
      <c r="D18" s="214">
        <v>2.2000000000000002</v>
      </c>
      <c r="E18" s="253" t="s">
        <v>23</v>
      </c>
      <c r="F18" s="230" t="s">
        <v>92</v>
      </c>
      <c r="G18" s="242">
        <v>0</v>
      </c>
      <c r="H18" s="228">
        <v>2015</v>
      </c>
      <c r="I18" s="249">
        <v>34</v>
      </c>
      <c r="J18" s="220">
        <v>10</v>
      </c>
      <c r="K18" s="220">
        <v>12</v>
      </c>
      <c r="L18" s="220">
        <v>10</v>
      </c>
      <c r="M18" s="276">
        <v>15</v>
      </c>
      <c r="N18" s="310">
        <f>G18+I18+J18+K18+L18+M18</f>
        <v>81</v>
      </c>
      <c r="O18" s="280" t="s">
        <v>208</v>
      </c>
    </row>
    <row r="19" spans="1:21" ht="14.4" thickBot="1" x14ac:dyDescent="0.3">
      <c r="A19" s="174"/>
      <c r="B19" s="174"/>
      <c r="C19" s="174"/>
      <c r="D19" s="214">
        <v>2.2999999999999998</v>
      </c>
      <c r="E19" s="329" t="s">
        <v>240</v>
      </c>
      <c r="F19" s="232" t="s">
        <v>92</v>
      </c>
      <c r="G19" s="243">
        <v>0</v>
      </c>
      <c r="H19" s="229">
        <v>2015</v>
      </c>
      <c r="I19" s="250">
        <v>0</v>
      </c>
      <c r="J19" s="221">
        <v>1</v>
      </c>
      <c r="K19" s="221">
        <v>1</v>
      </c>
      <c r="L19" s="221">
        <v>1</v>
      </c>
      <c r="M19" s="277">
        <v>1</v>
      </c>
      <c r="N19" s="311">
        <f>G19+I19+J19+K19+L19+M19</f>
        <v>4</v>
      </c>
      <c r="O19" s="281" t="s">
        <v>209</v>
      </c>
      <c r="P19" s="172"/>
      <c r="Q19" s="172"/>
      <c r="R19" s="172"/>
      <c r="S19" s="172"/>
      <c r="T19" s="172"/>
      <c r="U19" s="172"/>
    </row>
    <row r="20" spans="1:21" ht="14.4" thickBot="1" x14ac:dyDescent="0.3">
      <c r="A20" s="13"/>
      <c r="B20" s="13"/>
      <c r="C20" s="13"/>
      <c r="E20" s="218"/>
      <c r="F20" s="139"/>
      <c r="G20" s="216"/>
      <c r="H20" s="216"/>
      <c r="I20" s="216"/>
      <c r="J20" s="216"/>
      <c r="K20" s="216"/>
      <c r="L20" s="216"/>
      <c r="M20" s="216"/>
      <c r="N20" s="217"/>
      <c r="O20" s="139"/>
      <c r="P20" s="219"/>
      <c r="Q20" s="219"/>
      <c r="R20" s="219"/>
      <c r="S20" s="219"/>
      <c r="T20" s="219"/>
      <c r="U20" s="219"/>
    </row>
    <row r="21" spans="1:21" ht="28.2" thickBot="1" x14ac:dyDescent="0.3">
      <c r="E21" s="244" t="s">
        <v>15</v>
      </c>
      <c r="F21" s="122" t="s">
        <v>3</v>
      </c>
      <c r="G21" s="292" t="s">
        <v>8</v>
      </c>
      <c r="H21" s="194" t="s">
        <v>9</v>
      </c>
      <c r="I21" s="194" t="s">
        <v>10</v>
      </c>
      <c r="J21" s="194" t="s">
        <v>11</v>
      </c>
      <c r="K21" s="293" t="s">
        <v>12</v>
      </c>
      <c r="L21" s="122" t="s">
        <v>6</v>
      </c>
      <c r="M21" s="122" t="s">
        <v>203</v>
      </c>
      <c r="N21" s="295" t="s">
        <v>206</v>
      </c>
    </row>
    <row r="22" spans="1:21" ht="13.8" x14ac:dyDescent="0.25">
      <c r="A22" s="89"/>
      <c r="B22" s="89"/>
      <c r="C22" s="87"/>
      <c r="D22" s="214" t="s">
        <v>99</v>
      </c>
      <c r="E22" s="245" t="s">
        <v>56</v>
      </c>
      <c r="F22" s="251" t="s">
        <v>205</v>
      </c>
      <c r="G22" s="248">
        <v>0</v>
      </c>
      <c r="H22" s="235">
        <v>1</v>
      </c>
      <c r="I22" s="235">
        <v>1</v>
      </c>
      <c r="J22" s="235">
        <v>1</v>
      </c>
      <c r="K22" s="275">
        <v>0</v>
      </c>
      <c r="L22" s="308">
        <f>SUM(G22:K22)</f>
        <v>3</v>
      </c>
      <c r="M22" s="278" t="s">
        <v>100</v>
      </c>
      <c r="N22" s="320" t="s">
        <v>100</v>
      </c>
    </row>
    <row r="23" spans="1:21" ht="13.8" x14ac:dyDescent="0.25">
      <c r="A23" s="87"/>
      <c r="B23" s="87"/>
      <c r="C23" s="87"/>
      <c r="D23" s="214" t="s">
        <v>101</v>
      </c>
      <c r="E23" s="246" t="s">
        <v>21</v>
      </c>
      <c r="F23" s="252" t="s">
        <v>21</v>
      </c>
      <c r="G23" s="369">
        <v>0</v>
      </c>
      <c r="H23" s="370">
        <v>0</v>
      </c>
      <c r="I23" s="370">
        <v>2</v>
      </c>
      <c r="J23" s="370">
        <v>2</v>
      </c>
      <c r="K23" s="371">
        <v>1</v>
      </c>
      <c r="L23" s="309">
        <f>SUM(G23:K23)</f>
        <v>5</v>
      </c>
      <c r="M23" s="279" t="s">
        <v>102</v>
      </c>
      <c r="N23" s="319" t="s">
        <v>102</v>
      </c>
    </row>
    <row r="24" spans="1:21" ht="13.8" x14ac:dyDescent="0.25">
      <c r="A24" s="89"/>
      <c r="B24" s="89"/>
      <c r="C24" s="87"/>
      <c r="D24" s="214" t="s">
        <v>103</v>
      </c>
      <c r="E24" s="247" t="s">
        <v>63</v>
      </c>
      <c r="F24" s="231" t="s">
        <v>179</v>
      </c>
      <c r="G24" s="249">
        <v>0</v>
      </c>
      <c r="H24" s="220">
        <v>1</v>
      </c>
      <c r="I24" s="220">
        <v>0</v>
      </c>
      <c r="J24" s="220">
        <v>0</v>
      </c>
      <c r="K24" s="276">
        <v>0</v>
      </c>
      <c r="L24" s="309">
        <f>SUM(G24:K24)</f>
        <v>1</v>
      </c>
      <c r="M24" s="280" t="s">
        <v>105</v>
      </c>
      <c r="N24" s="319" t="s">
        <v>105</v>
      </c>
    </row>
    <row r="25" spans="1:21" ht="13.8" x14ac:dyDescent="0.25">
      <c r="A25" s="89"/>
      <c r="B25" s="89"/>
      <c r="C25" s="89"/>
      <c r="D25" s="214" t="s">
        <v>106</v>
      </c>
      <c r="E25" s="247" t="s">
        <v>257</v>
      </c>
      <c r="F25" s="231" t="s">
        <v>258</v>
      </c>
      <c r="G25" s="249">
        <v>0</v>
      </c>
      <c r="H25" s="220">
        <v>0</v>
      </c>
      <c r="I25" s="220">
        <v>1</v>
      </c>
      <c r="J25" s="220">
        <v>0</v>
      </c>
      <c r="K25" s="276">
        <v>0</v>
      </c>
      <c r="L25" s="309">
        <f>SUM(G25:K25)</f>
        <v>1</v>
      </c>
      <c r="M25" s="280" t="s">
        <v>107</v>
      </c>
      <c r="N25" s="319" t="s">
        <v>107</v>
      </c>
    </row>
    <row r="26" spans="1:21" ht="14.4" thickBot="1" x14ac:dyDescent="0.3">
      <c r="A26" s="89"/>
      <c r="B26" s="89"/>
      <c r="C26" s="90"/>
      <c r="D26" s="214" t="s">
        <v>108</v>
      </c>
      <c r="E26" s="330" t="s">
        <v>239</v>
      </c>
      <c r="F26" s="232" t="s">
        <v>237</v>
      </c>
      <c r="G26" s="250">
        <v>4</v>
      </c>
      <c r="H26" s="221">
        <v>5</v>
      </c>
      <c r="I26" s="221">
        <v>6</v>
      </c>
      <c r="J26" s="221">
        <v>6</v>
      </c>
      <c r="K26" s="277">
        <v>6</v>
      </c>
      <c r="L26" s="311">
        <f>SUM(G26:K26)</f>
        <v>27</v>
      </c>
      <c r="M26" s="281" t="s">
        <v>109</v>
      </c>
      <c r="N26" s="318" t="s">
        <v>109</v>
      </c>
    </row>
    <row r="27" spans="1:21" ht="15" thickBot="1" x14ac:dyDescent="0.3">
      <c r="E27" s="34"/>
    </row>
    <row r="28" spans="1:21" ht="15" customHeight="1" x14ac:dyDescent="0.25">
      <c r="E28" s="1247" t="s">
        <v>110</v>
      </c>
      <c r="F28" s="1248"/>
      <c r="G28" s="1248"/>
      <c r="H28" s="1248"/>
      <c r="I28" s="1248"/>
      <c r="J28" s="1248"/>
      <c r="K28" s="1248"/>
      <c r="L28" s="1248"/>
      <c r="M28" s="1248"/>
      <c r="N28" s="1248"/>
      <c r="O28" s="1249"/>
    </row>
    <row r="29" spans="1:21" ht="15.75" customHeight="1" thickBot="1" x14ac:dyDescent="0.3">
      <c r="E29" s="1268"/>
      <c r="F29" s="1269"/>
      <c r="G29" s="1269"/>
      <c r="H29" s="1269"/>
      <c r="I29" s="1269"/>
      <c r="J29" s="1269"/>
      <c r="K29" s="1269"/>
      <c r="L29" s="1269"/>
      <c r="M29" s="1269"/>
      <c r="N29" s="1269"/>
      <c r="O29" s="1270"/>
    </row>
    <row r="30" spans="1:21" ht="28.2" thickBot="1" x14ac:dyDescent="0.3">
      <c r="E30" s="55" t="s">
        <v>22</v>
      </c>
      <c r="F30" s="165" t="s">
        <v>3</v>
      </c>
      <c r="G30" s="166" t="s">
        <v>4</v>
      </c>
      <c r="H30" s="54" t="s">
        <v>7</v>
      </c>
      <c r="I30" s="48" t="s">
        <v>8</v>
      </c>
      <c r="J30" s="164" t="s">
        <v>9</v>
      </c>
      <c r="K30" s="164" t="s">
        <v>10</v>
      </c>
      <c r="L30" s="164" t="s">
        <v>11</v>
      </c>
      <c r="M30" s="50" t="s">
        <v>12</v>
      </c>
      <c r="N30" s="165" t="s">
        <v>6</v>
      </c>
      <c r="O30" s="122" t="s">
        <v>203</v>
      </c>
      <c r="P30" s="14"/>
      <c r="Q30" s="14"/>
      <c r="R30" s="14"/>
    </row>
    <row r="31" spans="1:21" ht="13.8" x14ac:dyDescent="0.25">
      <c r="A31" s="91"/>
      <c r="B31" s="91"/>
      <c r="C31" s="91"/>
      <c r="D31" s="214" t="s">
        <v>111</v>
      </c>
      <c r="E31" s="64" t="s">
        <v>112</v>
      </c>
      <c r="F31" s="223" t="s">
        <v>113</v>
      </c>
      <c r="G31" s="240">
        <v>0</v>
      </c>
      <c r="H31" s="241">
        <v>2015</v>
      </c>
      <c r="I31" s="239">
        <f>241970+173900</f>
        <v>415870</v>
      </c>
      <c r="J31" s="238">
        <v>249394</v>
      </c>
      <c r="K31" s="238">
        <v>22900</v>
      </c>
      <c r="L31" s="238">
        <v>3052</v>
      </c>
      <c r="M31" s="307">
        <v>150000</v>
      </c>
      <c r="N31" s="305">
        <f>SUM(I31:M31)</f>
        <v>841216</v>
      </c>
      <c r="O31" s="272" t="s">
        <v>210</v>
      </c>
    </row>
    <row r="32" spans="1:21" ht="26.4" x14ac:dyDescent="0.25">
      <c r="A32" s="92"/>
      <c r="B32" s="92"/>
      <c r="C32" s="91"/>
      <c r="D32" s="214" t="s">
        <v>114</v>
      </c>
      <c r="E32" s="72" t="s">
        <v>115</v>
      </c>
      <c r="F32" s="224" t="s">
        <v>116</v>
      </c>
      <c r="G32" s="242">
        <v>0</v>
      </c>
      <c r="H32" s="228">
        <v>2015</v>
      </c>
      <c r="I32" s="345">
        <f>+I31*0.7/1000</f>
        <v>291.10899999999998</v>
      </c>
      <c r="J32" s="343">
        <f>+J31*0.7/1000</f>
        <v>174.57579999999999</v>
      </c>
      <c r="K32" s="343">
        <f>+K31*0.7/1000</f>
        <v>16.029999999999998</v>
      </c>
      <c r="L32" s="343">
        <f>+L31*0.7/1000</f>
        <v>2.1364000000000001</v>
      </c>
      <c r="M32" s="347">
        <f>+M31*0.7/1000</f>
        <v>105</v>
      </c>
      <c r="N32" s="348">
        <f>SUM(I32:M32)</f>
        <v>588.85119999999995</v>
      </c>
      <c r="O32" s="273" t="s">
        <v>211</v>
      </c>
    </row>
    <row r="33" spans="1:15" ht="27.6" x14ac:dyDescent="0.25">
      <c r="A33" s="92"/>
      <c r="B33" s="92"/>
      <c r="C33" s="92"/>
      <c r="D33" s="214" t="s">
        <v>117</v>
      </c>
      <c r="E33" s="113" t="s">
        <v>256</v>
      </c>
      <c r="F33" s="224" t="s">
        <v>113</v>
      </c>
      <c r="G33" s="242">
        <v>0</v>
      </c>
      <c r="H33" s="228">
        <v>2015</v>
      </c>
      <c r="I33" s="345">
        <f>28252+61929+288140+241970</f>
        <v>620291</v>
      </c>
      <c r="J33" s="343">
        <v>167819</v>
      </c>
      <c r="K33" s="343">
        <f>22866+16946+133546</f>
        <v>173358</v>
      </c>
      <c r="L33" s="343">
        <f>26579+3052</f>
        <v>29631</v>
      </c>
      <c r="M33" s="347">
        <f>150000</f>
        <v>150000</v>
      </c>
      <c r="N33" s="348">
        <f>SUM(I33:M33)</f>
        <v>1141099</v>
      </c>
      <c r="O33" s="273" t="s">
        <v>212</v>
      </c>
    </row>
    <row r="34" spans="1:15" ht="26.4" x14ac:dyDescent="0.25">
      <c r="A34" s="93"/>
      <c r="B34" s="93"/>
      <c r="C34" s="100"/>
      <c r="D34" s="214" t="s">
        <v>119</v>
      </c>
      <c r="E34" s="72" t="s">
        <v>176</v>
      </c>
      <c r="F34" s="224" t="s">
        <v>120</v>
      </c>
      <c r="G34" s="242">
        <v>2.2000000000000002</v>
      </c>
      <c r="H34" s="228">
        <v>2010</v>
      </c>
      <c r="I34" s="346">
        <v>1.6</v>
      </c>
      <c r="J34" s="342">
        <v>1</v>
      </c>
      <c r="K34" s="342">
        <v>0.5</v>
      </c>
      <c r="L34" s="342">
        <v>0.2</v>
      </c>
      <c r="M34" s="344">
        <v>1.5</v>
      </c>
      <c r="N34" s="348">
        <f>SUM(I34:M34)+G34</f>
        <v>7.0000000000000009</v>
      </c>
      <c r="O34" s="273" t="s">
        <v>121</v>
      </c>
    </row>
    <row r="35" spans="1:15" ht="13.8" x14ac:dyDescent="0.25">
      <c r="A35" s="93"/>
      <c r="B35" s="93"/>
      <c r="C35" s="93"/>
      <c r="D35" s="214" t="s">
        <v>122</v>
      </c>
      <c r="E35" s="72" t="s">
        <v>243</v>
      </c>
      <c r="F35" s="224" t="s">
        <v>92</v>
      </c>
      <c r="G35" s="242">
        <v>0</v>
      </c>
      <c r="H35" s="228">
        <v>2014</v>
      </c>
      <c r="I35" s="346">
        <f>1+1+1+1</f>
        <v>4</v>
      </c>
      <c r="J35" s="342">
        <f>1+1+3+1+1</f>
        <v>7</v>
      </c>
      <c r="K35" s="342">
        <f>1+1+1+1</f>
        <v>4</v>
      </c>
      <c r="L35" s="342">
        <f>1+3</f>
        <v>4</v>
      </c>
      <c r="M35" s="344">
        <v>5</v>
      </c>
      <c r="N35" s="348">
        <f t="shared" ref="N35:N41" si="0">SUM(I35:M35)</f>
        <v>24</v>
      </c>
      <c r="O35" s="273" t="s">
        <v>123</v>
      </c>
    </row>
    <row r="36" spans="1:15" ht="13.8" x14ac:dyDescent="0.25">
      <c r="A36" s="99"/>
      <c r="B36" s="99"/>
      <c r="C36" s="99"/>
      <c r="D36" s="214" t="s">
        <v>124</v>
      </c>
      <c r="E36" s="72" t="s">
        <v>34</v>
      </c>
      <c r="F36" s="224" t="s">
        <v>92</v>
      </c>
      <c r="G36" s="242">
        <v>0</v>
      </c>
      <c r="H36" s="228">
        <v>2015</v>
      </c>
      <c r="I36" s="346">
        <v>0</v>
      </c>
      <c r="J36" s="342">
        <v>3</v>
      </c>
      <c r="K36" s="342">
        <v>1</v>
      </c>
      <c r="L36" s="342">
        <v>0</v>
      </c>
      <c r="M36" s="344">
        <v>5</v>
      </c>
      <c r="N36" s="348">
        <f t="shared" si="0"/>
        <v>9</v>
      </c>
      <c r="O36" s="273" t="s">
        <v>213</v>
      </c>
    </row>
    <row r="37" spans="1:15" ht="13.8" x14ac:dyDescent="0.25">
      <c r="A37" s="103"/>
      <c r="B37" s="103"/>
      <c r="C37" s="103"/>
      <c r="D37" s="214" t="s">
        <v>125</v>
      </c>
      <c r="E37" s="72" t="s">
        <v>177</v>
      </c>
      <c r="F37" s="224" t="s">
        <v>92</v>
      </c>
      <c r="G37" s="242">
        <v>0</v>
      </c>
      <c r="H37" s="228">
        <v>2015</v>
      </c>
      <c r="I37" s="346">
        <f>7+1+7+10</f>
        <v>25</v>
      </c>
      <c r="J37" s="342">
        <f>5+8+1</f>
        <v>14</v>
      </c>
      <c r="K37" s="342">
        <f>2+2+5+3</f>
        <v>12</v>
      </c>
      <c r="L37" s="342">
        <f>3+1</f>
        <v>4</v>
      </c>
      <c r="M37" s="344">
        <f>15</f>
        <v>15</v>
      </c>
      <c r="N37" s="348">
        <f t="shared" si="0"/>
        <v>70</v>
      </c>
      <c r="O37" s="273" t="s">
        <v>126</v>
      </c>
    </row>
    <row r="38" spans="1:15" ht="13.8" x14ac:dyDescent="0.25">
      <c r="A38" s="103"/>
      <c r="B38" s="103"/>
      <c r="C38" s="103"/>
      <c r="D38" s="214" t="s">
        <v>127</v>
      </c>
      <c r="E38" s="72" t="s">
        <v>178</v>
      </c>
      <c r="F38" s="224" t="s">
        <v>113</v>
      </c>
      <c r="G38" s="242">
        <v>0</v>
      </c>
      <c r="H38" s="228">
        <v>2015</v>
      </c>
      <c r="I38" s="345">
        <f>+I31+426039</f>
        <v>841909</v>
      </c>
      <c r="J38" s="343">
        <f>167819+249394+401444</f>
        <v>818657</v>
      </c>
      <c r="K38" s="343">
        <f>59314+22900+16900+133000</f>
        <v>232114</v>
      </c>
      <c r="L38" s="343">
        <f>26500+3052+123000</f>
        <v>152552</v>
      </c>
      <c r="M38" s="347">
        <f>150000</f>
        <v>150000</v>
      </c>
      <c r="N38" s="348">
        <f t="shared" si="0"/>
        <v>2195232</v>
      </c>
      <c r="O38" s="273" t="s">
        <v>214</v>
      </c>
    </row>
    <row r="39" spans="1:15" ht="13.8" x14ac:dyDescent="0.25">
      <c r="A39" s="95"/>
      <c r="B39" s="95"/>
      <c r="C39" s="95"/>
      <c r="D39" s="214" t="s">
        <v>128</v>
      </c>
      <c r="E39" s="326" t="s">
        <v>37</v>
      </c>
      <c r="F39" s="224" t="s">
        <v>92</v>
      </c>
      <c r="G39" s="242">
        <v>0</v>
      </c>
      <c r="H39" s="228">
        <v>2015</v>
      </c>
      <c r="I39" s="346">
        <f>2+1+2</f>
        <v>5</v>
      </c>
      <c r="J39" s="342">
        <f>5</f>
        <v>5</v>
      </c>
      <c r="K39" s="342">
        <f>2+1+4+3</f>
        <v>10</v>
      </c>
      <c r="L39" s="342">
        <f>4+1</f>
        <v>5</v>
      </c>
      <c r="M39" s="344">
        <f>10</f>
        <v>10</v>
      </c>
      <c r="N39" s="348">
        <f t="shared" si="0"/>
        <v>35</v>
      </c>
      <c r="O39" s="273" t="s">
        <v>129</v>
      </c>
    </row>
    <row r="40" spans="1:15" ht="13.8" x14ac:dyDescent="0.25">
      <c r="A40" s="95"/>
      <c r="B40" s="95"/>
      <c r="C40" s="95"/>
      <c r="D40" s="214" t="s">
        <v>130</v>
      </c>
      <c r="E40" s="326" t="s">
        <v>245</v>
      </c>
      <c r="F40" s="224" t="s">
        <v>113</v>
      </c>
      <c r="G40" s="242">
        <v>0</v>
      </c>
      <c r="H40" s="228">
        <v>2015</v>
      </c>
      <c r="I40" s="345">
        <f>I31+426039</f>
        <v>841909</v>
      </c>
      <c r="J40" s="343">
        <f>167819+249394+401444</f>
        <v>818657</v>
      </c>
      <c r="K40" s="343">
        <f>59314+22900+16900+133000</f>
        <v>232114</v>
      </c>
      <c r="L40" s="343">
        <f>26500+3052+123000</f>
        <v>152552</v>
      </c>
      <c r="M40" s="347">
        <v>150000</v>
      </c>
      <c r="N40" s="348">
        <f t="shared" si="0"/>
        <v>2195232</v>
      </c>
      <c r="O40" s="273" t="s">
        <v>215</v>
      </c>
    </row>
    <row r="41" spans="1:15" ht="14.4" thickBot="1" x14ac:dyDescent="0.3">
      <c r="A41" s="100"/>
      <c r="B41" s="100"/>
      <c r="C41" s="100"/>
      <c r="D41" s="214" t="s">
        <v>131</v>
      </c>
      <c r="E41" s="254" t="s">
        <v>65</v>
      </c>
      <c r="F41" s="225" t="s">
        <v>179</v>
      </c>
      <c r="G41" s="243">
        <v>0</v>
      </c>
      <c r="H41" s="229">
        <v>2015</v>
      </c>
      <c r="I41" s="345">
        <v>2</v>
      </c>
      <c r="J41" s="343">
        <v>0</v>
      </c>
      <c r="K41" s="343">
        <v>1</v>
      </c>
      <c r="L41" s="343">
        <v>1</v>
      </c>
      <c r="M41" s="347">
        <v>15</v>
      </c>
      <c r="N41" s="348">
        <f t="shared" si="0"/>
        <v>19</v>
      </c>
      <c r="O41" s="274" t="s">
        <v>216</v>
      </c>
    </row>
    <row r="42" spans="1:15" ht="14.4" thickBot="1" x14ac:dyDescent="0.3">
      <c r="E42" s="13"/>
    </row>
    <row r="43" spans="1:15" ht="28.2" thickBot="1" x14ac:dyDescent="0.3">
      <c r="E43" s="262" t="s">
        <v>15</v>
      </c>
      <c r="F43" s="294" t="s">
        <v>3</v>
      </c>
      <c r="G43" s="292" t="s">
        <v>8</v>
      </c>
      <c r="H43" s="194" t="s">
        <v>9</v>
      </c>
      <c r="I43" s="194" t="s">
        <v>10</v>
      </c>
      <c r="J43" s="194" t="s">
        <v>11</v>
      </c>
      <c r="K43" s="293" t="s">
        <v>12</v>
      </c>
      <c r="L43" s="122" t="s">
        <v>6</v>
      </c>
      <c r="M43" s="122" t="s">
        <v>203</v>
      </c>
      <c r="N43" s="295" t="s">
        <v>206</v>
      </c>
    </row>
    <row r="44" spans="1:15" ht="13.8" x14ac:dyDescent="0.25">
      <c r="A44" s="91"/>
      <c r="B44" s="91"/>
      <c r="C44" s="91"/>
      <c r="D44" s="214" t="s">
        <v>132</v>
      </c>
      <c r="E44" s="327" t="s">
        <v>133</v>
      </c>
      <c r="F44" s="223" t="s">
        <v>179</v>
      </c>
      <c r="G44" s="337">
        <v>1</v>
      </c>
      <c r="H44" s="338">
        <v>0</v>
      </c>
      <c r="I44" s="338">
        <v>1</v>
      </c>
      <c r="J44" s="338">
        <v>2</v>
      </c>
      <c r="K44" s="339">
        <v>15</v>
      </c>
      <c r="L44" s="348">
        <f>SUM(G44:K44)</f>
        <v>19</v>
      </c>
      <c r="M44" s="269" t="s">
        <v>217</v>
      </c>
      <c r="N44" s="320" t="s">
        <v>217</v>
      </c>
    </row>
    <row r="45" spans="1:15" ht="13.8" x14ac:dyDescent="0.25">
      <c r="A45" s="105"/>
      <c r="B45" s="91"/>
      <c r="C45" s="99"/>
      <c r="D45" s="214" t="s">
        <v>134</v>
      </c>
      <c r="E45" s="328" t="s">
        <v>30</v>
      </c>
      <c r="F45" s="224" t="s">
        <v>180</v>
      </c>
      <c r="G45" s="263">
        <f>30+7</f>
        <v>37</v>
      </c>
      <c r="H45" s="342">
        <f>4</f>
        <v>4</v>
      </c>
      <c r="I45" s="342">
        <f>4+2</f>
        <v>6</v>
      </c>
      <c r="J45" s="342">
        <f>4+2</f>
        <v>6</v>
      </c>
      <c r="K45" s="344">
        <v>0</v>
      </c>
      <c r="L45" s="348">
        <f t="shared" ref="L45:L51" si="1">SUM(G45:K45)</f>
        <v>53</v>
      </c>
      <c r="M45" s="270" t="s">
        <v>218</v>
      </c>
      <c r="N45" s="319" t="s">
        <v>218</v>
      </c>
    </row>
    <row r="46" spans="1:15" ht="13.8" x14ac:dyDescent="0.25">
      <c r="A46" s="93"/>
      <c r="B46" s="93"/>
      <c r="C46" s="93"/>
      <c r="D46" s="214" t="s">
        <v>136</v>
      </c>
      <c r="E46" s="328" t="s">
        <v>58</v>
      </c>
      <c r="F46" s="224" t="s">
        <v>181</v>
      </c>
      <c r="G46" s="346">
        <f>1+1+1+1</f>
        <v>4</v>
      </c>
      <c r="H46" s="342">
        <f>1+4+1+1</f>
        <v>7</v>
      </c>
      <c r="I46" s="342">
        <f>1+1+1+1</f>
        <v>4</v>
      </c>
      <c r="J46" s="342">
        <f>1+4</f>
        <v>5</v>
      </c>
      <c r="K46" s="344">
        <v>0</v>
      </c>
      <c r="L46" s="348">
        <f t="shared" si="1"/>
        <v>20</v>
      </c>
      <c r="M46" s="270" t="s">
        <v>219</v>
      </c>
      <c r="N46" s="319" t="s">
        <v>219</v>
      </c>
    </row>
    <row r="47" spans="1:15" ht="13.8" x14ac:dyDescent="0.25">
      <c r="A47" s="93"/>
      <c r="B47" s="93"/>
      <c r="C47" s="93"/>
      <c r="D47" s="214" t="s">
        <v>138</v>
      </c>
      <c r="E47" s="328" t="s">
        <v>57</v>
      </c>
      <c r="F47" s="224" t="s">
        <v>180</v>
      </c>
      <c r="G47" s="346">
        <f>+G46</f>
        <v>4</v>
      </c>
      <c r="H47" s="342">
        <f>+H46</f>
        <v>7</v>
      </c>
      <c r="I47" s="342">
        <f>+I46</f>
        <v>4</v>
      </c>
      <c r="J47" s="342">
        <f>+J46</f>
        <v>5</v>
      </c>
      <c r="K47" s="344">
        <f>+K46</f>
        <v>0</v>
      </c>
      <c r="L47" s="348">
        <f t="shared" si="1"/>
        <v>20</v>
      </c>
      <c r="M47" s="270" t="s">
        <v>220</v>
      </c>
      <c r="N47" s="319" t="s">
        <v>220</v>
      </c>
    </row>
    <row r="48" spans="1:15" ht="13.8" x14ac:dyDescent="0.25">
      <c r="A48" s="99"/>
      <c r="B48" s="99"/>
      <c r="C48" s="99"/>
      <c r="D48" s="214" t="s">
        <v>140</v>
      </c>
      <c r="E48" s="328" t="s">
        <v>26</v>
      </c>
      <c r="F48" s="224" t="s">
        <v>181</v>
      </c>
      <c r="G48" s="346">
        <v>0</v>
      </c>
      <c r="H48" s="342">
        <v>3</v>
      </c>
      <c r="I48" s="342">
        <v>1</v>
      </c>
      <c r="J48" s="342">
        <v>0</v>
      </c>
      <c r="K48" s="344">
        <v>5</v>
      </c>
      <c r="L48" s="348">
        <f t="shared" si="1"/>
        <v>9</v>
      </c>
      <c r="M48" s="270" t="s">
        <v>141</v>
      </c>
      <c r="N48" s="319" t="s">
        <v>141</v>
      </c>
    </row>
    <row r="49" spans="1:21" ht="13.8" x14ac:dyDescent="0.25">
      <c r="A49" s="103"/>
      <c r="B49" s="103"/>
      <c r="C49" s="103"/>
      <c r="D49" s="214" t="s">
        <v>142</v>
      </c>
      <c r="E49" s="328" t="s">
        <v>27</v>
      </c>
      <c r="F49" s="224" t="s">
        <v>182</v>
      </c>
      <c r="G49" s="346">
        <f>1+1+1</f>
        <v>3</v>
      </c>
      <c r="H49" s="342">
        <v>4</v>
      </c>
      <c r="I49" s="342">
        <f>1+1+1+1</f>
        <v>4</v>
      </c>
      <c r="J49" s="342">
        <f>1+1+1</f>
        <v>3</v>
      </c>
      <c r="K49" s="344">
        <f>1</f>
        <v>1</v>
      </c>
      <c r="L49" s="348">
        <f t="shared" si="1"/>
        <v>15</v>
      </c>
      <c r="M49" s="270" t="s">
        <v>144</v>
      </c>
      <c r="N49" s="319" t="s">
        <v>144</v>
      </c>
    </row>
    <row r="50" spans="1:21" ht="13.8" x14ac:dyDescent="0.25">
      <c r="A50" s="100"/>
      <c r="B50" s="100"/>
      <c r="C50" s="100"/>
      <c r="D50" s="214" t="s">
        <v>145</v>
      </c>
      <c r="E50" s="328" t="s">
        <v>146</v>
      </c>
      <c r="F50" s="224" t="s">
        <v>180</v>
      </c>
      <c r="G50" s="346">
        <f>+G45</f>
        <v>37</v>
      </c>
      <c r="H50" s="342">
        <f>+H45</f>
        <v>4</v>
      </c>
      <c r="I50" s="342">
        <f>+I45</f>
        <v>6</v>
      </c>
      <c r="J50" s="342">
        <f>+J45</f>
        <v>6</v>
      </c>
      <c r="K50" s="344">
        <f>+K45</f>
        <v>0</v>
      </c>
      <c r="L50" s="348">
        <f t="shared" si="1"/>
        <v>53</v>
      </c>
      <c r="M50" s="270" t="s">
        <v>221</v>
      </c>
      <c r="N50" s="319" t="s">
        <v>221</v>
      </c>
    </row>
    <row r="51" spans="1:21" ht="14.4" thickBot="1" x14ac:dyDescent="0.3">
      <c r="A51" s="95"/>
      <c r="B51" s="95"/>
      <c r="C51" s="95"/>
      <c r="D51" s="214" t="s">
        <v>147</v>
      </c>
      <c r="E51" s="170" t="s">
        <v>28</v>
      </c>
      <c r="F51" s="225" t="s">
        <v>81</v>
      </c>
      <c r="G51" s="264">
        <f>2+1+2</f>
        <v>5</v>
      </c>
      <c r="H51" s="226">
        <f>5+5+1+1</f>
        <v>12</v>
      </c>
      <c r="I51" s="226">
        <f>1+4+3+1</f>
        <v>9</v>
      </c>
      <c r="J51" s="222">
        <f>4+1+1</f>
        <v>6</v>
      </c>
      <c r="K51" s="227">
        <f>2</f>
        <v>2</v>
      </c>
      <c r="L51" s="306">
        <f t="shared" si="1"/>
        <v>34</v>
      </c>
      <c r="M51" s="271" t="s">
        <v>222</v>
      </c>
      <c r="N51" s="318" t="s">
        <v>222</v>
      </c>
    </row>
    <row r="52" spans="1:21" ht="14.4" thickBot="1" x14ac:dyDescent="0.3">
      <c r="E52" s="13"/>
    </row>
    <row r="53" spans="1:21" ht="15" customHeight="1" x14ac:dyDescent="0.25">
      <c r="B53" s="172"/>
      <c r="C53" s="172"/>
      <c r="D53" s="233"/>
      <c r="E53" s="1247" t="s">
        <v>16</v>
      </c>
      <c r="F53" s="1248"/>
      <c r="G53" s="1248"/>
      <c r="H53" s="1248"/>
      <c r="I53" s="1248"/>
      <c r="J53" s="1248"/>
      <c r="K53" s="1248"/>
      <c r="L53" s="1248"/>
      <c r="M53" s="1248"/>
      <c r="N53" s="1248"/>
      <c r="O53" s="1249"/>
    </row>
    <row r="54" spans="1:21" ht="15" customHeight="1" thickBot="1" x14ac:dyDescent="0.3">
      <c r="B54" s="172"/>
      <c r="C54" s="172"/>
      <c r="D54" s="233"/>
      <c r="E54" s="1268"/>
      <c r="F54" s="1269"/>
      <c r="G54" s="1269"/>
      <c r="H54" s="1269"/>
      <c r="I54" s="1269"/>
      <c r="J54" s="1269"/>
      <c r="K54" s="1269"/>
      <c r="L54" s="1269"/>
      <c r="M54" s="1269"/>
      <c r="N54" s="1269"/>
      <c r="O54" s="1270"/>
    </row>
    <row r="55" spans="1:21" ht="45.75" customHeight="1" thickBot="1" x14ac:dyDescent="0.3">
      <c r="B55" s="172"/>
      <c r="C55" s="172"/>
      <c r="D55" s="233"/>
      <c r="E55" s="55" t="s">
        <v>22</v>
      </c>
      <c r="F55" s="122" t="s">
        <v>3</v>
      </c>
      <c r="G55" s="200" t="s">
        <v>4</v>
      </c>
      <c r="H55" s="201" t="s">
        <v>7</v>
      </c>
      <c r="I55" s="292" t="s">
        <v>8</v>
      </c>
      <c r="J55" s="194" t="s">
        <v>9</v>
      </c>
      <c r="K55" s="194" t="s">
        <v>10</v>
      </c>
      <c r="L55" s="194" t="s">
        <v>11</v>
      </c>
      <c r="M55" s="50" t="s">
        <v>12</v>
      </c>
      <c r="N55" s="122" t="s">
        <v>6</v>
      </c>
      <c r="O55" s="122" t="s">
        <v>203</v>
      </c>
      <c r="Q55" s="14"/>
      <c r="R55" s="14"/>
      <c r="S55" s="14"/>
      <c r="T55" s="14"/>
      <c r="U55" s="14"/>
    </row>
    <row r="56" spans="1:21" ht="13.8" x14ac:dyDescent="0.25">
      <c r="A56" s="168"/>
      <c r="B56" s="168"/>
      <c r="C56" s="168"/>
      <c r="D56" s="214">
        <v>4.01</v>
      </c>
      <c r="E56" s="327" t="s">
        <v>183</v>
      </c>
      <c r="F56" s="223" t="s">
        <v>184</v>
      </c>
      <c r="G56" s="240">
        <v>0</v>
      </c>
      <c r="H56" s="241">
        <v>2015</v>
      </c>
      <c r="I56" s="357">
        <v>0</v>
      </c>
      <c r="J56" s="356">
        <v>100</v>
      </c>
      <c r="K56" s="356">
        <v>80</v>
      </c>
      <c r="L56" s="356">
        <v>60</v>
      </c>
      <c r="M56" s="359">
        <v>60</v>
      </c>
      <c r="N56" s="302">
        <f t="shared" ref="N56:N61" si="2">SUM(I56:M56)</f>
        <v>300</v>
      </c>
      <c r="O56" s="269" t="s">
        <v>223</v>
      </c>
      <c r="P56" s="171"/>
    </row>
    <row r="57" spans="1:21" ht="26.4" x14ac:dyDescent="0.25">
      <c r="A57" s="168"/>
      <c r="B57" s="168"/>
      <c r="C57" s="168"/>
      <c r="D57" s="214">
        <v>4.0199999999999996</v>
      </c>
      <c r="E57" s="328" t="s">
        <v>204</v>
      </c>
      <c r="F57" s="224" t="s">
        <v>185</v>
      </c>
      <c r="G57" s="242">
        <v>0</v>
      </c>
      <c r="H57" s="228">
        <v>2015</v>
      </c>
      <c r="I57" s="358">
        <v>0</v>
      </c>
      <c r="J57" s="355">
        <v>40</v>
      </c>
      <c r="K57" s="355">
        <v>40</v>
      </c>
      <c r="L57" s="355">
        <v>30</v>
      </c>
      <c r="M57" s="360">
        <v>20</v>
      </c>
      <c r="N57" s="303">
        <f t="shared" si="2"/>
        <v>130</v>
      </c>
      <c r="O57" s="270" t="s">
        <v>224</v>
      </c>
      <c r="P57" s="171"/>
    </row>
    <row r="58" spans="1:21" ht="13.8" x14ac:dyDescent="0.25">
      <c r="A58" s="168"/>
      <c r="B58" s="168"/>
      <c r="C58" s="168"/>
      <c r="D58" s="214">
        <v>4.03</v>
      </c>
      <c r="E58" s="328" t="s">
        <v>250</v>
      </c>
      <c r="F58" s="224" t="s">
        <v>186</v>
      </c>
      <c r="G58" s="242">
        <v>0</v>
      </c>
      <c r="H58" s="228">
        <v>2015</v>
      </c>
      <c r="I58" s="358">
        <v>0</v>
      </c>
      <c r="J58" s="355">
        <v>20</v>
      </c>
      <c r="K58" s="355">
        <v>30</v>
      </c>
      <c r="L58" s="355">
        <v>20</v>
      </c>
      <c r="M58" s="360">
        <v>20</v>
      </c>
      <c r="N58" s="303">
        <f t="shared" si="2"/>
        <v>90</v>
      </c>
      <c r="O58" s="270" t="s">
        <v>225</v>
      </c>
      <c r="P58" s="171"/>
    </row>
    <row r="59" spans="1:21" ht="13.8" x14ac:dyDescent="0.25">
      <c r="A59" s="168"/>
      <c r="B59" s="168"/>
      <c r="C59" s="168"/>
      <c r="D59" s="214">
        <v>4.04</v>
      </c>
      <c r="E59" s="328" t="s">
        <v>47</v>
      </c>
      <c r="F59" s="224" t="s">
        <v>184</v>
      </c>
      <c r="G59" s="242">
        <v>0</v>
      </c>
      <c r="H59" s="228">
        <v>2015</v>
      </c>
      <c r="I59" s="358">
        <v>0</v>
      </c>
      <c r="J59" s="355">
        <v>15</v>
      </c>
      <c r="K59" s="355">
        <v>15</v>
      </c>
      <c r="L59" s="355">
        <v>30</v>
      </c>
      <c r="M59" s="360">
        <v>30</v>
      </c>
      <c r="N59" s="303">
        <f t="shared" si="2"/>
        <v>90</v>
      </c>
      <c r="O59" s="270" t="s">
        <v>226</v>
      </c>
      <c r="P59" s="171"/>
    </row>
    <row r="60" spans="1:21" ht="13.8" x14ac:dyDescent="0.25">
      <c r="A60" s="168"/>
      <c r="B60" s="168"/>
      <c r="C60" s="168"/>
      <c r="D60" s="214">
        <v>4.05</v>
      </c>
      <c r="E60" s="328" t="s">
        <v>48</v>
      </c>
      <c r="F60" s="224" t="s">
        <v>184</v>
      </c>
      <c r="G60" s="242">
        <v>0</v>
      </c>
      <c r="H60" s="228">
        <v>2015</v>
      </c>
      <c r="I60" s="358">
        <v>0</v>
      </c>
      <c r="J60" s="355">
        <v>90</v>
      </c>
      <c r="K60" s="355">
        <v>30</v>
      </c>
      <c r="L60" s="355">
        <v>30</v>
      </c>
      <c r="M60" s="360">
        <v>60</v>
      </c>
      <c r="N60" s="303">
        <f t="shared" si="2"/>
        <v>210</v>
      </c>
      <c r="O60" s="270" t="s">
        <v>227</v>
      </c>
      <c r="P60" s="171"/>
    </row>
    <row r="61" spans="1:21" ht="14.4" thickBot="1" x14ac:dyDescent="0.3">
      <c r="A61" s="168"/>
      <c r="B61" s="169"/>
      <c r="C61" s="169"/>
      <c r="D61" s="214">
        <v>4.0599999999999996</v>
      </c>
      <c r="E61" s="170" t="s">
        <v>49</v>
      </c>
      <c r="F61" s="225" t="s">
        <v>92</v>
      </c>
      <c r="G61" s="243">
        <v>0</v>
      </c>
      <c r="H61" s="229">
        <v>2015</v>
      </c>
      <c r="I61" s="267">
        <v>0</v>
      </c>
      <c r="J61" s="266">
        <v>2</v>
      </c>
      <c r="K61" s="266">
        <v>3</v>
      </c>
      <c r="L61" s="266">
        <v>2</v>
      </c>
      <c r="M61" s="301">
        <v>2</v>
      </c>
      <c r="N61" s="304">
        <f t="shared" si="2"/>
        <v>9</v>
      </c>
      <c r="O61" s="271" t="s">
        <v>228</v>
      </c>
      <c r="P61" s="171"/>
    </row>
    <row r="62" spans="1:21" ht="14.4" thickBot="1" x14ac:dyDescent="0.3">
      <c r="A62" s="169"/>
      <c r="B62" s="172"/>
      <c r="C62" s="172"/>
      <c r="D62" s="234"/>
      <c r="E62" s="163"/>
      <c r="F62" s="172"/>
      <c r="G62" s="172"/>
      <c r="H62" s="172"/>
      <c r="I62" s="172"/>
      <c r="J62" s="172"/>
      <c r="K62" s="172"/>
      <c r="L62" s="172"/>
      <c r="M62" s="265"/>
    </row>
    <row r="63" spans="1:21" ht="28.2" thickBot="1" x14ac:dyDescent="0.3">
      <c r="B63" s="172"/>
      <c r="C63" s="172"/>
      <c r="D63" s="234"/>
      <c r="E63" s="244" t="s">
        <v>15</v>
      </c>
      <c r="F63" s="122" t="s">
        <v>3</v>
      </c>
      <c r="G63" s="292" t="s">
        <v>8</v>
      </c>
      <c r="H63" s="194" t="s">
        <v>9</v>
      </c>
      <c r="I63" s="194" t="s">
        <v>10</v>
      </c>
      <c r="J63" s="194" t="s">
        <v>11</v>
      </c>
      <c r="K63" s="50" t="s">
        <v>12</v>
      </c>
      <c r="L63" s="122" t="s">
        <v>6</v>
      </c>
      <c r="M63" s="122" t="s">
        <v>203</v>
      </c>
      <c r="N63" s="295" t="s">
        <v>206</v>
      </c>
    </row>
    <row r="64" spans="1:21" ht="13.8" x14ac:dyDescent="0.25">
      <c r="B64" s="169"/>
      <c r="C64" s="169"/>
      <c r="D64" s="214">
        <v>4.08</v>
      </c>
      <c r="E64" s="296" t="s">
        <v>189</v>
      </c>
      <c r="F64" s="298" t="s">
        <v>197</v>
      </c>
      <c r="G64" s="357">
        <v>4</v>
      </c>
      <c r="H64" s="356">
        <v>3</v>
      </c>
      <c r="I64" s="356">
        <v>4</v>
      </c>
      <c r="J64" s="356">
        <v>3</v>
      </c>
      <c r="K64" s="359">
        <v>1</v>
      </c>
      <c r="L64" s="302">
        <f t="shared" ref="L64:L69" si="3">SUM(G64:K64)</f>
        <v>15</v>
      </c>
      <c r="M64" s="312" t="s">
        <v>229</v>
      </c>
      <c r="N64" s="320" t="s">
        <v>229</v>
      </c>
    </row>
    <row r="65" spans="1:14" ht="13.8" x14ac:dyDescent="0.25">
      <c r="A65" s="169"/>
      <c r="B65" s="169"/>
      <c r="C65" s="169"/>
      <c r="D65" s="214">
        <v>4.09</v>
      </c>
      <c r="E65" s="297" t="s">
        <v>44</v>
      </c>
      <c r="F65" s="299" t="s">
        <v>191</v>
      </c>
      <c r="G65" s="358">
        <v>0</v>
      </c>
      <c r="H65" s="355">
        <v>4</v>
      </c>
      <c r="I65" s="355">
        <v>3</v>
      </c>
      <c r="J65" s="355">
        <v>4</v>
      </c>
      <c r="K65" s="360">
        <v>4</v>
      </c>
      <c r="L65" s="303">
        <f t="shared" si="3"/>
        <v>15</v>
      </c>
      <c r="M65" s="313" t="s">
        <v>230</v>
      </c>
      <c r="N65" s="319" t="s">
        <v>230</v>
      </c>
    </row>
    <row r="66" spans="1:14" ht="13.8" x14ac:dyDescent="0.25">
      <c r="A66" s="169"/>
      <c r="B66" s="169"/>
      <c r="C66" s="169"/>
      <c r="D66" s="268">
        <v>4.0999999999999996</v>
      </c>
      <c r="E66" s="297" t="s">
        <v>43</v>
      </c>
      <c r="F66" s="299" t="s">
        <v>198</v>
      </c>
      <c r="G66" s="358">
        <v>0</v>
      </c>
      <c r="H66" s="355">
        <v>4</v>
      </c>
      <c r="I66" s="355">
        <v>3</v>
      </c>
      <c r="J66" s="355">
        <v>4</v>
      </c>
      <c r="K66" s="360">
        <v>4</v>
      </c>
      <c r="L66" s="303">
        <f t="shared" si="3"/>
        <v>15</v>
      </c>
      <c r="M66" s="313" t="s">
        <v>231</v>
      </c>
      <c r="N66" s="319" t="s">
        <v>231</v>
      </c>
    </row>
    <row r="67" spans="1:14" ht="13.8" x14ac:dyDescent="0.25">
      <c r="A67" s="169"/>
      <c r="B67" s="168"/>
      <c r="C67" s="168"/>
      <c r="D67" s="214">
        <v>4.1100000000000003</v>
      </c>
      <c r="E67" s="297" t="s">
        <v>193</v>
      </c>
      <c r="F67" s="299" t="s">
        <v>200</v>
      </c>
      <c r="G67" s="358">
        <v>4</v>
      </c>
      <c r="H67" s="355">
        <v>3</v>
      </c>
      <c r="I67" s="355">
        <v>4</v>
      </c>
      <c r="J67" s="355">
        <v>3</v>
      </c>
      <c r="K67" s="360">
        <v>1</v>
      </c>
      <c r="L67" s="303">
        <f t="shared" si="3"/>
        <v>15</v>
      </c>
      <c r="M67" s="313" t="s">
        <v>232</v>
      </c>
      <c r="N67" s="319" t="s">
        <v>232</v>
      </c>
    </row>
    <row r="68" spans="1:14" ht="13.8" x14ac:dyDescent="0.25">
      <c r="A68" s="168"/>
      <c r="B68" s="168"/>
      <c r="C68" s="168"/>
      <c r="D68" s="214">
        <v>4.12</v>
      </c>
      <c r="E68" s="297" t="s">
        <v>39</v>
      </c>
      <c r="F68" s="299" t="s">
        <v>198</v>
      </c>
      <c r="G68" s="358">
        <v>0</v>
      </c>
      <c r="H68" s="355">
        <v>8</v>
      </c>
      <c r="I68" s="355">
        <v>6</v>
      </c>
      <c r="J68" s="355">
        <v>8</v>
      </c>
      <c r="K68" s="360">
        <v>8</v>
      </c>
      <c r="L68" s="303">
        <f t="shared" si="3"/>
        <v>30</v>
      </c>
      <c r="M68" s="313" t="s">
        <v>233</v>
      </c>
      <c r="N68" s="319" t="s">
        <v>233</v>
      </c>
    </row>
    <row r="69" spans="1:14" ht="14.4" thickBot="1" x14ac:dyDescent="0.3">
      <c r="A69" s="168"/>
      <c r="B69" s="168"/>
      <c r="C69" s="168"/>
      <c r="D69" s="214">
        <v>4.13</v>
      </c>
      <c r="E69" s="334" t="s">
        <v>41</v>
      </c>
      <c r="F69" s="300" t="s">
        <v>181</v>
      </c>
      <c r="G69" s="267">
        <v>0</v>
      </c>
      <c r="H69" s="266">
        <v>1</v>
      </c>
      <c r="I69" s="266">
        <v>1</v>
      </c>
      <c r="J69" s="266">
        <v>1</v>
      </c>
      <c r="K69" s="301">
        <v>1</v>
      </c>
      <c r="L69" s="304">
        <f t="shared" si="3"/>
        <v>4</v>
      </c>
      <c r="M69" s="314" t="s">
        <v>234</v>
      </c>
      <c r="N69" s="318" t="s">
        <v>234</v>
      </c>
    </row>
    <row r="70" spans="1:14" ht="13.8" x14ac:dyDescent="0.25">
      <c r="E70" s="163"/>
    </row>
    <row r="72" spans="1:14" x14ac:dyDescent="0.25">
      <c r="D72" s="173"/>
    </row>
    <row r="73" spans="1:14" x14ac:dyDescent="0.25">
      <c r="D73" s="173"/>
    </row>
    <row r="74" spans="1:14" x14ac:dyDescent="0.25">
      <c r="D74" s="173"/>
    </row>
    <row r="75" spans="1:14" x14ac:dyDescent="0.25">
      <c r="D75" s="173"/>
    </row>
    <row r="76" spans="1:14" x14ac:dyDescent="0.25">
      <c r="D76" s="173"/>
    </row>
    <row r="77" spans="1:14" x14ac:dyDescent="0.25">
      <c r="D77" s="173"/>
    </row>
    <row r="78" spans="1:14" x14ac:dyDescent="0.25">
      <c r="D78" s="173"/>
    </row>
    <row r="79" spans="1:14" x14ac:dyDescent="0.25">
      <c r="D79" s="173"/>
    </row>
    <row r="80" spans="1:14" x14ac:dyDescent="0.25">
      <c r="D80" s="173"/>
    </row>
    <row r="81" spans="4:7" x14ac:dyDescent="0.25">
      <c r="D81" s="173"/>
    </row>
    <row r="82" spans="4:7" x14ac:dyDescent="0.25">
      <c r="D82" s="173"/>
    </row>
    <row r="83" spans="4:7" x14ac:dyDescent="0.25">
      <c r="D83" s="173"/>
    </row>
    <row r="84" spans="4:7" ht="76.5" customHeight="1" x14ac:dyDescent="0.25">
      <c r="D84" s="173"/>
      <c r="G84" s="33"/>
    </row>
    <row r="85" spans="4:7" x14ac:dyDescent="0.25">
      <c r="D85" s="173"/>
    </row>
    <row r="86" spans="4:7" x14ac:dyDescent="0.25">
      <c r="D86" s="173"/>
    </row>
    <row r="87" spans="4:7" x14ac:dyDescent="0.25">
      <c r="D87" s="173"/>
    </row>
    <row r="88" spans="4:7" x14ac:dyDescent="0.25">
      <c r="D88" s="173"/>
    </row>
    <row r="89" spans="4:7" x14ac:dyDescent="0.25">
      <c r="D89" s="173"/>
    </row>
    <row r="90" spans="4:7" x14ac:dyDescent="0.25">
      <c r="D90" s="173"/>
    </row>
    <row r="91" spans="4:7" x14ac:dyDescent="0.25">
      <c r="D91" s="173"/>
    </row>
    <row r="92" spans="4:7" x14ac:dyDescent="0.25">
      <c r="D92" s="173"/>
    </row>
    <row r="93" spans="4:7" x14ac:dyDescent="0.25">
      <c r="D93" s="173"/>
    </row>
    <row r="94" spans="4:7" x14ac:dyDescent="0.25">
      <c r="D94" s="173"/>
    </row>
    <row r="95" spans="4:7" x14ac:dyDescent="0.25">
      <c r="D95" s="173"/>
    </row>
    <row r="96" spans="4:7" x14ac:dyDescent="0.25">
      <c r="D96" s="173"/>
    </row>
    <row r="97" spans="4:4" x14ac:dyDescent="0.25">
      <c r="D97" s="173"/>
    </row>
    <row r="98" spans="4:4" x14ac:dyDescent="0.25">
      <c r="D98" s="173"/>
    </row>
    <row r="99" spans="4:4" x14ac:dyDescent="0.25">
      <c r="D99" s="173"/>
    </row>
    <row r="100" spans="4:4" x14ac:dyDescent="0.25">
      <c r="D100" s="173"/>
    </row>
    <row r="101" spans="4:4" ht="26.25" customHeight="1" x14ac:dyDescent="0.25">
      <c r="D101" s="173"/>
    </row>
    <row r="102" spans="4:4" x14ac:dyDescent="0.25">
      <c r="D102" s="173"/>
    </row>
    <row r="103" spans="4:4" ht="40.5" customHeight="1" x14ac:dyDescent="0.25">
      <c r="D103" s="173"/>
    </row>
    <row r="104" spans="4:4" x14ac:dyDescent="0.25">
      <c r="D104" s="173"/>
    </row>
    <row r="105" spans="4:4" x14ac:dyDescent="0.25">
      <c r="D105" s="173"/>
    </row>
    <row r="106" spans="4:4" x14ac:dyDescent="0.25">
      <c r="D106" s="173"/>
    </row>
    <row r="107" spans="4:4" x14ac:dyDescent="0.25">
      <c r="D107" s="173"/>
    </row>
    <row r="108" spans="4:4" x14ac:dyDescent="0.25">
      <c r="D108" s="173"/>
    </row>
    <row r="109" spans="4:4" x14ac:dyDescent="0.25">
      <c r="D109" s="173"/>
    </row>
    <row r="110" spans="4:4" x14ac:dyDescent="0.25">
      <c r="D110" s="173"/>
    </row>
  </sheetData>
  <mergeCells count="5">
    <mergeCell ref="E2:I2"/>
    <mergeCell ref="E3:I3"/>
    <mergeCell ref="E14:O15"/>
    <mergeCell ref="E28:O29"/>
    <mergeCell ref="E53:O54"/>
  </mergeCells>
  <hyperlinks>
    <hyperlink ref="J6" location="'Medios de Verificación'!E6" display="Ver 1.1."/>
    <hyperlink ref="J7" location="'Medios de Verificación'!E7" display="Ver 1.2"/>
    <hyperlink ref="J8" location="'Medios de Verificación'!E8" display="Ver 1.3"/>
    <hyperlink ref="J9" location="'Medios de Verificación'!E9" display="Ver 1.4."/>
    <hyperlink ref="J10" location="'Medios de Verificación'!E10" display="Ver 1.5"/>
    <hyperlink ref="J11" location="'Medios de Verificación'!E11" display="Ver 1.6"/>
    <hyperlink ref="O17" location="'Medios de Verificación'!E18" display="Ver 2.2"/>
    <hyperlink ref="O18" location="'Medios de Verificación'!E19" display="Ver 2.3"/>
    <hyperlink ref="M22" location="'Medios de Verificación'!E23" display="Ver 2.4"/>
    <hyperlink ref="M23" location="'Medios de Verificación'!E24" display="Ver 2.5"/>
    <hyperlink ref="M24" location="'Medios de Verificación'!E25" display="Ver 2.6"/>
    <hyperlink ref="M25" location="'Medios de Verificación'!E26" display="Ver 2.7"/>
    <hyperlink ref="M26" location="'Medios de Verificación'!E27" display="Ver 2.8"/>
    <hyperlink ref="O31" location="'Medios de Verificación'!E32" display="Ver 3.1"/>
    <hyperlink ref="O32" location="'Medios de Verificación'!E33" display="Ver 3.2"/>
    <hyperlink ref="O33" location="'Medios de Verificación'!E34" display="Ver 3.3"/>
    <hyperlink ref="O34" location="'Medios de Verificación'!E35" display="Ver 3.4"/>
    <hyperlink ref="O35" location="'Medios de Verificación'!E36" display="Ver 3.5"/>
    <hyperlink ref="O36" location="'Medios de Verificación'!E37" display="Ver 3.6"/>
    <hyperlink ref="O37" location="'Medios de Verificación'!E38" display="Ver 3.7"/>
    <hyperlink ref="O38" location="'Medios de Verificación'!E39" display="Ver 3.8"/>
    <hyperlink ref="O39" location="'Medios de Verificación'!E40" display="Ver 3.9"/>
    <hyperlink ref="O40" location="'Medios de Verificación'!E41" display="Ver 3.10"/>
    <hyperlink ref="O41" location="'Medios de Verificación'!E42" display="Ver 3.11"/>
    <hyperlink ref="M44" location="'Medios de Verificación'!E45" display="Ver 3,12"/>
    <hyperlink ref="M45" location="'Medios de Verificación'!E46" display="Ver 3.13"/>
    <hyperlink ref="M46" location="'Medios de Verificación'!E47" display="Ver 3.14"/>
    <hyperlink ref="M47" location="'Medios de Verificación'!E48" display="Ver 3.15"/>
    <hyperlink ref="M48" location="'Medios de Verificación'!E49" display="Ver 3.16"/>
    <hyperlink ref="M49" location="'Medios de Verificación'!E50" display="Ver 3.17"/>
    <hyperlink ref="M50" location="'Medios de Verificación'!E51" display="Ver 3.18"/>
    <hyperlink ref="M51" location="'Medios de Verificación'!E52" display="Ver 3.19"/>
    <hyperlink ref="O56" location="'Medios de Verificación'!E57" display="Ver 4.01"/>
    <hyperlink ref="O57" location="'Medios de Verificación'!E58" display="Ver 4.02"/>
    <hyperlink ref="O58" location="'Medios de Verificación'!E59" display="Ver 4.03"/>
    <hyperlink ref="O59" location="'Medios de Verificación'!E60" display="Ver 4.04"/>
    <hyperlink ref="O60" location="'Medios de Verificación'!E61" display="Ver 4.05"/>
    <hyperlink ref="O61" location="'Medios de Verificación'!E63" display="Ver 4.07"/>
    <hyperlink ref="M64" location="'Medios de Verificación'!E66" display="Ver 4.08"/>
    <hyperlink ref="M65" location="'Medios de Verificación'!E67" display="Ver 4.09"/>
    <hyperlink ref="M66" location="'Medios de Verificación'!E68" display="Ver 4.10"/>
    <hyperlink ref="M67" location="'Medios de Verificación'!E69" display="Ver 4.11"/>
    <hyperlink ref="M68" location="'Medios de Verificación'!E70" display="Ver 4.12"/>
    <hyperlink ref="M69" location="'Medios de Verificación'!E72" display="Ver 4.14"/>
    <hyperlink ref="N22" location="Costos!D10" display="Ver 2.4"/>
    <hyperlink ref="N23" location="Costos!D11" display="Ver 2.5"/>
    <hyperlink ref="N24" location="Costos!D12" display="Ver 2.6"/>
    <hyperlink ref="N25" location="Costos!D13" display="Ver 2.7"/>
    <hyperlink ref="N26" location="Costos!D14" display="Ver 2.8"/>
    <hyperlink ref="N44" location="Costos!D20" display="Ver 3.12"/>
    <hyperlink ref="N45" location="Costos!D21" display="Ver 3.13"/>
    <hyperlink ref="N46" location="Costos!D22" display="Ver 3.14"/>
    <hyperlink ref="N47" location="Costos!D23" display="Ver 3.15"/>
    <hyperlink ref="N48" location="Costos!D24" display="Ver 3.16"/>
    <hyperlink ref="N49" location="Costos!D25" display="Ver 3.17"/>
    <hyperlink ref="N50" location="Costos!D26" display="Ver 3.18"/>
    <hyperlink ref="N51" location="Costos!D27" display="Ver 3.19"/>
    <hyperlink ref="N64" location="Costos!D33" display="Ver 4.08"/>
    <hyperlink ref="N65" location="Costos!D34" display="Ver 4.09"/>
    <hyperlink ref="N66" location="Costos!D35" display="Ver 4.10"/>
    <hyperlink ref="N67" location="Costos!D36" display="Ver 4.11"/>
    <hyperlink ref="N68" location="Costos!D37" display="Ver 4.12"/>
    <hyperlink ref="N69" location="Costos!D38" display="Ver 4.13"/>
    <hyperlink ref="O19" location="'Medios de Verificación'!E20" display="Ver 2.3"/>
  </hyperlinks>
  <pageMargins left="0.25" right="0.25" top="0.75" bottom="0.75" header="0.3" footer="0.3"/>
  <pageSetup scale="67" fitToHeight="0" orientation="landscape" verticalDpi="599"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25CE81CFE684D41A78BB94A26B6A455" ma:contentTypeVersion="20" ma:contentTypeDescription="A content type to manage public (operations) IDB documents" ma:contentTypeScope="" ma:versionID="d2c7b9ef528ae76d0dc4d14a6072e617">
  <xsd:schema xmlns:xsd="http://www.w3.org/2001/XMLSchema" xmlns:xs="http://www.w3.org/2001/XMLSchema" xmlns:p="http://schemas.microsoft.com/office/2006/metadata/properties" xmlns:ns2="cdc7663a-08f0-4737-9e8c-148ce897a09c" targetNamespace="http://schemas.microsoft.com/office/2006/metadata/properties" ma:root="true" ma:fieldsID="52f75a97534f73305059e4ad7324dd1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maxLength value="255"/>
        </xsd:restriction>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Argentina</TermName>
          <TermId xmlns="http://schemas.microsoft.com/office/infopath/2007/PartnerControls">eb1b705c-195f-4c3b-9661-b201f2fee3c5</TermId>
        </TermInfo>
      </Terms>
    </ic46d7e087fd4a108fb86518ca413cc6>
    <IDBDocs_x0020_Number xmlns="cdc7663a-08f0-4737-9e8c-148ce897a09c" xsi:nil="true"/>
    <Division_x0020_or_x0020_Unit xmlns="cdc7663a-08f0-4737-9e8c-148ce897a09c">IFD/ICS</Division_x0020_or_x0020_Unit>
    <Fiscal_x0020_Year_x0020_IDB xmlns="cdc7663a-08f0-4737-9e8c-148ce897a09c">2017</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Rojas Gonzalez, Sonia Amalia</Other_x0020_Author>
    <Migration_x0020_Info xmlns="cdc7663a-08f0-4737-9e8c-148ce897a09c" xsi:nil="true"/>
    <Approval_x0020_Number xmlns="cdc7663a-08f0-4737-9e8c-148ce897a09c" xsi:nil="true"/>
    <Phase xmlns="cdc7663a-08f0-4737-9e8c-148ce897a09c">ACTIVE</Phase>
    <Document_x0020_Author xmlns="cdc7663a-08f0-4737-9e8c-148ce897a09c">Reyes, Javier Ramiro</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NATIONAL STATISTICS SYSTEMS AND CENSUSES</TermName>
          <TermId xmlns="http://schemas.microsoft.com/office/infopath/2007/PartnerControls">360cfdd5-25a5-4528-aaed-eba3c6aa70b0</TermId>
        </TermInfo>
      </Terms>
    </b2ec7cfb18674cb8803df6b262e8b107>
    <Business_x0020_Area xmlns="cdc7663a-08f0-4737-9e8c-148ce897a09c">Life Cycle</Business_x0020_Area>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TaxCatchAll xmlns="cdc7663a-08f0-4737-9e8c-148ce897a09c">
      <Value>40</Value>
      <Value>4</Value>
      <Value>36</Value>
      <Value>8</Value>
      <Value>5</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AR-L1266</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R0000467738</Record_x0020_Number>
    <_dlc_DocId xmlns="cdc7663a-08f0-4737-9e8c-148ce897a09c">EZSHARE-676894069-14</_dlc_DocId>
    <_dlc_DocIdUrl xmlns="cdc7663a-08f0-4737-9e8c-148ce897a09c">
      <Url>https://idbg.sharepoint.com/teams/EZ-AR-LON/AR-L1266/_layouts/15/DocIdRedir.aspx?ID=EZSHARE-676894069-14</Url>
      <Description>EZSHARE-676894069-14</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FB51C383-06D1-4D2C-B7FB-50D92DBE2888}"/>
</file>

<file path=customXml/itemProps2.xml><?xml version="1.0" encoding="utf-8"?>
<ds:datastoreItem xmlns:ds="http://schemas.openxmlformats.org/officeDocument/2006/customXml" ds:itemID="{C6D0CD6B-E96C-4A18-9A09-474FF67A468D}"/>
</file>

<file path=customXml/itemProps3.xml><?xml version="1.0" encoding="utf-8"?>
<ds:datastoreItem xmlns:ds="http://schemas.openxmlformats.org/officeDocument/2006/customXml" ds:itemID="{10DBA2F6-C7C1-485F-83A5-E4468B33A407}"/>
</file>

<file path=customXml/itemProps4.xml><?xml version="1.0" encoding="utf-8"?>
<ds:datastoreItem xmlns:ds="http://schemas.openxmlformats.org/officeDocument/2006/customXml" ds:itemID="{546785E5-355B-44F8-9CDE-7EB95160B028}"/>
</file>

<file path=customXml/itemProps5.xml><?xml version="1.0" encoding="utf-8"?>
<ds:datastoreItem xmlns:ds="http://schemas.openxmlformats.org/officeDocument/2006/customXml" ds:itemID="{14E23097-DEDA-47CC-8801-52269B9B1EBD}"/>
</file>

<file path=customXml/itemProps6.xml><?xml version="1.0" encoding="utf-8"?>
<ds:datastoreItem xmlns:ds="http://schemas.openxmlformats.org/officeDocument/2006/customXml" ds:itemID="{8D09D9A5-A49B-415B-8E82-3C9678FFC03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10</vt:i4>
      </vt:variant>
    </vt:vector>
  </HeadingPairs>
  <TitlesOfParts>
    <vt:vector size="27" baseType="lpstr">
      <vt:lpstr>Hoja5</vt:lpstr>
      <vt:lpstr>Costos</vt:lpstr>
      <vt:lpstr>Medios de Verificación</vt:lpstr>
      <vt:lpstr>Datos Proyectos</vt:lpstr>
      <vt:lpstr>Hoja1</vt:lpstr>
      <vt:lpstr>Resultados Vs Costos</vt:lpstr>
      <vt:lpstr>Matriz de Resultados - Plantill</vt:lpstr>
      <vt:lpstr>Costos (2)</vt:lpstr>
      <vt:lpstr>Matriz de Resultados (2)</vt:lpstr>
      <vt:lpstr>Hoja2</vt:lpstr>
      <vt:lpstr>Datos Proyectos (2)</vt:lpstr>
      <vt:lpstr>Datos Proyectos Final</vt:lpstr>
      <vt:lpstr>Proyectos - Ejecucion - Tiempo</vt:lpstr>
      <vt:lpstr>POA - 2018</vt:lpstr>
      <vt:lpstr>PEP</vt:lpstr>
      <vt:lpstr>ACTIVIDADES ANEXOS POD</vt:lpstr>
      <vt:lpstr>PRODUCTOS, ACTIVIDADES, DETALLE</vt:lpstr>
      <vt:lpstr>'ACTIVIDADES ANEXOS POD'!Print_Area</vt:lpstr>
      <vt:lpstr>Costos!Print_Area</vt:lpstr>
      <vt:lpstr>'Costos (2)'!Print_Area</vt:lpstr>
      <vt:lpstr>'Matriz de Resultados - Plantill'!Print_Area</vt:lpstr>
      <vt:lpstr>'Matriz de Resultados (2)'!Print_Area</vt:lpstr>
      <vt:lpstr>'Medios de Verificación'!Print_Area</vt:lpstr>
      <vt:lpstr>PEP!Print_Area</vt:lpstr>
      <vt:lpstr>'POA - 2018'!Print_Area</vt:lpstr>
      <vt:lpstr>'PRODUCTOS, ACTIVIDADES, DETALLE'!Print_Area</vt:lpstr>
      <vt:lpstr>'Resultados Vs Costos'!Print_Area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 Miguel Garberi</dc:creator>
  <cp:keywords/>
  <cp:lastModifiedBy>Rojas Gonzalez, Sonia Amalia</cp:lastModifiedBy>
  <cp:lastPrinted>2015-09-18T15:35:03Z</cp:lastPrinted>
  <dcterms:created xsi:type="dcterms:W3CDTF">2015-04-20T18:32:13Z</dcterms:created>
  <dcterms:modified xsi:type="dcterms:W3CDTF">2017-06-14T14:04:04Z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Function Operations IDB">
    <vt:lpwstr>8;#Monitoring and Reporting|df3c2aa1-d63e-41aa-b1f5-bb15dee691ca</vt:lpwstr>
  </property>
  <property fmtid="{D5CDD505-2E9C-101B-9397-08002B2CF9AE}" pid="4" name="TaxKeyword">
    <vt:lpwstr/>
  </property>
  <property fmtid="{D5CDD505-2E9C-101B-9397-08002B2CF9AE}" pid="5" name="TaxKeywordTaxHTField">
    <vt:lpwstr/>
  </property>
  <property fmtid="{D5CDD505-2E9C-101B-9397-08002B2CF9AE}" pid="6" name="Series Operations IDB">
    <vt:lpwstr/>
  </property>
  <property fmtid="{D5CDD505-2E9C-101B-9397-08002B2CF9AE}" pid="7" name="Sub-Sector">
    <vt:lpwstr>40;#NATIONAL STATISTICS SYSTEMS AND CENSUSES|360cfdd5-25a5-4528-aaed-eba3c6aa70b0</vt:lpwstr>
  </property>
  <property fmtid="{D5CDD505-2E9C-101B-9397-08002B2CF9AE}" pid="8" name="Fund IDB">
    <vt:lpwstr>4;#ORC|c028a4b2-ad8b-4cf4-9cac-a2ae6a778e23</vt:lpwstr>
  </property>
  <property fmtid="{D5CDD505-2E9C-101B-9397-08002B2CF9AE}" pid="9" name="Country">
    <vt:lpwstr>5;#Argentina|eb1b705c-195f-4c3b-9661-b201f2fee3c5</vt:lpwstr>
  </property>
  <property fmtid="{D5CDD505-2E9C-101B-9397-08002B2CF9AE}" pid="10" name="Sector IDB">
    <vt:lpwstr>36;#REFORM / MODERNIZATION OF THE STATE|c8fda4a7-691a-4c65-b227-9825197b5cd2</vt:lpwstr>
  </property>
  <property fmtid="{D5CDD505-2E9C-101B-9397-08002B2CF9AE}" pid="11" name="_dlc_DocIdItemGuid">
    <vt:lpwstr>9721e255-a6f9-4182-a84c-43d09829f9e4</vt:lpwstr>
  </property>
  <property fmtid="{D5CDD505-2E9C-101B-9397-08002B2CF9AE}" pid="12" name="RecordPoint_ActiveItemMoved">
    <vt:lpwstr>/teams/EZ-AR-LON/AR-L1266/15 LifeCycle Milestones/Draft Area/EER 2. Plan de Ejecución Plurianual AR-L1266 Post QRR.xlsx</vt:lpwstr>
  </property>
  <property fmtid="{D5CDD505-2E9C-101B-9397-08002B2CF9AE}" pid="13" name="RecordStorageActiveId">
    <vt:lpwstr>b646eed9-70e7-49fa-942a-1ad8bead0d07</vt:lpwstr>
  </property>
  <property fmtid="{D5CDD505-2E9C-101B-9397-08002B2CF9AE}" pid="14" name="Disclosure Activity">
    <vt:lpwstr>Loan Proposal</vt:lpwstr>
  </property>
  <property fmtid="{D5CDD505-2E9C-101B-9397-08002B2CF9AE}" pid="15" name="ContentTypeId">
    <vt:lpwstr>0x0101001A458A224826124E8B45B1D613300CFC00325CE81CFE684D41A78BB94A26B6A455</vt:lpwstr>
  </property>
</Properties>
</file>