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xl/styles.xml" ContentType="application/vnd.openxmlformats-officedocument.spreadsheetml.styles+xml"/>
  <Override PartName="/xl/worksheets/sheet6.xml" ContentType="application/vnd.openxmlformats-officedocument.spreadsheetml.worksheet+xml"/>
  <Override PartName="/xl/theme/theme1.xml" ContentType="application/vnd.openxmlformats-officedocument.theme+xml"/>
  <Override PartName="/xl/worksheets/sheet5.xml" ContentType="application/vnd.openxmlformats-officedocument.spreadsheetml.worksheet+xml"/>
  <Override PartName="/docProps/app.xml" ContentType="application/vnd.openxmlformats-officedocument.extended-properties+xml"/>
  <Override PartName="/docProps/custom.xml" ContentType="application/vnd.openxmlformats-officedocument.custom-properties+xml"/>
  <Override PartName="/xl/comments2.xml" ContentType="application/vnd.openxmlformats-officedocument.spreadsheetml.comments+xml"/>
  <Override PartName="/xl/comments1.xml" ContentType="application/vnd.openxmlformats-officedocument.spreadsheetml.comments+xml"/>
  <Override PartName="/docProps/core.xml" ContentType="application/vnd.openxmlformats-package.core-properties+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668"/>
  <workbookPr defaultThemeVersion="124226"/>
  <mc:AlternateContent xmlns:mc="http://schemas.openxmlformats.org/markup-compatibility/2006">
    <mc:Choice Requires="x15">
      <x15ac:absPath xmlns:x15ac="http://schemas.microsoft.com/office/spreadsheetml/2010/11/ac" url="C:\Users\JAVIERR\Desktop\INDEC Post QRR\"/>
    </mc:Choice>
  </mc:AlternateContent>
  <bookViews>
    <workbookView xWindow="0" yWindow="0" windowWidth="10296" windowHeight="6660" firstSheet="1" activeTab="2"/>
  </bookViews>
  <sheets>
    <sheet name="Estructura del Proyecto" sheetId="3" r:id="rId1"/>
    <sheet name="Plan de Adquisiciones" sheetId="2" r:id="rId2"/>
    <sheet name="Detalle Plan de Adquisiciones" sheetId="1" r:id="rId3"/>
    <sheet name="Adquisiciones principales" sheetId="4" r:id="rId4"/>
    <sheet name="ACTIVIDADES ANEXOS POD" sheetId="6" state="hidden" r:id="rId5"/>
    <sheet name=" Profesionales PROSIP" sheetId="5" r:id="rId6"/>
  </sheets>
  <definedNames>
    <definedName name="_xlnm._FilterDatabase" localSheetId="5" hidden="1">' Profesionales PROSIP'!$A$4:$B$53</definedName>
    <definedName name="_xlnm._FilterDatabase" localSheetId="4" hidden="1">'ACTIVIDADES ANEXOS POD'!$A$3:$C$75</definedName>
    <definedName name="_ftn1" localSheetId="5">' Profesionales PROSIP'!#REF!</definedName>
    <definedName name="_ftn1" localSheetId="4">'ACTIVIDADES ANEXOS POD'!#REF!</definedName>
    <definedName name="_ftn1" localSheetId="3">'Adquisiciones principales'!$A$16</definedName>
    <definedName name="_ftnref1" localSheetId="5">' Profesionales PROSIP'!#REF!</definedName>
    <definedName name="_ftnref1" localSheetId="4">'ACTIVIDADES ANEXOS POD'!#REF!</definedName>
    <definedName name="_ftnref1" localSheetId="3">'Adquisiciones principales'!$B$1</definedName>
    <definedName name="_xlnm.Print_Area" localSheetId="5">' Profesionales PROSIP'!$A$4:$E$53</definedName>
    <definedName name="_xlnm.Print_Area" localSheetId="4">'ACTIVIDADES ANEXOS POD'!$A$3:$P$75</definedName>
  </definedNames>
  <calcPr calcId="171027" concurrentCalc="0"/>
</workbook>
</file>

<file path=xl/calcChain.xml><?xml version="1.0" encoding="utf-8"?>
<calcChain xmlns="http://schemas.openxmlformats.org/spreadsheetml/2006/main">
  <c r="P46" i="5" l="1"/>
  <c r="P35" i="5"/>
  <c r="P7" i="5"/>
  <c r="J57" i="5"/>
  <c r="H57" i="5"/>
  <c r="F57" i="5"/>
  <c r="D57" i="5"/>
  <c r="N57" i="5"/>
  <c r="M57" i="5"/>
  <c r="O57" i="5"/>
  <c r="D55" i="5"/>
  <c r="F55" i="5"/>
  <c r="H55" i="5"/>
  <c r="J55" i="5"/>
  <c r="N55" i="5"/>
  <c r="M55" i="5"/>
  <c r="O55" i="5"/>
  <c r="D54" i="5"/>
  <c r="F54" i="5"/>
  <c r="H54" i="5"/>
  <c r="J54" i="5"/>
  <c r="N54" i="5"/>
  <c r="M54" i="5"/>
  <c r="O54" i="5"/>
  <c r="D53" i="5"/>
  <c r="F53" i="5"/>
  <c r="N53" i="5"/>
  <c r="M53" i="5"/>
  <c r="O53" i="5"/>
  <c r="N52" i="5"/>
  <c r="M52" i="5"/>
  <c r="O52" i="5"/>
  <c r="D51" i="5"/>
  <c r="F51" i="5"/>
  <c r="H51" i="5"/>
  <c r="N51" i="5"/>
  <c r="M51" i="5"/>
  <c r="O51" i="5"/>
  <c r="D50" i="5"/>
  <c r="F50" i="5"/>
  <c r="H50" i="5"/>
  <c r="J50" i="5"/>
  <c r="N50" i="5"/>
  <c r="M50" i="5"/>
  <c r="O50" i="5"/>
  <c r="D49" i="5"/>
  <c r="F49" i="5"/>
  <c r="H49" i="5"/>
  <c r="J49" i="5"/>
  <c r="N49" i="5"/>
  <c r="M49" i="5"/>
  <c r="O49" i="5"/>
  <c r="D48" i="5"/>
  <c r="F48" i="5"/>
  <c r="H48" i="5"/>
  <c r="N48" i="5"/>
  <c r="M48" i="5"/>
  <c r="O48" i="5"/>
  <c r="D47" i="5"/>
  <c r="N47" i="5"/>
  <c r="M47" i="5"/>
  <c r="O47" i="5"/>
  <c r="D46" i="5"/>
  <c r="F46" i="5"/>
  <c r="H46" i="5"/>
  <c r="J46" i="5"/>
  <c r="N46" i="5"/>
  <c r="M46" i="5"/>
  <c r="O46" i="5"/>
  <c r="N45" i="5"/>
  <c r="M45" i="5"/>
  <c r="O45" i="5"/>
  <c r="D44" i="5"/>
  <c r="F44" i="5"/>
  <c r="N44" i="5"/>
  <c r="M44" i="5"/>
  <c r="O44" i="5"/>
  <c r="D43" i="5"/>
  <c r="F43" i="5"/>
  <c r="H43" i="5"/>
  <c r="N43" i="5"/>
  <c r="M43" i="5"/>
  <c r="O43" i="5"/>
  <c r="D42" i="5"/>
  <c r="F42" i="5"/>
  <c r="N42" i="5"/>
  <c r="M42" i="5"/>
  <c r="O42" i="5"/>
  <c r="D37" i="5"/>
  <c r="F37" i="5"/>
  <c r="H37" i="5"/>
  <c r="N37" i="5"/>
  <c r="M37" i="5"/>
  <c r="O37" i="5"/>
  <c r="N36" i="5"/>
  <c r="M36" i="5"/>
  <c r="O36" i="5"/>
  <c r="D41" i="5"/>
  <c r="F41" i="5"/>
  <c r="H41" i="5"/>
  <c r="J41" i="5"/>
  <c r="N41" i="5"/>
  <c r="M41" i="5"/>
  <c r="O41" i="5"/>
  <c r="D40" i="5"/>
  <c r="F40" i="5"/>
  <c r="H40" i="5"/>
  <c r="J40" i="5"/>
  <c r="N40" i="5"/>
  <c r="M40" i="5"/>
  <c r="O40" i="5"/>
  <c r="D39" i="5"/>
  <c r="F39" i="5"/>
  <c r="H39" i="5"/>
  <c r="N39" i="5"/>
  <c r="M39" i="5"/>
  <c r="O39" i="5"/>
  <c r="D38" i="5"/>
  <c r="N38" i="5"/>
  <c r="M38" i="5"/>
  <c r="O38" i="5"/>
  <c r="N35" i="5"/>
  <c r="M35" i="5"/>
  <c r="O35" i="5"/>
  <c r="D30" i="5"/>
  <c r="F30" i="5"/>
  <c r="H30" i="5"/>
  <c r="J30" i="5"/>
  <c r="N30" i="5"/>
  <c r="M30" i="5"/>
  <c r="O30" i="5"/>
  <c r="F29" i="5"/>
  <c r="N29" i="5"/>
  <c r="M29" i="5"/>
  <c r="O29" i="5"/>
  <c r="D34" i="5"/>
  <c r="N34" i="5"/>
  <c r="M34" i="5"/>
  <c r="O34" i="5"/>
  <c r="F33" i="5"/>
  <c r="N33" i="5"/>
  <c r="M33" i="5"/>
  <c r="O33" i="5"/>
  <c r="D32" i="5"/>
  <c r="F32" i="5"/>
  <c r="H32" i="5"/>
  <c r="J32" i="5"/>
  <c r="N32" i="5"/>
  <c r="M32" i="5"/>
  <c r="O32" i="5"/>
  <c r="D31" i="5"/>
  <c r="F31" i="5"/>
  <c r="H31" i="5"/>
  <c r="J31" i="5"/>
  <c r="N31" i="5"/>
  <c r="M31" i="5"/>
  <c r="O31" i="5"/>
  <c r="N28" i="5"/>
  <c r="M28" i="5"/>
  <c r="O28" i="5"/>
  <c r="D21" i="5"/>
  <c r="F21" i="5"/>
  <c r="H21" i="5"/>
  <c r="J21" i="5"/>
  <c r="N21" i="5"/>
  <c r="M21" i="5"/>
  <c r="O21" i="5"/>
  <c r="D20" i="5"/>
  <c r="F20" i="5"/>
  <c r="H20" i="5"/>
  <c r="J20" i="5"/>
  <c r="N20" i="5"/>
  <c r="M20" i="5"/>
  <c r="O20" i="5"/>
  <c r="D27" i="5"/>
  <c r="F27" i="5"/>
  <c r="H27" i="5"/>
  <c r="J27" i="5"/>
  <c r="N27" i="5"/>
  <c r="M27" i="5"/>
  <c r="O27" i="5"/>
  <c r="D26" i="5"/>
  <c r="F26" i="5"/>
  <c r="H26" i="5"/>
  <c r="J26" i="5"/>
  <c r="N26" i="5"/>
  <c r="M26" i="5"/>
  <c r="O26" i="5"/>
  <c r="D25" i="5"/>
  <c r="F25" i="5"/>
  <c r="H25" i="5"/>
  <c r="J25" i="5"/>
  <c r="N25" i="5"/>
  <c r="M25" i="5"/>
  <c r="O25" i="5"/>
  <c r="N24" i="5"/>
  <c r="M24" i="5"/>
  <c r="O24" i="5"/>
  <c r="D23" i="5"/>
  <c r="F23" i="5"/>
  <c r="H23" i="5"/>
  <c r="J23" i="5"/>
  <c r="N23" i="5"/>
  <c r="M23" i="5"/>
  <c r="O23" i="5"/>
  <c r="D22" i="5"/>
  <c r="F22" i="5"/>
  <c r="H22" i="5"/>
  <c r="J22" i="5"/>
  <c r="N22" i="5"/>
  <c r="M22" i="5"/>
  <c r="O22" i="5"/>
  <c r="D19" i="5"/>
  <c r="F19" i="5"/>
  <c r="H19" i="5"/>
  <c r="J19" i="5"/>
  <c r="N19" i="5"/>
  <c r="M19" i="5"/>
  <c r="O19" i="5"/>
  <c r="D11" i="5"/>
  <c r="F11" i="5"/>
  <c r="H11" i="5"/>
  <c r="J11" i="5"/>
  <c r="N11" i="5"/>
  <c r="M11" i="5"/>
  <c r="O11" i="5"/>
  <c r="N10" i="5"/>
  <c r="M10" i="5"/>
  <c r="O10" i="5"/>
  <c r="D9" i="5"/>
  <c r="F9" i="5"/>
  <c r="H9" i="5"/>
  <c r="J9" i="5"/>
  <c r="N9" i="5"/>
  <c r="M9" i="5"/>
  <c r="O9" i="5"/>
  <c r="D18" i="5"/>
  <c r="F18" i="5"/>
  <c r="H18" i="5"/>
  <c r="J18" i="5"/>
  <c r="N18" i="5"/>
  <c r="M18" i="5"/>
  <c r="O18" i="5"/>
  <c r="D17" i="5"/>
  <c r="F17" i="5"/>
  <c r="H17" i="5"/>
  <c r="J17" i="5"/>
  <c r="N17" i="5"/>
  <c r="M17" i="5"/>
  <c r="O17" i="5"/>
  <c r="N16" i="5"/>
  <c r="M16" i="5"/>
  <c r="O16" i="5"/>
  <c r="F15" i="5"/>
  <c r="H15" i="5"/>
  <c r="J15" i="5"/>
  <c r="N15" i="5"/>
  <c r="M15" i="5"/>
  <c r="O15" i="5"/>
  <c r="D14" i="5"/>
  <c r="N14" i="5"/>
  <c r="M14" i="5"/>
  <c r="O14" i="5"/>
  <c r="D13" i="5"/>
  <c r="N13" i="5"/>
  <c r="M13" i="5"/>
  <c r="O13" i="5"/>
  <c r="D12" i="5"/>
  <c r="N12" i="5"/>
  <c r="M12" i="5"/>
  <c r="O12" i="5"/>
  <c r="D8" i="5"/>
  <c r="N8" i="5"/>
  <c r="M8" i="5"/>
  <c r="O8" i="5"/>
  <c r="N7" i="5"/>
  <c r="M7" i="5"/>
  <c r="O7" i="5"/>
  <c r="O86" i="6"/>
  <c r="O87" i="6"/>
  <c r="G88" i="6"/>
  <c r="O88" i="6"/>
  <c r="G22" i="1"/>
  <c r="D7" i="4"/>
  <c r="E78" i="6"/>
  <c r="G78" i="6"/>
  <c r="I78" i="6"/>
  <c r="K78" i="6"/>
  <c r="O78" i="6"/>
  <c r="G20" i="1"/>
  <c r="D6" i="4"/>
  <c r="O6" i="6"/>
  <c r="I8" i="6"/>
  <c r="O8" i="6"/>
  <c r="O9" i="6"/>
  <c r="G10" i="1"/>
  <c r="D3" i="4"/>
  <c r="O7" i="6"/>
  <c r="G14" i="1"/>
  <c r="D4" i="4"/>
  <c r="I60" i="1"/>
  <c r="O13" i="6"/>
  <c r="E14" i="6"/>
  <c r="O14" i="6"/>
  <c r="E15" i="6"/>
  <c r="O15" i="6"/>
  <c r="E16" i="6"/>
  <c r="O16" i="6"/>
  <c r="E17" i="6"/>
  <c r="O17" i="6"/>
  <c r="G18" i="6"/>
  <c r="I18" i="6"/>
  <c r="K18" i="6"/>
  <c r="O18" i="6"/>
  <c r="O19" i="6"/>
  <c r="E20" i="6"/>
  <c r="G20" i="6"/>
  <c r="I20" i="6"/>
  <c r="K20" i="6"/>
  <c r="O20" i="6"/>
  <c r="E21" i="6"/>
  <c r="G21" i="6"/>
  <c r="I21" i="6"/>
  <c r="K21" i="6"/>
  <c r="O21" i="6"/>
  <c r="E22" i="6"/>
  <c r="G22" i="6"/>
  <c r="I22" i="6"/>
  <c r="K22" i="6"/>
  <c r="O22" i="6"/>
  <c r="O23" i="6"/>
  <c r="E24" i="6"/>
  <c r="G24" i="6"/>
  <c r="I24" i="6"/>
  <c r="K24" i="6"/>
  <c r="O24" i="6"/>
  <c r="E25" i="6"/>
  <c r="G25" i="6"/>
  <c r="I25" i="6"/>
  <c r="K25" i="6"/>
  <c r="O25" i="6"/>
  <c r="E26" i="6"/>
  <c r="G26" i="6"/>
  <c r="I26" i="6"/>
  <c r="K26" i="6"/>
  <c r="O26" i="6"/>
  <c r="E27" i="6"/>
  <c r="G27" i="6"/>
  <c r="I27" i="6"/>
  <c r="K27" i="6"/>
  <c r="O27" i="6"/>
  <c r="O28" i="6"/>
  <c r="E29" i="6"/>
  <c r="G29" i="6"/>
  <c r="I29" i="6"/>
  <c r="K29" i="6"/>
  <c r="O29" i="6"/>
  <c r="E30" i="6"/>
  <c r="G30" i="6"/>
  <c r="I30" i="6"/>
  <c r="K30" i="6"/>
  <c r="O30" i="6"/>
  <c r="E31" i="6"/>
  <c r="G31" i="6"/>
  <c r="I31" i="6"/>
  <c r="K31" i="6"/>
  <c r="O31" i="6"/>
  <c r="E32" i="6"/>
  <c r="G32" i="6"/>
  <c r="I32" i="6"/>
  <c r="K32" i="6"/>
  <c r="O32" i="6"/>
  <c r="E33" i="6"/>
  <c r="G33" i="6"/>
  <c r="I33" i="6"/>
  <c r="K33" i="6"/>
  <c r="O33" i="6"/>
  <c r="O34" i="6"/>
  <c r="E35" i="6"/>
  <c r="G35" i="6"/>
  <c r="I35" i="6"/>
  <c r="K35" i="6"/>
  <c r="O35" i="6"/>
  <c r="E36" i="6"/>
  <c r="G36" i="6"/>
  <c r="I36" i="6"/>
  <c r="K36" i="6"/>
  <c r="O36" i="6"/>
  <c r="G37" i="6"/>
  <c r="O37" i="6"/>
  <c r="E38" i="6"/>
  <c r="O38" i="6"/>
  <c r="G39" i="6"/>
  <c r="O39" i="6"/>
  <c r="E40" i="6"/>
  <c r="G40" i="6"/>
  <c r="I40" i="6"/>
  <c r="K40" i="6"/>
  <c r="O40" i="6"/>
  <c r="O41" i="6"/>
  <c r="E42" i="6"/>
  <c r="O42" i="6"/>
  <c r="E43" i="6"/>
  <c r="G43" i="6"/>
  <c r="I43" i="6"/>
  <c r="O43" i="6"/>
  <c r="E44" i="6"/>
  <c r="G44" i="6"/>
  <c r="I44" i="6"/>
  <c r="K44" i="6"/>
  <c r="O44" i="6"/>
  <c r="E45" i="6"/>
  <c r="G45" i="6"/>
  <c r="I45" i="6"/>
  <c r="K45" i="6"/>
  <c r="O45" i="6"/>
  <c r="O46" i="6"/>
  <c r="E47" i="6"/>
  <c r="G47" i="6"/>
  <c r="I47" i="6"/>
  <c r="O47" i="6"/>
  <c r="E48" i="6"/>
  <c r="G48" i="6"/>
  <c r="O48" i="6"/>
  <c r="E49" i="6"/>
  <c r="G49" i="6"/>
  <c r="I49" i="6"/>
  <c r="O49" i="6"/>
  <c r="E50" i="6"/>
  <c r="G50" i="6"/>
  <c r="O50" i="6"/>
  <c r="O51" i="6"/>
  <c r="E52" i="6"/>
  <c r="G52" i="6"/>
  <c r="I52" i="6"/>
  <c r="K52" i="6"/>
  <c r="O52" i="6"/>
  <c r="E53" i="6"/>
  <c r="O53" i="6"/>
  <c r="E54" i="6"/>
  <c r="G54" i="6"/>
  <c r="I54" i="6"/>
  <c r="O54" i="6"/>
  <c r="E55" i="6"/>
  <c r="G55" i="6"/>
  <c r="I55" i="6"/>
  <c r="K55" i="6"/>
  <c r="O55" i="6"/>
  <c r="E56" i="6"/>
  <c r="G56" i="6"/>
  <c r="I56" i="6"/>
  <c r="K56" i="6"/>
  <c r="O56" i="6"/>
  <c r="E57" i="6"/>
  <c r="G57" i="6"/>
  <c r="I57" i="6"/>
  <c r="O57" i="6"/>
  <c r="O58" i="6"/>
  <c r="E59" i="6"/>
  <c r="G59" i="6"/>
  <c r="O59" i="6"/>
  <c r="E60" i="6"/>
  <c r="G60" i="6"/>
  <c r="I60" i="6"/>
  <c r="K60" i="6"/>
  <c r="O60" i="6"/>
  <c r="E61" i="6"/>
  <c r="G61" i="6"/>
  <c r="I61" i="6"/>
  <c r="K61" i="6"/>
  <c r="O61" i="6"/>
  <c r="E62" i="6"/>
  <c r="G62" i="6"/>
  <c r="I62" i="6"/>
  <c r="K62" i="6"/>
  <c r="O62" i="6"/>
  <c r="S13" i="6"/>
  <c r="O63" i="6"/>
  <c r="O64" i="6"/>
  <c r="S63" i="6"/>
  <c r="B16" i="2"/>
  <c r="G60" i="1"/>
  <c r="G5" i="6"/>
  <c r="I5" i="6"/>
  <c r="O5" i="6"/>
  <c r="G15" i="1"/>
  <c r="N76" i="6"/>
  <c r="N75" i="6"/>
  <c r="N74" i="6"/>
  <c r="N73" i="6"/>
  <c r="N72" i="6"/>
  <c r="G26" i="1"/>
  <c r="E82" i="6"/>
  <c r="G82" i="6"/>
  <c r="I82" i="6"/>
  <c r="K82" i="6"/>
  <c r="O82" i="6"/>
  <c r="G23" i="1"/>
  <c r="G24" i="1"/>
  <c r="B25" i="1"/>
  <c r="E11" i="6"/>
  <c r="G11" i="1"/>
  <c r="E10" i="6"/>
  <c r="G10" i="6"/>
  <c r="I10" i="6"/>
  <c r="K10" i="6"/>
  <c r="O10" i="6"/>
  <c r="O11" i="6"/>
  <c r="E12" i="6"/>
  <c r="O12" i="6"/>
  <c r="S5" i="6"/>
  <c r="B11" i="2"/>
  <c r="O77" i="6"/>
  <c r="O79" i="6"/>
  <c r="E80" i="6"/>
  <c r="G80" i="6"/>
  <c r="I80" i="6"/>
  <c r="O80" i="6"/>
  <c r="G81" i="6"/>
  <c r="O81" i="6"/>
  <c r="O83" i="6"/>
  <c r="S77" i="6"/>
  <c r="B12" i="2"/>
  <c r="G84" i="6"/>
  <c r="I84" i="6"/>
  <c r="O84" i="6"/>
  <c r="E85" i="6"/>
  <c r="G85" i="6"/>
  <c r="I85" i="6"/>
  <c r="K85" i="6"/>
  <c r="O85" i="6"/>
  <c r="S84" i="6"/>
  <c r="B13" i="2"/>
  <c r="E65" i="6"/>
  <c r="O65" i="6"/>
  <c r="O66" i="6"/>
  <c r="O67" i="6"/>
  <c r="E68" i="6"/>
  <c r="O68" i="6"/>
  <c r="G69" i="6"/>
  <c r="I69" i="6"/>
  <c r="K69" i="6"/>
  <c r="O69" i="6"/>
  <c r="I70" i="6"/>
  <c r="O70" i="6"/>
  <c r="O71" i="6"/>
  <c r="S65" i="6"/>
  <c r="B15" i="2"/>
  <c r="B18" i="2"/>
  <c r="N5" i="6"/>
  <c r="N6" i="6"/>
  <c r="N7" i="6"/>
  <c r="N8" i="6"/>
  <c r="N9" i="6"/>
  <c r="N10" i="6"/>
  <c r="N11" i="6"/>
  <c r="N12" i="6"/>
  <c r="R5" i="6"/>
  <c r="C11" i="2"/>
  <c r="N77" i="6"/>
  <c r="N78" i="6"/>
  <c r="J79" i="6"/>
  <c r="H79" i="6"/>
  <c r="F79" i="6"/>
  <c r="D79" i="6"/>
  <c r="N79" i="6"/>
  <c r="N80" i="6"/>
  <c r="N81" i="6"/>
  <c r="N82" i="6"/>
  <c r="N83" i="6"/>
  <c r="R77" i="6"/>
  <c r="R72" i="6"/>
  <c r="C12" i="2"/>
  <c r="N84" i="6"/>
  <c r="N85" i="6"/>
  <c r="N86" i="6"/>
  <c r="N87" i="6"/>
  <c r="N88" i="6"/>
  <c r="R84" i="6"/>
  <c r="C13" i="2"/>
  <c r="C14" i="2"/>
  <c r="N65" i="6"/>
  <c r="N66" i="6"/>
  <c r="N67" i="6"/>
  <c r="N68" i="6"/>
  <c r="N69" i="6"/>
  <c r="N70" i="6"/>
  <c r="N71" i="6"/>
  <c r="R65" i="6"/>
  <c r="C15" i="2"/>
  <c r="N13" i="6"/>
  <c r="N14" i="6"/>
  <c r="N15" i="6"/>
  <c r="N16" i="6"/>
  <c r="N17" i="6"/>
  <c r="N18" i="6"/>
  <c r="N19" i="6"/>
  <c r="N20" i="6"/>
  <c r="N21" i="6"/>
  <c r="N22" i="6"/>
  <c r="N23" i="6"/>
  <c r="N24" i="6"/>
  <c r="N25" i="6"/>
  <c r="N26" i="6"/>
  <c r="N27" i="6"/>
  <c r="N28" i="6"/>
  <c r="N29" i="6"/>
  <c r="N30" i="6"/>
  <c r="N31" i="6"/>
  <c r="N32" i="6"/>
  <c r="N33" i="6"/>
  <c r="N34" i="6"/>
  <c r="N35" i="6"/>
  <c r="N36" i="6"/>
  <c r="N37" i="6"/>
  <c r="N38" i="6"/>
  <c r="N39" i="6"/>
  <c r="N40" i="6"/>
  <c r="N41" i="6"/>
  <c r="N42" i="6"/>
  <c r="N43" i="6"/>
  <c r="N44" i="6"/>
  <c r="N45" i="6"/>
  <c r="N46" i="6"/>
  <c r="N47" i="6"/>
  <c r="N48" i="6"/>
  <c r="N49" i="6"/>
  <c r="N50" i="6"/>
  <c r="N51" i="6"/>
  <c r="N52" i="6"/>
  <c r="N53" i="6"/>
  <c r="N54" i="6"/>
  <c r="N55" i="6"/>
  <c r="N56" i="6"/>
  <c r="N57" i="6"/>
  <c r="N58" i="6"/>
  <c r="N59" i="6"/>
  <c r="N60" i="6"/>
  <c r="N61" i="6"/>
  <c r="N62" i="6"/>
  <c r="R13" i="6"/>
  <c r="N63" i="6"/>
  <c r="N64" i="6"/>
  <c r="R63" i="6"/>
  <c r="C16" i="2"/>
  <c r="C18" i="2"/>
  <c r="P81" i="6"/>
  <c r="O72" i="6"/>
  <c r="O73" i="6"/>
  <c r="O74" i="6"/>
  <c r="O75" i="6"/>
  <c r="O76" i="6"/>
  <c r="S72" i="6"/>
  <c r="F1" i="6"/>
  <c r="G1" i="6"/>
  <c r="P5" i="6"/>
  <c r="P77" i="6"/>
  <c r="P6" i="6"/>
  <c r="P7" i="6"/>
  <c r="P8" i="6"/>
  <c r="P9" i="6"/>
  <c r="P65" i="6"/>
  <c r="P78" i="6"/>
  <c r="P66" i="6"/>
  <c r="P13" i="6"/>
  <c r="P62" i="6"/>
  <c r="P71" i="6"/>
  <c r="P70" i="6"/>
  <c r="P69" i="6"/>
  <c r="P12" i="6"/>
  <c r="P11" i="6"/>
  <c r="P83" i="6"/>
  <c r="P82" i="6"/>
  <c r="P61" i="6"/>
  <c r="P60" i="6"/>
  <c r="P59" i="6"/>
  <c r="P58" i="6"/>
  <c r="P57" i="6"/>
  <c r="P88" i="6"/>
  <c r="P76" i="6"/>
  <c r="P63" i="6"/>
  <c r="P56" i="6"/>
  <c r="P55" i="6"/>
  <c r="P54" i="6"/>
  <c r="P53" i="6"/>
  <c r="P52" i="6"/>
  <c r="P64" i="6"/>
  <c r="P51" i="6"/>
  <c r="P50" i="6"/>
  <c r="P49" i="6"/>
  <c r="P87" i="6"/>
  <c r="P48" i="6"/>
  <c r="P47" i="6"/>
  <c r="P46" i="6"/>
  <c r="P80" i="6"/>
  <c r="P86" i="6"/>
  <c r="P75" i="6"/>
  <c r="P45" i="6"/>
  <c r="P44" i="6"/>
  <c r="P43" i="6"/>
  <c r="P42" i="6"/>
  <c r="P41" i="6"/>
  <c r="P68" i="6"/>
  <c r="P40" i="6"/>
  <c r="P39" i="6"/>
  <c r="P38" i="6"/>
  <c r="P37" i="6"/>
  <c r="P74" i="6"/>
  <c r="P73" i="6"/>
  <c r="P67" i="6"/>
  <c r="P85" i="6"/>
  <c r="P36" i="6"/>
  <c r="P35" i="6"/>
  <c r="P34" i="6"/>
  <c r="P33" i="6"/>
  <c r="P32" i="6"/>
  <c r="P31" i="6"/>
  <c r="P30" i="6"/>
  <c r="P29" i="6"/>
  <c r="P72" i="6"/>
  <c r="P84" i="6"/>
  <c r="P28" i="6"/>
  <c r="P27" i="6"/>
  <c r="P26" i="6"/>
  <c r="P25" i="6"/>
  <c r="P79" i="6"/>
  <c r="P14" i="6"/>
  <c r="P15" i="6"/>
  <c r="P16" i="6"/>
  <c r="P17" i="6"/>
  <c r="P18" i="6"/>
  <c r="P19" i="6"/>
  <c r="P20" i="6"/>
  <c r="P10" i="6"/>
  <c r="P21" i="6"/>
  <c r="P22" i="6"/>
  <c r="P23" i="6"/>
  <c r="P24" i="6"/>
  <c r="C26" i="2"/>
  <c r="H38" i="1"/>
  <c r="H27" i="1"/>
  <c r="B26" i="2"/>
</calcChain>
</file>

<file path=xl/comments1.xml><?xml version="1.0" encoding="utf-8"?>
<comments xmlns="http://schemas.openxmlformats.org/spreadsheetml/2006/main">
  <authors>
    <author>Carmenza Sevilla</author>
  </authors>
  <commentList>
    <comment ref="A16" authorId="0" shapeId="0">
      <text>
        <r>
          <rPr>
            <b/>
            <sz val="9"/>
            <color indexed="81"/>
            <rFont val="Tahoma"/>
            <family val="2"/>
          </rPr>
          <t>Se contempla el mecanismo de un ente facilitador para lacontratación de consultores individuales y jóvenes profesionales. Se incluye el costo de la contratación del personal de campo para el levantamiento de información a través de las Direcciones Provinciales de Estadística.
El detalle de los potenciales objeto de las contrataciones se explican en el RO.</t>
        </r>
      </text>
    </comment>
    <comment ref="A17" authorId="0" shapeId="0">
      <text>
        <r>
          <rPr>
            <b/>
            <sz val="9"/>
            <color indexed="81"/>
            <rFont val="Tahoma"/>
            <family val="2"/>
          </rPr>
          <t>Dado que las actividades preparatorias a los Censos de Población y Económico iniciaron en el año de aprobación de la operación se lo considera como reconocimiento de aporte local</t>
        </r>
      </text>
    </comment>
  </commentList>
</comments>
</file>

<file path=xl/comments2.xml><?xml version="1.0" encoding="utf-8"?>
<comments xmlns="http://schemas.openxmlformats.org/spreadsheetml/2006/main">
  <authors>
    <author>Carmenza Sevilla</author>
    <author>Araneo Aguero, Maria Elena</author>
  </authors>
  <commentList>
    <comment ref="B10" authorId="0" shapeId="0">
      <text>
        <r>
          <rPr>
            <b/>
            <sz val="9"/>
            <color indexed="81"/>
            <rFont val="Tahoma"/>
            <family val="2"/>
          </rPr>
          <t>Se unifica la adquisción de equipamiento tecnológico, la UEP deberá verificar las especificaciones técnicas para ver si se realiza una sola adquisición o por separado
Actividades 1.1.3, 1.1.5 y 1.1.6</t>
        </r>
      </text>
    </comment>
    <comment ref="B22" authorId="0" shapeId="0">
      <text>
        <r>
          <rPr>
            <b/>
            <sz val="9"/>
            <color indexed="81"/>
            <rFont val="Tahoma"/>
            <family val="2"/>
          </rPr>
          <t>Actividades 2.1.8, 2.2.2 y 3.2.4</t>
        </r>
      </text>
    </comment>
    <comment ref="D35" authorId="1" shapeId="0">
      <text>
        <r>
          <rPr>
            <b/>
            <sz val="9"/>
            <color indexed="81"/>
            <rFont val="Tahoma"/>
            <family val="2"/>
          </rPr>
          <t>Araneo Aguero, Maria Elena:</t>
        </r>
        <r>
          <rPr>
            <sz val="9"/>
            <color indexed="81"/>
            <rFont val="Tahoma"/>
            <family val="2"/>
          </rPr>
          <t xml:space="preserve">
Seleccion basada en el menor costo. Publicidad Internacional. </t>
        </r>
      </text>
    </comment>
  </commentList>
</comments>
</file>

<file path=xl/comments3.xml><?xml version="1.0" encoding="utf-8"?>
<comments xmlns="http://schemas.openxmlformats.org/spreadsheetml/2006/main">
  <authors>
    <author>Carmenza Sevilla</author>
  </authors>
  <commentList>
    <comment ref="C63" authorId="0" shapeId="0">
      <text>
        <r>
          <rPr>
            <sz val="9"/>
            <color indexed="81"/>
            <rFont val="Tahoma"/>
            <family val="2"/>
          </rPr>
          <t>Por oportunidad, el censo económico tiene planificado realizarse en 2019 por lo que el levantamiento de unidades económicas debe ser relevado con anterioridad al archivo de domicilios.</t>
        </r>
      </text>
    </comment>
    <comment ref="C69" authorId="0" shapeId="0">
      <text>
        <r>
          <rPr>
            <b/>
            <sz val="9"/>
            <color indexed="81"/>
            <rFont val="Tahoma"/>
            <family val="2"/>
          </rPr>
          <t>La audioria no tiene costo</t>
        </r>
      </text>
    </comment>
  </commentList>
</comments>
</file>

<file path=xl/sharedStrings.xml><?xml version="1.0" encoding="utf-8"?>
<sst xmlns="http://schemas.openxmlformats.org/spreadsheetml/2006/main" count="751" uniqueCount="326">
  <si>
    <t>INFORMACIÓN PARA CARGA INICIAL DEL PLAN DE ADQUISICIONES (EN CURSO Y/O ULTIMO PRESENTADO)</t>
  </si>
  <si>
    <t>OBRAS</t>
  </si>
  <si>
    <r>
      <t xml:space="preserve">Método de Selección/Adquisición
</t>
    </r>
    <r>
      <rPr>
        <i/>
        <sz val="10"/>
        <color indexed="9"/>
        <rFont val="Calibri"/>
        <family val="2"/>
      </rPr>
      <t>(Seleccionar una de las opciones)</t>
    </r>
    <r>
      <rPr>
        <sz val="10"/>
        <color indexed="9"/>
        <rFont val="Calibri"/>
        <family val="2"/>
      </rPr>
      <t>:</t>
    </r>
  </si>
  <si>
    <t>Cantidad de Lotes :</t>
  </si>
  <si>
    <t>Número de Proceso:</t>
  </si>
  <si>
    <t>Documento de Licitación</t>
  </si>
  <si>
    <t>Firma del Contrato</t>
  </si>
  <si>
    <t>Unidad Ejecutora:</t>
  </si>
  <si>
    <t>Actividad:</t>
  </si>
  <si>
    <t>Descripción adicional:</t>
  </si>
  <si>
    <t>Fechas</t>
  </si>
  <si>
    <t>BIENES</t>
  </si>
  <si>
    <r>
      <t xml:space="preserve">Método de Adquisición
</t>
    </r>
    <r>
      <rPr>
        <i/>
        <sz val="10"/>
        <color indexed="9"/>
        <rFont val="Calibri"/>
        <family val="2"/>
      </rPr>
      <t>(Seleccionar una de las opciones)</t>
    </r>
    <r>
      <rPr>
        <sz val="10"/>
        <color indexed="9"/>
        <rFont val="Calibri"/>
        <family val="2"/>
      </rPr>
      <t>:</t>
    </r>
  </si>
  <si>
    <t>SERVICIOS DE NO CONSULTORÍA</t>
  </si>
  <si>
    <t>CONSULTORÍAS FIRMAS</t>
  </si>
  <si>
    <t>Aviso de Expresiones de Interés</t>
  </si>
  <si>
    <t>CONSULTORÍAS INDIVIDUOS</t>
  </si>
  <si>
    <t>No Objeción a los TdR de la Actividad</t>
  </si>
  <si>
    <t>Firma Contrato</t>
  </si>
  <si>
    <t>CAPACITACIÓN</t>
  </si>
  <si>
    <t>SUBPROYECTOS</t>
  </si>
  <si>
    <t>Cantidad Estimada de Subproyectos:</t>
  </si>
  <si>
    <t>Firma del Contrato / Convenio por Adjudicación de los Subproyectos</t>
  </si>
  <si>
    <t>Fecha de 
Transferencia</t>
  </si>
  <si>
    <t>Previsto</t>
  </si>
  <si>
    <t>Rechazo de Ofertas</t>
  </si>
  <si>
    <t>Contrato En Ejecución</t>
  </si>
  <si>
    <t>Contrato Terminado</t>
  </si>
  <si>
    <t>Licitación Pública Nacional </t>
  </si>
  <si>
    <t>Contratación Directa </t>
  </si>
  <si>
    <t>Licitación Internacional Limitada </t>
  </si>
  <si>
    <t>Licitación Pública Internacional </t>
  </si>
  <si>
    <t>Licitación Pública Internacional con Precalificación</t>
  </si>
  <si>
    <t>Licitación Pública Internacional en 2 etapas </t>
  </si>
  <si>
    <t>Licitación Pública Internacional por Lotes </t>
  </si>
  <si>
    <t>Comparación de Calificaciones</t>
  </si>
  <si>
    <t>Selección basada en el menor costo </t>
  </si>
  <si>
    <t>Selección Basado en Presupuesto Fijo </t>
  </si>
  <si>
    <t>Llave en mano</t>
  </si>
  <si>
    <t>Bienes </t>
  </si>
  <si>
    <t>Precios Unitarios</t>
  </si>
  <si>
    <t>Suma Alzada</t>
  </si>
  <si>
    <t>Obras </t>
  </si>
  <si>
    <t>Suma alzada</t>
  </si>
  <si>
    <t>Servicios de No Consultoría </t>
  </si>
  <si>
    <t>Suma global</t>
  </si>
  <si>
    <t>Consultoría - Firmas </t>
  </si>
  <si>
    <t>Suma global + Gastos Reembolsables</t>
  </si>
  <si>
    <t>Tiempo Trabajado</t>
  </si>
  <si>
    <t>Consultoría - Individuos </t>
  </si>
  <si>
    <t>Adquisición de Bienes - Sector Salud</t>
  </si>
  <si>
    <t>Comparación de Precios para Bienes</t>
  </si>
  <si>
    <t>Especificaciones Técnicas</t>
  </si>
  <si>
    <t>Suministro e instalación de plantas y equipos</t>
  </si>
  <si>
    <t>Suministro e instalación de sist. de información</t>
  </si>
  <si>
    <t>Adquisición de Servicios de no consultoría</t>
  </si>
  <si>
    <t>Solicitud de Propuestas y Términos de Referencia</t>
  </si>
  <si>
    <t>Términos de Referencia</t>
  </si>
  <si>
    <t>3CV</t>
  </si>
  <si>
    <t>Objeto de la Transferencia:</t>
  </si>
  <si>
    <t>INFORMACIÓN PARA CARGA INICIAL DEL PLAN DE ADQUISICIONES 
EN CURSO Y/O ULTIMO PRESENTADO</t>
  </si>
  <si>
    <t>1. Cobertura del Plan de Adquisiciones</t>
  </si>
  <si>
    <t>Dato</t>
  </si>
  <si>
    <t>Desde</t>
  </si>
  <si>
    <t>Hasta</t>
  </si>
  <si>
    <t>Cobertura del Plan de Adquisiciones:</t>
  </si>
  <si>
    <t>2. Versión del Plan de Adquisiciones</t>
  </si>
  <si>
    <t>3. Tipos de Gasto</t>
  </si>
  <si>
    <t>Categoría de Adquisición</t>
  </si>
  <si>
    <t>Monto Financiado por el Banco</t>
  </si>
  <si>
    <t>Monto Total Proyecto (Incluyendo Contraparte)</t>
  </si>
  <si>
    <t>Bienes</t>
  </si>
  <si>
    <t>Servicios de No Consultoría</t>
  </si>
  <si>
    <t>Capacitación</t>
  </si>
  <si>
    <t>Gastos Operativos</t>
  </si>
  <si>
    <t>Total</t>
  </si>
  <si>
    <t>Nombre Organismo Sub-Ejecutor (si aplica)</t>
  </si>
  <si>
    <t>Iniciales Organismo Sub-ejecutor</t>
  </si>
  <si>
    <r>
      <rPr>
        <b/>
        <sz val="10"/>
        <color indexed="10"/>
        <rFont val="Calibri"/>
        <family val="2"/>
      </rPr>
      <t xml:space="preserve">NOTA: </t>
    </r>
    <r>
      <rPr>
        <sz val="10"/>
        <rFont val="Calibri"/>
        <family val="2"/>
      </rPr>
      <t xml:space="preserve">
</t>
    </r>
    <r>
      <rPr>
        <b/>
        <sz val="10"/>
        <rFont val="Calibri"/>
        <family val="2"/>
      </rPr>
      <t>1.</t>
    </r>
    <r>
      <rPr>
        <sz val="10"/>
        <rFont val="Calibri"/>
        <family val="2"/>
      </rPr>
      <t xml:space="preserve"> Solo puede existir un Organismo Coordinador que "coordina" y hace envio del Plan de Adquisiciones al Banco
</t>
    </r>
    <r>
      <rPr>
        <b/>
        <sz val="10"/>
        <rFont val="Calibri"/>
        <family val="2"/>
      </rPr>
      <t>2.</t>
    </r>
    <r>
      <rPr>
        <sz val="10"/>
        <rFont val="Calibri"/>
        <family val="2"/>
      </rPr>
      <t xml:space="preserve"> Para Cada Organismo Sub-ejecutor hay que cargar una ficha # 2 por separado ingresando los procesos que les corresponde</t>
    </r>
  </si>
  <si>
    <t>COMPONENTES? (SI / NO)</t>
  </si>
  <si>
    <t>Nombre de los componentes (listar por numero o letra)</t>
  </si>
  <si>
    <r>
      <rPr>
        <b/>
        <sz val="10"/>
        <color indexed="10"/>
        <rFont val="Calibri"/>
        <family val="2"/>
      </rPr>
      <t>NOTA:</t>
    </r>
    <r>
      <rPr>
        <sz val="10"/>
        <rFont val="Calibri"/>
        <family val="2"/>
      </rPr>
      <t xml:space="preserve">
Hacer nombramiento de los componentes que figuran en el acuerdo de prestamo; solo utilizar los componentes principales y no los sub-componentes</t>
    </r>
  </si>
  <si>
    <t>Nombre Organismo Prestatario</t>
  </si>
  <si>
    <t>Aviso Especial de Adquisiciones</t>
  </si>
  <si>
    <t>Monto Estimado % BID:</t>
  </si>
  <si>
    <t>Monto Estimado % Contraparte:</t>
  </si>
  <si>
    <t xml:space="preserve">Monto Estimado </t>
  </si>
  <si>
    <t>4. Componentes</t>
  </si>
  <si>
    <t>Componente de Inversión</t>
  </si>
  <si>
    <t>Ex-Post</t>
  </si>
  <si>
    <t>Ex-Ante</t>
  </si>
  <si>
    <r>
      <t xml:space="preserve">Método de Revisión </t>
    </r>
    <r>
      <rPr>
        <i/>
        <sz val="10"/>
        <color indexed="9"/>
        <rFont val="Calibri"/>
        <family val="2"/>
      </rPr>
      <t>(Seleccionar una de las opciones)</t>
    </r>
    <r>
      <rPr>
        <sz val="10"/>
        <color indexed="9"/>
        <rFont val="Calibri"/>
        <family val="2"/>
      </rPr>
      <t>:</t>
    </r>
  </si>
  <si>
    <t>Sistema Nacional</t>
  </si>
  <si>
    <t>Comparación de Precios </t>
  </si>
  <si>
    <r>
      <t>Comentarios</t>
    </r>
    <r>
      <rPr>
        <sz val="8"/>
        <color indexed="9"/>
        <rFont val="Calibri"/>
        <family val="2"/>
        <scheme val="minor"/>
      </rPr>
      <t xml:space="preserve"> - para UCS incluir método de selección</t>
    </r>
  </si>
  <si>
    <t>Comentarios</t>
  </si>
  <si>
    <t>Monto Estimado en US$:</t>
  </si>
  <si>
    <t>Componente Asociado:</t>
  </si>
  <si>
    <t>Cantidad Estimada de Consultores:</t>
  </si>
  <si>
    <t>Actividad</t>
  </si>
  <si>
    <t>Fecha Estimada de convocatoria/invitación</t>
  </si>
  <si>
    <t>Monto Estimado</t>
  </si>
  <si>
    <t xml:space="preserve">Servicios de no consultoría </t>
  </si>
  <si>
    <t>Firmas</t>
  </si>
  <si>
    <t>Individuos</t>
  </si>
  <si>
    <t>Método de Selección</t>
  </si>
  <si>
    <t>Capacitación del personal de INDEC y actores externos para la implementación del plan de fomento de la cultura estadística.</t>
  </si>
  <si>
    <t>Consultorias de reestructuración de procesos internos  y acompañamiento por dos años para la implementación de los nuevos procesos y procedimientos para producción estadística de acuerdo a los estándares de la OCDE</t>
  </si>
  <si>
    <t>Firma consultora para la implementación a nivel nacional de una encuesta de satisfacción al usuario de la información que produce el INDEC (mediante muestra probabilistica), analísis y reporte de resultados</t>
  </si>
  <si>
    <t>Adquisición de equipamiento para Data Center, incluido servicio de mantenimiento</t>
  </si>
  <si>
    <t>Contratación del servicio de relevamiento, reinstalación y chequeo final del Data Center a su lugar de destino para garantizar la seguridad de la información</t>
  </si>
  <si>
    <t>Firma consultora para la elaboración del PLAN MAESTRO y propuesta de intervención para de las adecuaciones edilicias en el INDEC</t>
  </si>
  <si>
    <t>Adquisición de Software y el costo para la renovación de licencias por 3 años</t>
  </si>
  <si>
    <t>Adquisición de equipamiento para el desarrollo de programas de e-learning y capacitación virtual</t>
  </si>
  <si>
    <t>Servicios de capacitación con distintos organismos del SEN</t>
  </si>
  <si>
    <t>Contratación del servicio de alquiler de mini vans y minibuses para transporte de censistas en la realización de las prueba piloto, encuestas complementarias y censo experimental</t>
  </si>
  <si>
    <t>INSTITUTO NACIONAL DE ESTADISTICAS Y CENSOS DE LA ARGENTINA</t>
  </si>
  <si>
    <t xml:space="preserve">SI </t>
  </si>
  <si>
    <t xml:space="preserve">Componente 1: Fortalecimiento de la capacidad institucional del INDEC </t>
  </si>
  <si>
    <t xml:space="preserve">Componente 2: Actualización de la base estadística sociodemográfica </t>
  </si>
  <si>
    <t xml:space="preserve">Componente 3: Actualización de la base estadística económica </t>
  </si>
  <si>
    <t>Componente 4: Administración del Programa</t>
  </si>
  <si>
    <t>Versión ( 1-2017) :</t>
  </si>
  <si>
    <t>INDEC</t>
  </si>
  <si>
    <t>Adquisición de mobiliario para la Unidad Ejecutora del Programa</t>
  </si>
  <si>
    <t>Adquisición de equipamiento tecnológico para fortalecimiento del INDEC para el levantamiento del archivo de domicilios, listado de unidades económicas, pruebas piloto, encuestas de validación y censo experimental del Censo de Población y Vivienda 2020</t>
  </si>
  <si>
    <t>Adquisición de: PC, Notebooks, Impresoras, Scaners, tablets</t>
  </si>
  <si>
    <t>Incluye: Notebook, equipo video conferencia, proyector, TV LED, filmadora FULL HD, PC , impresora</t>
  </si>
  <si>
    <t>Contratación de Firma Consultora para la realización de la Auditoria Externa anual de Programa</t>
  </si>
  <si>
    <t>LPN</t>
  </si>
  <si>
    <t>LPI</t>
  </si>
  <si>
    <t>Contración del servico de logística anivel nacional para la realización de las capacitaciones al personal de campo para la realización de las etapas preparatorias de los Censos de Población y Vivienda y Económico</t>
  </si>
  <si>
    <t>2 y 3</t>
  </si>
  <si>
    <t>Selección basada en el menor costo</t>
  </si>
  <si>
    <t>ACTIVIDADES</t>
  </si>
  <si>
    <t>TOTAL</t>
  </si>
  <si>
    <t>Consultoría Individual para el diseño del plan estratégico de acceso a la información pública (open data)</t>
  </si>
  <si>
    <t>Consultoría Individual para traducción y producción de contenidos en idioma inglés</t>
  </si>
  <si>
    <t>Consultoría individual para elaboración de una Metodología de Aseguramiento de la Calidad de la Información Estadística en base a requerimientos de la OCDE</t>
  </si>
  <si>
    <t>Consultoría para diagnóstico del marco normativo del INDEC y generación de propuesta en base a los requerimientos de la OCDE para la actualización de la normativa en materia estadística</t>
  </si>
  <si>
    <t>Consultoría individual para Planificar e implementar nuevas plataformas y herramientas digitales. Desarrollos web</t>
  </si>
  <si>
    <t>1,3,1</t>
  </si>
  <si>
    <t>Consultoría individual para el desarrollo de un manual de organización de recursos humanos.</t>
  </si>
  <si>
    <t>1,3,2</t>
  </si>
  <si>
    <t>1,3,3</t>
  </si>
  <si>
    <t>Consultoría individual para la realización del diagnostico y análisis de requerimientos para la institucionalizacion del "Instituto de Formacion Estadisticos de Gobierno"</t>
  </si>
  <si>
    <t>1,3,5</t>
  </si>
  <si>
    <t>Consultores individuales para el fortalecimiento de las áreas de apoyo del INDEC (informática, operaciones, recursos humanos)</t>
  </si>
  <si>
    <t>1,3,8</t>
  </si>
  <si>
    <t>1,3,9</t>
  </si>
  <si>
    <t>1,3,10</t>
  </si>
  <si>
    <t>1,3,11</t>
  </si>
  <si>
    <t xml:space="preserve">Consultorías individuales para Diseñar estrategias y programas de trabajo que contribuyan a facilitar y optimizar la vinculación con los medios de comunicación y la opinión pública </t>
  </si>
  <si>
    <t>Consultorías indiduales para Contribuir en la planificación estratégica del área de vinculación con los medios y realizar tareas operativas de prensa</t>
  </si>
  <si>
    <t xml:space="preserve">Consultorías individuales para análisis y seguimiento de la coordinación del INDEC con organismos del SEN </t>
  </si>
  <si>
    <t>Consultorías individuales para trabajar en la planificación e implementación de estrategias para la gestión de redes sociales y otras acciones de comunicación</t>
  </si>
  <si>
    <t>Consultorías individuales para planificar y elaborar productos editoriales. Editar, compaginar y corregir informes, documentos y publicaciones</t>
  </si>
  <si>
    <t>Consultorías individuales para producir material gráfico y audiovisual para soportes digitales y redes sociales. Visualización de datos</t>
  </si>
  <si>
    <t>Consultorías individuales para realizar filmación y fotografía para producciones audiovisuales y coberturas de eventos</t>
  </si>
  <si>
    <t>Consultorías individuales para editar videos y fotografías para producciones audiovisuales y material de prensa</t>
  </si>
  <si>
    <t>2,1,1</t>
  </si>
  <si>
    <t>Consultores individuales para planeamiento y programación del Censo de Población</t>
  </si>
  <si>
    <t>2,1,2</t>
  </si>
  <si>
    <t>Consultores individuales para la planificación, desarrollo y análisis de talleres con agentes externos para consolidar el diseño conceptual metodológico del Censo</t>
  </si>
  <si>
    <t>2,1,3</t>
  </si>
  <si>
    <t>Consultorías individuales para desarrollo de las Pruebas Piloto, encuesta post censal y censo experimental</t>
  </si>
  <si>
    <t>2,1,4</t>
  </si>
  <si>
    <t>Consultorías individuales para Planificar y producir campañas de sensibilización y otras acciones de comunicación</t>
  </si>
  <si>
    <t>2,1,5</t>
  </si>
  <si>
    <t xml:space="preserve">Consultorías individuales para Diseñar piezas gráficas y editoriales y diagramar material de campo </t>
  </si>
  <si>
    <t>2,1,9</t>
  </si>
  <si>
    <t>2,1,11</t>
  </si>
  <si>
    <t>Consultorías Individuales Desarrollo Informática</t>
  </si>
  <si>
    <t>2,2,1</t>
  </si>
  <si>
    <t>2,2,4</t>
  </si>
  <si>
    <t>Contratación de consultores para actualización cartográfica, listado y segmentación (INDEC - DPE) y Archivo de domicilios (INDEC-DPE)</t>
  </si>
  <si>
    <t>2,2,5</t>
  </si>
  <si>
    <t>3,1,1</t>
  </si>
  <si>
    <t>3,1,3</t>
  </si>
  <si>
    <t>Consultorias individuales para el diseño de las variables, codificación, formulario reducido para encuesta trimestral, reformulación de formulario completo para encuesta anual</t>
  </si>
  <si>
    <t>3,1,4</t>
  </si>
  <si>
    <t>Consultorias individuales en la Dirección de Informática para la reformulación del aplicativo de gestión de captura y procesamiento de datos</t>
  </si>
  <si>
    <t>3,1,5</t>
  </si>
  <si>
    <t>Consultorías individuales para el análisis y consistencia de la información captada en el aplicativo de grandes empresas</t>
  </si>
  <si>
    <t>3,2,1</t>
  </si>
  <si>
    <t>Comité de supervisión y gerenciamiento del CNE</t>
  </si>
  <si>
    <t>3,3,1</t>
  </si>
  <si>
    <t>Consultores individuales para el diseño metodológico conceptual y apoyo a la elaboración de los indicadores económicos de la actualización del listado de las unidades económicas</t>
  </si>
  <si>
    <t>3,3,2</t>
  </si>
  <si>
    <t>Consultorias individuales para el diseño de muestras, variables a relevar, plan de tabulados y diseño de tabulados para las encuestas especiales (Márgenes de Comercio, Margenes de transporte, servicios</t>
  </si>
  <si>
    <t>3,3,3</t>
  </si>
  <si>
    <t>Consultorias individuales en la Dirección de Informática para la creación del aplicativo de captura para las encuestas especiales (Márgenes de Comercio, Margenes de transporte, servicios</t>
  </si>
  <si>
    <t>3,3,4</t>
  </si>
  <si>
    <t>Consultorías individuales para el análisis y consistencia de la información captada en el aplicativo para las encuestas especiales (Márgenes de Comercio, Margenes de transporte, servicios</t>
  </si>
  <si>
    <t>Personal de la UEP</t>
  </si>
  <si>
    <t>2,2,6</t>
  </si>
  <si>
    <t>3,2,2</t>
  </si>
  <si>
    <t>Contratación de personal de campo para actualización del listado de unidades económicas</t>
  </si>
  <si>
    <t>3,1,2</t>
  </si>
  <si>
    <t>Desarrollo de una plataforma de interoperabilidad con AFIP con el fin de producir los datos en información estadística</t>
  </si>
  <si>
    <t>Adecuación de espacios físicos, mejora de infraestructura, mobiliario  del Edificio principal del INDEC</t>
  </si>
  <si>
    <t>Contratación de firma consultora para la fiscalización de adecuaciones de espacios físicos del edificio principal del INDEC</t>
  </si>
  <si>
    <t>Adecuación de espacios físicos, mejora de infraestructura, conectividad y redes, y mobiliario  del Edificio principal del INDEC</t>
  </si>
  <si>
    <t>Dólar</t>
  </si>
  <si>
    <t>FUENTE 11</t>
  </si>
  <si>
    <t>Pesos</t>
  </si>
  <si>
    <t>FUENTE 22</t>
  </si>
  <si>
    <t>1,1,1</t>
  </si>
  <si>
    <t>B</t>
  </si>
  <si>
    <t>1,1,2</t>
  </si>
  <si>
    <t>S</t>
  </si>
  <si>
    <t>1,1,3</t>
  </si>
  <si>
    <t>Adquisición de equipamiento tecnológico, incluido servicio de mantenimiento</t>
  </si>
  <si>
    <t>1,1,4</t>
  </si>
  <si>
    <t>1,1,5</t>
  </si>
  <si>
    <t xml:space="preserve">Adquisición de equipamiento tecnológico para la realización de las pruebas piloto, encuestas de validación, censo experimental </t>
  </si>
  <si>
    <t>1,1,6</t>
  </si>
  <si>
    <t>Adquisición de equipamiento tecnológico para el relevamiento del listado de unidades económicas en el INDEC</t>
  </si>
  <si>
    <t>1,1,7</t>
  </si>
  <si>
    <t>FC</t>
  </si>
  <si>
    <t>1,1,8</t>
  </si>
  <si>
    <t>1,1,9</t>
  </si>
  <si>
    <t xml:space="preserve">Fiscalización de adecuaciones edilicias </t>
  </si>
  <si>
    <t>1,1,10</t>
  </si>
  <si>
    <t>CI</t>
  </si>
  <si>
    <t>Consultores para las Unidades Regionales</t>
  </si>
  <si>
    <t>1,2,1</t>
  </si>
  <si>
    <t>1,2,2</t>
  </si>
  <si>
    <t>Consultoría para el diseño de un plan de desarollo de carrera del personal</t>
  </si>
  <si>
    <t>1,2,3</t>
  </si>
  <si>
    <t>1,2,4</t>
  </si>
  <si>
    <t>Consultores individuales para la conformación del "Instituto de Formacion Estadisticos de Gobierno" en el INDEC y modelo de gestión</t>
  </si>
  <si>
    <t>1,2,5</t>
  </si>
  <si>
    <t>1,2,6</t>
  </si>
  <si>
    <t>Consultoría individual para actualización  del sistema PROSIP para la selección del personal del INDEC</t>
  </si>
  <si>
    <t>1,2,7</t>
  </si>
  <si>
    <t xml:space="preserve">Consultores individuales para el desarrollo del sistema PROSIP (un Evaluador Técnico, un Psicólogo y un Adm.) </t>
  </si>
  <si>
    <t>1,2,8</t>
  </si>
  <si>
    <t>1,2,9</t>
  </si>
  <si>
    <t>Consultores individuales: E-learnig: consutores educadores especialistas en tecnología educativa</t>
  </si>
  <si>
    <t>1,2,10</t>
  </si>
  <si>
    <t>Consultores individuales: E-learnig: 2 diseñadores didácticos, 2 animadores/ilustradores y 1 editor de video.</t>
  </si>
  <si>
    <t>1,2,11</t>
  </si>
  <si>
    <t>Consultores individuales: E-learnig: 1 Programador PHP/SCORM para desarrollo MOODLE y 1 consultor en MOODLE implements de soluciones modulares</t>
  </si>
  <si>
    <t>1,2,12</t>
  </si>
  <si>
    <t xml:space="preserve">Consultores individuales: E-learning: 2 administradores de plataforma y 2 tester/corrector </t>
  </si>
  <si>
    <t>1,2,13</t>
  </si>
  <si>
    <t>Pago de fee de administración a entes facilitadores de la contratación de personal seleccionado por PROSIP</t>
  </si>
  <si>
    <t>1,3,4</t>
  </si>
  <si>
    <t>Consultores individuales para el diseño y desarrollo de los protocolos de coordinación con organismos del SEN</t>
  </si>
  <si>
    <t>1,3,6</t>
  </si>
  <si>
    <t>PYV</t>
  </si>
  <si>
    <t>Movilización (pasajes y viáticos) de personal de los organismos del SEN y de personal del INDEC para actividades de cooperación y fortalecimiento del INDEC</t>
  </si>
  <si>
    <t>1,3,7</t>
  </si>
  <si>
    <t>1.4.1</t>
  </si>
  <si>
    <t>1.4.2</t>
  </si>
  <si>
    <t>1.4.3</t>
  </si>
  <si>
    <r>
      <t xml:space="preserve">Consultorías para el diseño </t>
    </r>
    <r>
      <rPr>
        <sz val="9"/>
        <color rgb="FFFF0000"/>
        <rFont val="Calibri"/>
        <family val="2"/>
        <scheme val="minor"/>
      </rPr>
      <t>e implementación</t>
    </r>
    <r>
      <rPr>
        <sz val="9"/>
        <color theme="1"/>
        <rFont val="Calibri"/>
        <family val="2"/>
        <scheme val="minor"/>
      </rPr>
      <t xml:space="preserve"> de un plan de fomento de la cultura estadística </t>
    </r>
  </si>
  <si>
    <t>1.4.4</t>
  </si>
  <si>
    <t>1.4.5</t>
  </si>
  <si>
    <t>Firma consultora para reestructuración de procesos internos  y acompañamiento por dos años para la implementación de los nuevos procesos y procedimientos para producción estadística de acuerdo a los estándares de la OCDE</t>
  </si>
  <si>
    <t>1.4.6</t>
  </si>
  <si>
    <t>Movilización (pasajes y viáticos) del personal de la Dirección de Metodología para intercambio de experiencias con otros institutos de estadística para actualización en programas de modernizaciónpara la recoleccion, captura y procesamiento de datos</t>
  </si>
  <si>
    <t>1.4.7</t>
  </si>
  <si>
    <t xml:space="preserve">Movilización (pasajes y viáticos) de personal de otros institutos de estadística al INDEC para intercambio de experiencias </t>
  </si>
  <si>
    <t>1.4.8</t>
  </si>
  <si>
    <t>1.4.9</t>
  </si>
  <si>
    <t>1.4.10</t>
  </si>
  <si>
    <t>Consultoría individual para elaboración de propuestas para la actualización del Código de Buenas Prácticas de las Estadísticas en base a los principios de la OCDE</t>
  </si>
  <si>
    <t>1.4.11</t>
  </si>
  <si>
    <t>1.4.12</t>
  </si>
  <si>
    <t>2,1,7</t>
  </si>
  <si>
    <t>Movilización (pasajes y viáticos) de personal de la Dirección Nacional de Estadísticas Sociales y de Producción a las Provincias para seguimiento y monitoreo de las pruebas piloto, censo experimental</t>
  </si>
  <si>
    <t>2,1,8</t>
  </si>
  <si>
    <t>Servicios de capacitación específicas para formar a los recursos humanos que implementarán el operativo censal y pruebas piloto</t>
  </si>
  <si>
    <t>2,1,10</t>
  </si>
  <si>
    <t>Consultorías individuales para soporte de la Dirección de Administración para actividades preparatorias al Censo (área presupuesto, Tesorería y Compras)</t>
  </si>
  <si>
    <t>Contratación de consultores para el diseño metodológico de la evaluación de la cobertura del ADRA, su actualización y la asistencia georeferenciada en dispositivos móviles a emplear en la conformación del archivo domicilios (ADRA)</t>
  </si>
  <si>
    <t>2,2,2</t>
  </si>
  <si>
    <t>Servicios de capacitación 2da Capacitación (escalonada) en GIS  / 2da Capacitación para actualizadores</t>
  </si>
  <si>
    <t>2,2,3</t>
  </si>
  <si>
    <t>Consultorías individuales para apoyo a la actualización del Marco cartográfico y el desarrollo de un visor geográfico para asistir la tarea de confección del Archivo de Domicilios (ADRA) y su implementación en la Muestra Maestra Urbana de Viviendas de la República Argentina (MMUVRA)</t>
  </si>
  <si>
    <t>Contratación de personal de campo para actualización de listado de domicilios (ADRA)</t>
  </si>
  <si>
    <t>Consultorías individuales para el diseño marco-conceptual a emplear en los registros administrativos que se utilicen como fuente estadística en la producción de indicadores sociales y económicos, como base o complemento de Diseño Muestrales, y/o como insumo para evaluar coberturas de Marcos Muestrales.</t>
  </si>
  <si>
    <t>Consultores individuales para el diseño metodológico conceptual de la estrategia de actualización, la evaluación de la cobertura, la homogeneización, la calidad de las fuentes y su intervinculación para ser empleadas en la confección de un listado de las unidades económicas con el objetivo de conformar un marco de muestreo.</t>
  </si>
  <si>
    <t>CI*</t>
  </si>
  <si>
    <t>3,2,3</t>
  </si>
  <si>
    <t>Movilización (pasajes y viáticos) de personal del INDEC a las Provincias para seguimiento y monitoreo del relevamiento de la información para la actualización del listado de las unidades económicas</t>
  </si>
  <si>
    <t>3,2,4</t>
  </si>
  <si>
    <t>Servicios de capacitación específicas para formar a los recursos humanos que implementarán el levantamiento de unidades económicas</t>
  </si>
  <si>
    <t>3,2,5</t>
  </si>
  <si>
    <t>4,1</t>
  </si>
  <si>
    <t>Alquiler Oficina</t>
  </si>
  <si>
    <t>4,2</t>
  </si>
  <si>
    <t>Adecuación de oficina (cableado, instalaciones, etc.)</t>
  </si>
  <si>
    <t>4,4</t>
  </si>
  <si>
    <t>Equipamiento informatico UEP</t>
  </si>
  <si>
    <t>4,5</t>
  </si>
  <si>
    <t>Mobiliario UEP</t>
  </si>
  <si>
    <t>4,6</t>
  </si>
  <si>
    <t>Auditoria Externa anual</t>
  </si>
  <si>
    <t>4,8</t>
  </si>
  <si>
    <t>Evaluación de medio término</t>
  </si>
  <si>
    <t>4,9</t>
  </si>
  <si>
    <t>Evaluación final</t>
  </si>
  <si>
    <t>4,10</t>
  </si>
  <si>
    <t xml:space="preserve">Transferencias </t>
  </si>
  <si>
    <t>Personal de campo</t>
  </si>
  <si>
    <t>Firma consultora</t>
  </si>
  <si>
    <t>Mov y via</t>
  </si>
  <si>
    <t>Servicios</t>
  </si>
  <si>
    <t>Consultoría (firmas)</t>
  </si>
  <si>
    <t>Reconocimiento aporte local año 0</t>
  </si>
  <si>
    <t>Adquisición de equipamiento para la UEP</t>
  </si>
  <si>
    <t>Adquisición de: PC, Notebooks, Impresoras, Scaners</t>
  </si>
  <si>
    <t>Contratación del servicio de alquiler de una oficina para la UEP</t>
  </si>
  <si>
    <t>Servicio de adecuación de oficina de la UEP para entrar en funcionamiento</t>
  </si>
  <si>
    <t>Contratación de la movilización de personal del INDEC</t>
  </si>
  <si>
    <t>Contratación de Firma Consultora para la realización de la Evaluación intermedia</t>
  </si>
  <si>
    <t>Convenio para la contratación de personal técnico previamente seleccionado</t>
  </si>
  <si>
    <t>La contratación de profesionales/ consultores individuales para las distintas áreas de la institución se realizará una vez que el INDEC mediante el Programa de Selección de Personal PROSIP haya seleccionado de forma competitiva al mejor perfil.El ente facilitador de la contratación realizará la gestión administrativa de la contratación.</t>
  </si>
  <si>
    <t>Consultores individuales para personal del UEP</t>
  </si>
  <si>
    <t>Apoyo Institucional</t>
  </si>
  <si>
    <t>Censo de Poblacion</t>
  </si>
  <si>
    <t>Censo Economico</t>
  </si>
  <si>
    <t>Consultorias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</si>
</sst>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3" formatCode="_(* #,##0.00_);_(* \(#,##0.00\);_(* &quot;-&quot;??_);_(@_)"/>
    <numFmt numFmtId="164" formatCode="&quot;$&quot;\ #,##0"/>
    <numFmt numFmtId="165" formatCode="_ &quot;$&quot;\ * #,##0.00_ ;_ &quot;$&quot;\ * \-#,##0.00_ ;_ &quot;$&quot;\ * &quot;-&quot;??_ ;_ @_ "/>
    <numFmt numFmtId="166" formatCode="[$USD]\ #,##0"/>
    <numFmt numFmtId="167" formatCode="&quot;$&quot;\ #,##0.00"/>
    <numFmt numFmtId="168" formatCode="_ &quot;$&quot;\ * #,##0_ ;_ &quot;$&quot;\ * \-#,##0_ ;_ &quot;$&quot;\ * &quot;-&quot;??_ ;_ @_ "/>
    <numFmt numFmtId="169" formatCode="0.000%"/>
    <numFmt numFmtId="170" formatCode="0.0000%"/>
  </numFmts>
  <fonts count="58" x14ac:knownFonts="1">
    <font>
      <sz val="11"/>
      <color theme="1"/>
      <name val="Calibri"/>
      <family val="2"/>
      <scheme val="minor"/>
    </font>
    <font>
      <sz val="10"/>
      <name val="Arial"/>
      <family val="2"/>
    </font>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0"/>
      <color indexed="9"/>
      <name val="Calibri"/>
      <family val="2"/>
    </font>
    <font>
      <i/>
      <sz val="10"/>
      <color indexed="9"/>
      <name val="Calibri"/>
      <family val="2"/>
    </font>
    <font>
      <sz val="10"/>
      <name val="Calibri"/>
      <family val="2"/>
      <scheme val="minor"/>
    </font>
    <font>
      <b/>
      <sz val="12"/>
      <color indexed="9"/>
      <name val="Calibri"/>
      <family val="2"/>
      <scheme val="minor"/>
    </font>
    <font>
      <sz val="10"/>
      <color indexed="9"/>
      <name val="Calibri"/>
      <family val="2"/>
      <scheme val="minor"/>
    </font>
    <font>
      <b/>
      <sz val="12"/>
      <name val="Calibri"/>
      <family val="2"/>
      <scheme val="minor"/>
    </font>
    <font>
      <sz val="10"/>
      <name val="Calibri"/>
      <family val="2"/>
    </font>
    <font>
      <b/>
      <sz val="10"/>
      <name val="Calibri"/>
      <family val="2"/>
    </font>
    <font>
      <b/>
      <sz val="10"/>
      <color indexed="10"/>
      <name val="Calibri"/>
      <family val="2"/>
    </font>
    <font>
      <sz val="11"/>
      <color indexed="9"/>
      <name val="Calibri"/>
      <family val="2"/>
      <scheme val="minor"/>
    </font>
    <font>
      <b/>
      <sz val="10"/>
      <color indexed="9"/>
      <name val="Calibri"/>
      <family val="2"/>
      <scheme val="minor"/>
    </font>
    <font>
      <b/>
      <sz val="10"/>
      <name val="Calibri"/>
      <family val="2"/>
      <scheme val="minor"/>
    </font>
    <font>
      <b/>
      <sz val="11"/>
      <name val="Calibri"/>
      <family val="2"/>
      <scheme val="minor"/>
    </font>
    <font>
      <sz val="11"/>
      <name val="Calibri"/>
      <family val="2"/>
      <scheme val="minor"/>
    </font>
    <font>
      <sz val="8"/>
      <color indexed="9"/>
      <name val="Calibri"/>
      <family val="2"/>
      <scheme val="minor"/>
    </font>
    <font>
      <u/>
      <sz val="11"/>
      <color theme="10"/>
      <name val="Calibri"/>
      <family val="2"/>
      <scheme val="minor"/>
    </font>
    <font>
      <b/>
      <sz val="12"/>
      <color rgb="FFFFFFFF"/>
      <name val="Calibri"/>
      <family val="2"/>
    </font>
    <font>
      <u/>
      <sz val="12"/>
      <color theme="10"/>
      <name val="Calibri"/>
      <family val="2"/>
      <scheme val="minor"/>
    </font>
    <font>
      <sz val="12"/>
      <color theme="1"/>
      <name val="Calibri"/>
      <family val="2"/>
      <scheme val="minor"/>
    </font>
    <font>
      <sz val="12"/>
      <color rgb="FFFFFFFF"/>
      <name val="Calibri"/>
      <family val="2"/>
    </font>
    <font>
      <sz val="12"/>
      <color theme="1"/>
      <name val="Calibri"/>
      <family val="2"/>
    </font>
    <font>
      <b/>
      <sz val="12"/>
      <color theme="1"/>
      <name val="Calibri"/>
      <family val="2"/>
    </font>
    <font>
      <sz val="11"/>
      <color theme="1"/>
      <name val="Calibri"/>
      <family val="2"/>
      <scheme val="minor"/>
    </font>
    <font>
      <sz val="9"/>
      <color theme="1"/>
      <name val="Calibri"/>
      <family val="2"/>
      <scheme val="minor"/>
    </font>
    <font>
      <sz val="9"/>
      <name val="Calibri"/>
      <family val="2"/>
      <scheme val="minor"/>
    </font>
    <font>
      <b/>
      <sz val="9"/>
      <color indexed="81"/>
      <name val="Tahoma"/>
      <family val="2"/>
    </font>
    <font>
      <sz val="9"/>
      <color theme="1"/>
      <name val="Calibri"/>
      <family val="2"/>
    </font>
    <font>
      <sz val="9"/>
      <color indexed="81"/>
      <name val="Tahoma"/>
      <family val="2"/>
    </font>
    <font>
      <b/>
      <sz val="16"/>
      <color theme="1"/>
      <name val="Calibri"/>
      <family val="2"/>
      <scheme val="minor"/>
    </font>
    <font>
      <b/>
      <sz val="9"/>
      <color theme="1"/>
      <name val="Calibri"/>
      <family val="2"/>
      <scheme val="minor"/>
    </font>
    <font>
      <b/>
      <sz val="9"/>
      <name val="Calibri"/>
      <family val="2"/>
      <scheme val="minor"/>
    </font>
    <font>
      <sz val="11"/>
      <color rgb="FF000000"/>
      <name val="Calibri"/>
      <family val="2"/>
    </font>
    <font>
      <b/>
      <sz val="10"/>
      <color theme="1"/>
      <name val="Calibri"/>
      <family val="2"/>
      <scheme val="minor"/>
    </font>
    <font>
      <sz val="9"/>
      <color rgb="FF000000"/>
      <name val="Calibri"/>
      <family val="2"/>
    </font>
    <font>
      <sz val="9"/>
      <color rgb="FFFF0000"/>
      <name val="Calibri"/>
      <family val="2"/>
      <scheme val="minor"/>
    </font>
    <font>
      <sz val="9"/>
      <color rgb="FF7030A0"/>
      <name val="Calibri"/>
      <family val="2"/>
      <scheme val="minor"/>
    </font>
    <font>
      <sz val="8"/>
      <color theme="1"/>
      <name val="Calibri"/>
      <family val="2"/>
      <scheme val="minor"/>
    </font>
    <font>
      <sz val="9"/>
      <name val="Calibri"/>
      <family val="2"/>
    </font>
  </fonts>
  <fills count="3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48"/>
        <bgColor indexed="64"/>
      </patternFill>
    </fill>
    <fill>
      <patternFill patternType="solid">
        <fgColor rgb="FF00B0F0"/>
        <bgColor indexed="64"/>
      </patternFill>
    </fill>
    <fill>
      <patternFill patternType="solid">
        <fgColor rgb="FFA6A6A6"/>
        <bgColor indexed="64"/>
      </patternFill>
    </fill>
    <fill>
      <patternFill patternType="solid">
        <fgColor rgb="FFBFBFBF"/>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39997558519241921"/>
        <bgColor indexed="64"/>
      </patternFill>
    </fill>
    <fill>
      <patternFill patternType="solid">
        <fgColor theme="8" tint="0.39997558519241921"/>
        <bgColor indexed="64"/>
      </patternFill>
    </fill>
    <fill>
      <patternFill patternType="solid">
        <fgColor theme="5" tint="0.39997558519241921"/>
        <bgColor indexed="64"/>
      </patternFill>
    </fill>
    <fill>
      <patternFill patternType="solid">
        <fgColor rgb="FFFFFF00"/>
        <bgColor indexed="64"/>
      </patternFill>
    </fill>
    <fill>
      <patternFill patternType="solid">
        <fgColor theme="7" tint="0.79998168889431442"/>
        <bgColor indexed="64"/>
      </patternFill>
    </fill>
    <fill>
      <patternFill patternType="solid">
        <fgColor theme="6" tint="0.39997558519241921"/>
        <bgColor indexed="64"/>
      </patternFill>
    </fill>
    <fill>
      <patternFill patternType="solid">
        <fgColor theme="8" tint="0.79998168889431442"/>
        <bgColor indexed="64"/>
      </patternFill>
    </fill>
    <fill>
      <patternFill patternType="solid">
        <fgColor theme="5" tint="0.59999389629810485"/>
        <bgColor indexed="64"/>
      </patternFill>
    </fill>
    <fill>
      <patternFill patternType="solid">
        <fgColor theme="6" tint="0.59999389629810485"/>
        <bgColor indexed="64"/>
      </patternFill>
    </fill>
  </fills>
  <borders count="63">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rgb="FFF2F2F2"/>
      </left>
      <right style="medium">
        <color rgb="FFF2F2F2"/>
      </right>
      <top style="medium">
        <color rgb="FFF2F2F2"/>
      </top>
      <bottom/>
      <diagonal/>
    </border>
    <border>
      <left/>
      <right style="medium">
        <color rgb="FFF2F2F2"/>
      </right>
      <top style="medium">
        <color rgb="FFF2F2F2"/>
      </top>
      <bottom/>
      <diagonal/>
    </border>
    <border>
      <left style="medium">
        <color rgb="FFBFBFBF"/>
      </left>
      <right style="medium">
        <color rgb="FFBFBFBF"/>
      </right>
      <top/>
      <bottom style="medium">
        <color rgb="FFBFBFBF"/>
      </bottom>
      <diagonal/>
    </border>
    <border>
      <left/>
      <right style="medium">
        <color rgb="FFBFBFBF"/>
      </right>
      <top/>
      <bottom style="medium">
        <color rgb="FFBFBFBF"/>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rgb="FFBFBFBF"/>
      </left>
      <right style="medium">
        <color rgb="FFBFBFBF"/>
      </right>
      <top style="medium">
        <color rgb="FFBFBFBF"/>
      </top>
      <bottom style="medium">
        <color rgb="FFBFBFBF"/>
      </bottom>
      <diagonal/>
    </border>
    <border>
      <left style="thin">
        <color auto="1"/>
      </left>
      <right style="thin">
        <color auto="1"/>
      </right>
      <top style="thin">
        <color auto="1"/>
      </top>
      <bottom style="medium">
        <color indexed="64"/>
      </bottom>
      <diagonal/>
    </border>
    <border>
      <left/>
      <right/>
      <top/>
      <bottom style="thin">
        <color indexed="64"/>
      </bottom>
      <diagonal/>
    </border>
    <border>
      <left/>
      <right style="thin">
        <color theme="0"/>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medium">
        <color indexed="64"/>
      </bottom>
      <diagonal/>
    </border>
    <border>
      <left style="thin">
        <color theme="0"/>
      </left>
      <right/>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style="thin">
        <color auto="1"/>
      </left>
      <right style="thin">
        <color auto="1"/>
      </right>
      <top style="thin">
        <color auto="1"/>
      </top>
      <bottom/>
      <diagonal/>
    </border>
    <border>
      <left style="thin">
        <color rgb="FF000000"/>
      </left>
      <right style="thin">
        <color rgb="FF000000"/>
      </right>
      <top style="thin">
        <color rgb="FF000000"/>
      </top>
      <bottom style="thin">
        <color rgb="FF000000"/>
      </bottom>
      <diagonal/>
    </border>
    <border>
      <left style="thin">
        <color indexed="64"/>
      </left>
      <right/>
      <top/>
      <bottom style="thin">
        <color indexed="64"/>
      </bottom>
      <diagonal/>
    </border>
    <border>
      <left style="thin">
        <color indexed="64"/>
      </left>
      <right/>
      <top/>
      <bottom/>
      <diagonal/>
    </border>
    <border>
      <left style="thin">
        <color auto="1"/>
      </left>
      <right/>
      <top/>
      <bottom style="medium">
        <color indexed="64"/>
      </bottom>
      <diagonal/>
    </border>
    <border>
      <left style="thin">
        <color indexed="64"/>
      </left>
      <right style="thin">
        <color indexed="64"/>
      </right>
      <top/>
      <bottom style="medium">
        <color indexed="64"/>
      </bottom>
      <diagonal/>
    </border>
    <border>
      <left style="thin">
        <color rgb="FF000000"/>
      </left>
      <right style="thin">
        <color rgb="FF000000"/>
      </right>
      <top/>
      <bottom style="thin">
        <color rgb="FF000000"/>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rgb="FF000000"/>
      </left>
      <right style="thin">
        <color rgb="FF000000"/>
      </right>
      <top style="thin">
        <color rgb="FF000000"/>
      </top>
      <bottom/>
      <diagonal/>
    </border>
  </borders>
  <cellStyleXfs count="59">
    <xf numFmtId="0" fontId="0" fillId="0" borderId="0"/>
    <xf numFmtId="0" fontId="1"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9" borderId="0" applyNumberFormat="0" applyBorder="0" applyAlignment="0" applyProtection="0"/>
    <xf numFmtId="0" fontId="5" fillId="3" borderId="0" applyNumberFormat="0" applyBorder="0" applyAlignment="0" applyProtection="0"/>
    <xf numFmtId="0" fontId="6" fillId="20" borderId="1" applyNumberFormat="0" applyAlignment="0" applyProtection="0"/>
    <xf numFmtId="0" fontId="7" fillId="21" borderId="2" applyNumberFormat="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0" borderId="3" applyNumberFormat="0" applyFill="0" applyAlignment="0" applyProtection="0"/>
    <xf numFmtId="0" fontId="11" fillId="0" borderId="4" applyNumberFormat="0" applyFill="0" applyAlignment="0" applyProtection="0"/>
    <xf numFmtId="0" fontId="12" fillId="0" borderId="5" applyNumberFormat="0" applyFill="0" applyAlignment="0" applyProtection="0"/>
    <xf numFmtId="0" fontId="12" fillId="0" borderId="0" applyNumberFormat="0" applyFill="0" applyBorder="0" applyAlignment="0" applyProtection="0"/>
    <xf numFmtId="0" fontId="13" fillId="7" borderId="1" applyNumberFormat="0" applyAlignment="0" applyProtection="0"/>
    <xf numFmtId="0" fontId="14" fillId="0" borderId="6" applyNumberFormat="0" applyFill="0" applyAlignment="0" applyProtection="0"/>
    <xf numFmtId="0" fontId="15" fillId="22" borderId="0" applyNumberFormat="0" applyBorder="0" applyAlignment="0" applyProtection="0"/>
    <xf numFmtId="0" fontId="2" fillId="0" borderId="0"/>
    <xf numFmtId="0" fontId="2" fillId="23" borderId="7" applyNumberFormat="0" applyFont="0" applyAlignment="0" applyProtection="0"/>
    <xf numFmtId="0" fontId="16" fillId="20" borderId="8" applyNumberFormat="0" applyAlignment="0" applyProtection="0"/>
    <xf numFmtId="0" fontId="17" fillId="0" borderId="0" applyNumberFormat="0" applyFill="0" applyBorder="0" applyAlignment="0" applyProtection="0"/>
    <xf numFmtId="0" fontId="18" fillId="0" borderId="9" applyNumberFormat="0" applyFill="0" applyAlignment="0" applyProtection="0"/>
    <xf numFmtId="0" fontId="19" fillId="0" borderId="0" applyNumberFormat="0" applyFill="0" applyBorder="0" applyAlignment="0" applyProtection="0"/>
    <xf numFmtId="0" fontId="35" fillId="0" borderId="0" applyNumberFormat="0" applyFill="0" applyBorder="0" applyAlignment="0" applyProtection="0"/>
    <xf numFmtId="9" fontId="42" fillId="0" borderId="0" applyFont="0" applyFill="0" applyBorder="0" applyAlignment="0" applyProtection="0"/>
    <xf numFmtId="0" fontId="42" fillId="0" borderId="0"/>
    <xf numFmtId="43" fontId="1" fillId="0" borderId="0" applyNumberFormat="0" applyFont="0" applyFill="0" applyBorder="0" applyAlignment="0" applyProtection="0"/>
    <xf numFmtId="0" fontId="1" fillId="0" borderId="0" applyNumberFormat="0" applyFont="0" applyFill="0" applyBorder="0" applyAlignment="0" applyProtection="0"/>
    <xf numFmtId="0" fontId="1" fillId="0" borderId="0" applyNumberFormat="0" applyFont="0" applyFill="0" applyBorder="0" applyAlignment="0" applyProtection="0"/>
    <xf numFmtId="165" fontId="1" fillId="0" borderId="0" applyFont="0" applyFill="0" applyBorder="0" applyAlignment="0" applyProtection="0"/>
    <xf numFmtId="9" fontId="1" fillId="0" borderId="0" applyFont="0" applyFill="0" applyBorder="0" applyAlignment="0" applyProtection="0"/>
    <xf numFmtId="0" fontId="42" fillId="0" borderId="0"/>
    <xf numFmtId="0" fontId="42" fillId="0" borderId="0"/>
    <xf numFmtId="0" fontId="1" fillId="0" borderId="0" applyNumberFormat="0" applyFont="0" applyFill="0" applyBorder="0" applyAlignment="0" applyProtection="0"/>
    <xf numFmtId="0" fontId="51" fillId="0" borderId="0"/>
    <xf numFmtId="165" fontId="1" fillId="0" borderId="0" applyFont="0" applyFill="0" applyBorder="0" applyAlignment="0" applyProtection="0"/>
    <xf numFmtId="9" fontId="51" fillId="0" borderId="0" applyFont="0" applyFill="0" applyBorder="0" applyAlignment="0" applyProtection="0"/>
    <xf numFmtId="43" fontId="42" fillId="0" borderId="0" applyFont="0" applyFill="0" applyBorder="0" applyAlignment="0" applyProtection="0"/>
  </cellStyleXfs>
  <cellXfs count="373">
    <xf numFmtId="0" fontId="0" fillId="0" borderId="0" xfId="0"/>
    <xf numFmtId="0" fontId="2" fillId="0" borderId="0" xfId="38"/>
    <xf numFmtId="0" fontId="2" fillId="0" borderId="0" xfId="38"/>
    <xf numFmtId="0" fontId="0" fillId="0" borderId="0" xfId="0"/>
    <xf numFmtId="0" fontId="0" fillId="0" borderId="0" xfId="0"/>
    <xf numFmtId="0" fontId="0" fillId="0" borderId="0" xfId="0"/>
    <xf numFmtId="0" fontId="0" fillId="0" borderId="0" xfId="0"/>
    <xf numFmtId="0" fontId="0" fillId="0" borderId="0" xfId="0"/>
    <xf numFmtId="0" fontId="22" fillId="0" borderId="17" xfId="38" applyFont="1" applyFill="1" applyBorder="1" applyAlignment="1">
      <alignment vertical="center" wrapText="1"/>
    </xf>
    <xf numFmtId="0" fontId="22" fillId="0" borderId="10" xfId="38" applyFont="1" applyFill="1" applyBorder="1" applyAlignment="1">
      <alignment vertical="center" wrapText="1"/>
    </xf>
    <xf numFmtId="0" fontId="22" fillId="0" borderId="14" xfId="38" applyFont="1" applyFill="1" applyBorder="1" applyAlignment="1">
      <alignment vertical="center" wrapText="1"/>
    </xf>
    <xf numFmtId="0" fontId="22" fillId="0" borderId="18" xfId="38" applyFont="1" applyFill="1" applyBorder="1" applyAlignment="1">
      <alignment vertical="center" wrapText="1"/>
    </xf>
    <xf numFmtId="0" fontId="22" fillId="0" borderId="15" xfId="38" applyFont="1" applyFill="1" applyBorder="1" applyAlignment="1">
      <alignment vertical="center" wrapText="1"/>
    </xf>
    <xf numFmtId="0" fontId="22" fillId="0" borderId="16" xfId="38" applyFont="1" applyFill="1" applyBorder="1" applyAlignment="1">
      <alignment vertical="center" wrapText="1"/>
    </xf>
    <xf numFmtId="0" fontId="23" fillId="24" borderId="17" xfId="1" applyFont="1" applyFill="1" applyBorder="1" applyAlignment="1">
      <alignment horizontal="center" vertical="center" wrapText="1"/>
    </xf>
    <xf numFmtId="0" fontId="23" fillId="24" borderId="10" xfId="1" applyFont="1" applyFill="1" applyBorder="1" applyAlignment="1">
      <alignment horizontal="center" vertical="center" wrapText="1"/>
    </xf>
    <xf numFmtId="0" fontId="23" fillId="24" borderId="14" xfId="1" applyFont="1" applyFill="1" applyBorder="1" applyAlignment="1">
      <alignment horizontal="center" vertical="center" wrapText="1"/>
    </xf>
    <xf numFmtId="0" fontId="31" fillId="0" borderId="18" xfId="1" applyFont="1" applyFill="1" applyBorder="1" applyAlignment="1">
      <alignment horizontal="left" vertical="center" wrapText="1"/>
    </xf>
    <xf numFmtId="0" fontId="22" fillId="0" borderId="17" xfId="1" quotePrefix="1" applyFont="1" applyBorder="1" applyAlignment="1" applyProtection="1"/>
    <xf numFmtId="0" fontId="22" fillId="0" borderId="17" xfId="1" applyFont="1" applyBorder="1" applyAlignment="1" applyProtection="1"/>
    <xf numFmtId="0" fontId="23" fillId="24" borderId="18" xfId="1" applyFont="1" applyFill="1" applyBorder="1" applyAlignment="1">
      <alignment horizontal="center" vertical="center" wrapText="1"/>
    </xf>
    <xf numFmtId="0" fontId="1" fillId="0" borderId="0" xfId="1"/>
    <xf numFmtId="0" fontId="29" fillId="24" borderId="11" xfId="1" applyFont="1" applyFill="1" applyBorder="1" applyAlignment="1">
      <alignment horizontal="center" vertical="center"/>
    </xf>
    <xf numFmtId="0" fontId="29" fillId="24" borderId="12" xfId="1" applyFont="1" applyFill="1" applyBorder="1" applyAlignment="1">
      <alignment horizontal="center" vertical="center"/>
    </xf>
    <xf numFmtId="0" fontId="29" fillId="24" borderId="13" xfId="1" applyFont="1" applyFill="1" applyBorder="1" applyAlignment="1">
      <alignment horizontal="center" vertical="center" wrapText="1"/>
    </xf>
    <xf numFmtId="0" fontId="22" fillId="0" borderId="10" xfId="1" applyFont="1" applyBorder="1" applyAlignment="1">
      <alignment vertical="center"/>
    </xf>
    <xf numFmtId="0" fontId="22" fillId="0" borderId="14" xfId="1" applyFont="1" applyBorder="1" applyAlignment="1">
      <alignment vertical="center"/>
    </xf>
    <xf numFmtId="0" fontId="22" fillId="0" borderId="15" xfId="1" applyFont="1" applyBorder="1" applyAlignment="1">
      <alignment vertical="center"/>
    </xf>
    <xf numFmtId="0" fontId="22" fillId="0" borderId="16" xfId="1" applyFont="1" applyBorder="1" applyAlignment="1">
      <alignment vertical="center"/>
    </xf>
    <xf numFmtId="0" fontId="30" fillId="24" borderId="24" xfId="1" applyFont="1" applyFill="1" applyBorder="1" applyAlignment="1">
      <alignment horizontal="center" vertical="center"/>
    </xf>
    <xf numFmtId="0" fontId="30" fillId="24" borderId="25" xfId="1" applyFont="1" applyFill="1" applyBorder="1" applyAlignment="1">
      <alignment horizontal="center" vertical="center"/>
    </xf>
    <xf numFmtId="0" fontId="22" fillId="0" borderId="0" xfId="1" applyFont="1" applyAlignment="1">
      <alignment vertical="center"/>
    </xf>
    <xf numFmtId="0" fontId="23" fillId="24" borderId="17" xfId="1" applyFont="1" applyFill="1" applyBorder="1" applyAlignment="1">
      <alignment horizontal="center" vertical="center" wrapText="1"/>
    </xf>
    <xf numFmtId="0" fontId="23" fillId="24" borderId="14" xfId="1" applyFont="1" applyFill="1" applyBorder="1" applyAlignment="1">
      <alignment horizontal="center" vertical="center" wrapText="1"/>
    </xf>
    <xf numFmtId="0" fontId="23" fillId="24" borderId="18" xfId="1" applyFont="1" applyFill="1" applyBorder="1" applyAlignment="1">
      <alignment horizontal="center" vertical="center" wrapText="1"/>
    </xf>
    <xf numFmtId="0" fontId="24" fillId="24" borderId="10" xfId="38" applyFont="1" applyFill="1" applyBorder="1" applyAlignment="1">
      <alignment horizontal="center" vertical="center" wrapText="1"/>
    </xf>
    <xf numFmtId="4" fontId="22" fillId="0" borderId="10" xfId="38" applyNumberFormat="1" applyFont="1" applyFill="1" applyBorder="1" applyAlignment="1">
      <alignment vertical="center" wrapText="1"/>
    </xf>
    <xf numFmtId="4" fontId="22" fillId="0" borderId="15" xfId="38" applyNumberFormat="1" applyFont="1" applyFill="1" applyBorder="1" applyAlignment="1">
      <alignment vertical="center" wrapText="1"/>
    </xf>
    <xf numFmtId="4" fontId="0" fillId="0" borderId="0" xfId="0" applyNumberFormat="1"/>
    <xf numFmtId="10" fontId="22" fillId="0" borderId="10" xfId="38" applyNumberFormat="1" applyFont="1" applyFill="1" applyBorder="1" applyAlignment="1">
      <alignment vertical="center" wrapText="1"/>
    </xf>
    <xf numFmtId="10" fontId="22" fillId="0" borderId="15" xfId="38" applyNumberFormat="1" applyFont="1" applyFill="1" applyBorder="1" applyAlignment="1">
      <alignment vertical="center" wrapText="1"/>
    </xf>
    <xf numFmtId="10" fontId="0" fillId="0" borderId="0" xfId="0" applyNumberFormat="1"/>
    <xf numFmtId="10" fontId="24" fillId="24" borderId="10" xfId="38" applyNumberFormat="1" applyFont="1" applyFill="1" applyBorder="1" applyAlignment="1">
      <alignment horizontal="center" vertical="center" wrapText="1"/>
    </xf>
    <xf numFmtId="0" fontId="22" fillId="0" borderId="0" xfId="38" applyFont="1" applyFill="1" applyBorder="1" applyAlignment="1">
      <alignment vertical="center" wrapText="1"/>
    </xf>
    <xf numFmtId="4" fontId="22" fillId="0" borderId="0" xfId="38" applyNumberFormat="1" applyFont="1" applyFill="1" applyBorder="1" applyAlignment="1">
      <alignment vertical="center" wrapText="1"/>
    </xf>
    <xf numFmtId="10" fontId="22" fillId="0" borderId="0" xfId="38" applyNumberFormat="1" applyFont="1" applyFill="1" applyBorder="1" applyAlignment="1">
      <alignment vertical="center" wrapText="1"/>
    </xf>
    <xf numFmtId="4" fontId="24" fillId="24" borderId="10" xfId="38" applyNumberFormat="1" applyFont="1" applyFill="1" applyBorder="1" applyAlignment="1">
      <alignment horizontal="center" vertical="center" wrapText="1"/>
    </xf>
    <xf numFmtId="0" fontId="24" fillId="24" borderId="10" xfId="38" applyFont="1" applyFill="1" applyBorder="1" applyAlignment="1">
      <alignment horizontal="center" vertical="center" wrapText="1"/>
    </xf>
    <xf numFmtId="0" fontId="22" fillId="0" borderId="0" xfId="1" applyFont="1" applyFill="1" applyBorder="1" applyAlignment="1">
      <alignment vertical="center" wrapText="1"/>
    </xf>
    <xf numFmtId="0" fontId="1" fillId="0" borderId="0" xfId="1" applyFont="1" applyBorder="1"/>
    <xf numFmtId="0" fontId="1" fillId="0" borderId="0" xfId="38" applyFont="1" applyBorder="1"/>
    <xf numFmtId="0" fontId="33" fillId="0" borderId="0" xfId="0" applyFont="1" applyBorder="1"/>
    <xf numFmtId="0" fontId="22" fillId="0" borderId="0" xfId="1" applyFont="1" applyFill="1" applyBorder="1" applyAlignment="1">
      <alignment horizontal="left" vertical="center" wrapText="1"/>
    </xf>
    <xf numFmtId="0" fontId="38" fillId="0" borderId="0" xfId="0" applyFont="1"/>
    <xf numFmtId="0" fontId="36" fillId="26" borderId="37" xfId="0" applyFont="1" applyFill="1" applyBorder="1" applyAlignment="1">
      <alignment horizontal="justify" vertical="center" wrapText="1"/>
    </xf>
    <xf numFmtId="0" fontId="39" fillId="26" borderId="38" xfId="0" applyFont="1" applyFill="1" applyBorder="1" applyAlignment="1">
      <alignment horizontal="justify" vertical="center" wrapText="1"/>
    </xf>
    <xf numFmtId="0" fontId="40" fillId="0" borderId="37" xfId="0" applyFont="1" applyBorder="1" applyAlignment="1">
      <alignment horizontal="justify" vertical="center" wrapText="1"/>
    </xf>
    <xf numFmtId="0" fontId="40" fillId="0" borderId="38" xfId="0" applyFont="1" applyBorder="1" applyAlignment="1">
      <alignment horizontal="justify" vertical="center" wrapText="1"/>
    </xf>
    <xf numFmtId="0" fontId="36" fillId="27" borderId="37" xfId="0" applyFont="1" applyFill="1" applyBorder="1" applyAlignment="1">
      <alignment horizontal="justify" vertical="center" wrapText="1"/>
    </xf>
    <xf numFmtId="0" fontId="39" fillId="27" borderId="38" xfId="0" applyFont="1" applyFill="1" applyBorder="1" applyAlignment="1">
      <alignment horizontal="justify" vertical="center" wrapText="1"/>
    </xf>
    <xf numFmtId="0" fontId="41" fillId="0" borderId="37" xfId="0" applyFont="1" applyBorder="1" applyAlignment="1">
      <alignment horizontal="justify" vertical="center" wrapText="1"/>
    </xf>
    <xf numFmtId="0" fontId="37" fillId="0" borderId="0" xfId="44" applyFont="1" applyAlignment="1">
      <alignment horizontal="justify" vertical="center"/>
    </xf>
    <xf numFmtId="0" fontId="36" fillId="25" borderId="35" xfId="0" applyFont="1" applyFill="1" applyBorder="1" applyAlignment="1">
      <alignment horizontal="center" vertical="center" wrapText="1"/>
    </xf>
    <xf numFmtId="0" fontId="36" fillId="25" borderId="36" xfId="0" applyFont="1" applyFill="1" applyBorder="1" applyAlignment="1">
      <alignment horizontal="center" vertical="center" wrapText="1"/>
    </xf>
    <xf numFmtId="0" fontId="22" fillId="0" borderId="15" xfId="1" applyFont="1" applyFill="1" applyBorder="1" applyAlignment="1">
      <alignment horizontal="center" vertical="center" wrapText="1"/>
    </xf>
    <xf numFmtId="0" fontId="22" fillId="0" borderId="16" xfId="1" applyFont="1" applyFill="1" applyBorder="1" applyAlignment="1">
      <alignment horizontal="center" vertical="center" wrapText="1"/>
    </xf>
    <xf numFmtId="0" fontId="22" fillId="0" borderId="10" xfId="38" applyFont="1" applyFill="1" applyBorder="1" applyAlignment="1">
      <alignment horizontal="center" vertical="center" wrapText="1"/>
    </xf>
    <xf numFmtId="0" fontId="43" fillId="0" borderId="39" xfId="46" applyFont="1" applyBorder="1" applyAlignment="1">
      <alignment vertical="top" wrapText="1"/>
    </xf>
    <xf numFmtId="0" fontId="43" fillId="0" borderId="39" xfId="46" applyFont="1" applyBorder="1" applyAlignment="1">
      <alignment horizontal="left" vertical="top" wrapText="1"/>
    </xf>
    <xf numFmtId="0" fontId="44" fillId="0" borderId="39" xfId="46" applyFont="1" applyFill="1" applyBorder="1" applyAlignment="1">
      <alignment horizontal="left" vertical="top" wrapText="1"/>
    </xf>
    <xf numFmtId="0" fontId="43" fillId="0" borderId="39" xfId="46" applyFont="1" applyBorder="1" applyAlignment="1">
      <alignment wrapText="1"/>
    </xf>
    <xf numFmtId="0" fontId="22" fillId="0" borderId="14" xfId="1" applyFont="1" applyBorder="1" applyAlignment="1">
      <alignment vertical="center" wrapText="1"/>
    </xf>
    <xf numFmtId="166" fontId="22" fillId="0" borderId="10" xfId="1" applyNumberFormat="1" applyFont="1" applyFill="1" applyBorder="1" applyAlignment="1">
      <alignment horizontal="right" vertical="center" wrapText="1"/>
    </xf>
    <xf numFmtId="166" fontId="22" fillId="0" borderId="14" xfId="1" applyNumberFormat="1" applyFont="1" applyFill="1" applyBorder="1" applyAlignment="1">
      <alignment horizontal="right" vertical="center" wrapText="1"/>
    </xf>
    <xf numFmtId="166" fontId="23" fillId="24" borderId="15" xfId="1" applyNumberFormat="1" applyFont="1" applyFill="1" applyBorder="1" applyAlignment="1">
      <alignment horizontal="right" vertical="center" wrapText="1"/>
    </xf>
    <xf numFmtId="0" fontId="23" fillId="24" borderId="39" xfId="1" applyFont="1" applyFill="1" applyBorder="1" applyAlignment="1">
      <alignment horizontal="center" vertical="center" wrapText="1"/>
    </xf>
    <xf numFmtId="0" fontId="22" fillId="0" borderId="42" xfId="1" applyFont="1" applyBorder="1" applyAlignment="1">
      <alignment vertical="center" wrapText="1"/>
    </xf>
    <xf numFmtId="0" fontId="22" fillId="0" borderId="42" xfId="1" applyFont="1" applyBorder="1" applyAlignment="1">
      <alignment vertical="center"/>
    </xf>
    <xf numFmtId="166" fontId="22" fillId="0" borderId="39" xfId="1" applyNumberFormat="1" applyFont="1" applyFill="1" applyBorder="1" applyAlignment="1">
      <alignment horizontal="right" vertical="center" wrapText="1"/>
    </xf>
    <xf numFmtId="166" fontId="23" fillId="24" borderId="16" xfId="1" applyNumberFormat="1" applyFont="1" applyFill="1" applyBorder="1" applyAlignment="1">
      <alignment horizontal="right" vertical="center" wrapText="1"/>
    </xf>
    <xf numFmtId="164" fontId="22" fillId="0" borderId="10" xfId="38" applyNumberFormat="1" applyFont="1" applyFill="1" applyBorder="1" applyAlignment="1">
      <alignment vertical="center" wrapText="1"/>
    </xf>
    <xf numFmtId="17" fontId="22" fillId="0" borderId="10" xfId="38" applyNumberFormat="1" applyFont="1" applyFill="1" applyBorder="1" applyAlignment="1">
      <alignment vertical="center" wrapText="1"/>
    </xf>
    <xf numFmtId="0" fontId="43" fillId="0" borderId="0" xfId="46" applyFont="1" applyAlignment="1">
      <alignment wrapText="1"/>
    </xf>
    <xf numFmtId="164" fontId="22" fillId="0" borderId="15" xfId="38" applyNumberFormat="1" applyFont="1" applyFill="1" applyBorder="1" applyAlignment="1">
      <alignment vertical="center" wrapText="1"/>
    </xf>
    <xf numFmtId="17" fontId="22" fillId="0" borderId="15" xfId="38" applyNumberFormat="1" applyFont="1" applyFill="1" applyBorder="1" applyAlignment="1">
      <alignment vertical="center" wrapText="1"/>
    </xf>
    <xf numFmtId="0" fontId="43" fillId="0" borderId="0" xfId="46" applyFont="1" applyAlignment="1">
      <alignment vertical="top" wrapText="1"/>
    </xf>
    <xf numFmtId="0" fontId="22" fillId="0" borderId="39" xfId="38" applyFont="1" applyFill="1" applyBorder="1" applyAlignment="1">
      <alignment vertical="center" wrapText="1"/>
    </xf>
    <xf numFmtId="10" fontId="22" fillId="0" borderId="39" xfId="38" applyNumberFormat="1" applyFont="1" applyFill="1" applyBorder="1" applyAlignment="1">
      <alignment vertical="center" wrapText="1"/>
    </xf>
    <xf numFmtId="164" fontId="43" fillId="0" borderId="39" xfId="47" applyNumberFormat="1" applyFont="1" applyFill="1" applyBorder="1" applyAlignment="1">
      <alignment horizontal="center" vertical="center" wrapText="1"/>
    </xf>
    <xf numFmtId="1" fontId="22" fillId="0" borderId="10" xfId="38" applyNumberFormat="1" applyFont="1" applyFill="1" applyBorder="1" applyAlignment="1">
      <alignment horizontal="center" vertical="center" wrapText="1"/>
    </xf>
    <xf numFmtId="17" fontId="22" fillId="0" borderId="39" xfId="38" applyNumberFormat="1" applyFont="1" applyFill="1" applyBorder="1" applyAlignment="1">
      <alignment vertical="center" wrapText="1"/>
    </xf>
    <xf numFmtId="164" fontId="43" fillId="0" borderId="15" xfId="47" applyNumberFormat="1" applyFont="1" applyFill="1" applyBorder="1" applyAlignment="1">
      <alignment horizontal="center" vertical="center" wrapText="1"/>
    </xf>
    <xf numFmtId="1" fontId="22" fillId="0" borderId="15" xfId="38" applyNumberFormat="1" applyFont="1" applyFill="1" applyBorder="1" applyAlignment="1">
      <alignment horizontal="center" vertical="center" wrapText="1"/>
    </xf>
    <xf numFmtId="17" fontId="22" fillId="0" borderId="39" xfId="38" applyNumberFormat="1" applyFont="1" applyFill="1" applyBorder="1" applyAlignment="1">
      <alignment horizontal="right" vertical="center" wrapText="1"/>
    </xf>
    <xf numFmtId="0" fontId="22" fillId="0" borderId="40" xfId="38" applyFont="1" applyFill="1" applyBorder="1" applyAlignment="1">
      <alignment horizontal="center" vertical="center" wrapText="1"/>
    </xf>
    <xf numFmtId="0" fontId="22" fillId="0" borderId="41" xfId="38" applyFont="1" applyFill="1" applyBorder="1" applyAlignment="1">
      <alignment horizontal="center" vertical="center" wrapText="1"/>
    </xf>
    <xf numFmtId="164" fontId="43" fillId="0" borderId="39" xfId="46" applyNumberFormat="1" applyFont="1" applyFill="1" applyBorder="1" applyAlignment="1">
      <alignment horizontal="center" vertical="center" wrapText="1"/>
    </xf>
    <xf numFmtId="164" fontId="44" fillId="0" borderId="10" xfId="38" applyNumberFormat="1" applyFont="1" applyFill="1" applyBorder="1" applyAlignment="1">
      <alignment vertical="center" wrapText="1"/>
    </xf>
    <xf numFmtId="4" fontId="44" fillId="0" borderId="10" xfId="38" applyNumberFormat="1" applyFont="1" applyFill="1" applyBorder="1" applyAlignment="1">
      <alignment vertical="center" wrapText="1"/>
    </xf>
    <xf numFmtId="1" fontId="44" fillId="0" borderId="10" xfId="38" applyNumberFormat="1" applyFont="1" applyFill="1" applyBorder="1" applyAlignment="1">
      <alignment vertical="center" wrapText="1"/>
    </xf>
    <xf numFmtId="1" fontId="44" fillId="0" borderId="10" xfId="45" applyNumberFormat="1" applyFont="1" applyFill="1" applyBorder="1" applyAlignment="1">
      <alignment horizontal="center" vertical="center" wrapText="1"/>
    </xf>
    <xf numFmtId="0" fontId="46" fillId="0" borderId="38" xfId="0" applyFont="1" applyBorder="1" applyAlignment="1">
      <alignment horizontal="center" vertical="center" wrapText="1"/>
    </xf>
    <xf numFmtId="17" fontId="46" fillId="0" borderId="38" xfId="0" applyNumberFormat="1" applyFont="1" applyBorder="1" applyAlignment="1">
      <alignment horizontal="center" vertical="center" wrapText="1"/>
    </xf>
    <xf numFmtId="0" fontId="46" fillId="0" borderId="37" xfId="0" applyFont="1" applyBorder="1" applyAlignment="1">
      <alignment horizontal="justify" vertical="center" wrapText="1"/>
    </xf>
    <xf numFmtId="0" fontId="43" fillId="0" borderId="43" xfId="46" applyFont="1" applyBorder="1" applyAlignment="1">
      <alignment wrapText="1"/>
    </xf>
    <xf numFmtId="164" fontId="44" fillId="0" borderId="43" xfId="38" applyNumberFormat="1" applyFont="1" applyFill="1" applyBorder="1" applyAlignment="1">
      <alignment vertical="center" wrapText="1"/>
    </xf>
    <xf numFmtId="164" fontId="22" fillId="0" borderId="39" xfId="38" applyNumberFormat="1" applyFont="1" applyFill="1" applyBorder="1" applyAlignment="1">
      <alignment vertical="center" wrapText="1"/>
    </xf>
    <xf numFmtId="0" fontId="43" fillId="0" borderId="44" xfId="46" applyFont="1" applyBorder="1" applyAlignment="1">
      <alignment vertical="top" wrapText="1"/>
    </xf>
    <xf numFmtId="0" fontId="43" fillId="0" borderId="0" xfId="46" applyFont="1"/>
    <xf numFmtId="0" fontId="43" fillId="0" borderId="0" xfId="46" applyFont="1" applyAlignment="1">
      <alignment horizontal="right"/>
    </xf>
    <xf numFmtId="0" fontId="48" fillId="28" borderId="45" xfId="46" applyFont="1" applyFill="1" applyBorder="1" applyAlignment="1">
      <alignment horizontal="center" vertical="top" wrapText="1"/>
    </xf>
    <xf numFmtId="0" fontId="43" fillId="29" borderId="0" xfId="46" applyFont="1" applyFill="1" applyAlignment="1">
      <alignment horizontal="right"/>
    </xf>
    <xf numFmtId="0" fontId="43" fillId="29" borderId="0" xfId="46" applyFont="1" applyFill="1"/>
    <xf numFmtId="0" fontId="44" fillId="0" borderId="39" xfId="46" applyFont="1" applyBorder="1" applyAlignment="1">
      <alignment vertical="top" wrapText="1"/>
    </xf>
    <xf numFmtId="166" fontId="0" fillId="0" borderId="0" xfId="0" applyNumberFormat="1"/>
    <xf numFmtId="9" fontId="22" fillId="0" borderId="10" xfId="45" applyFont="1" applyFill="1" applyBorder="1" applyAlignment="1">
      <alignment vertical="center" wrapText="1"/>
    </xf>
    <xf numFmtId="9" fontId="22" fillId="0" borderId="15" xfId="45" applyFont="1" applyFill="1" applyBorder="1" applyAlignment="1">
      <alignment vertical="center" wrapText="1"/>
    </xf>
    <xf numFmtId="9" fontId="22" fillId="0" borderId="39" xfId="45" applyFont="1" applyFill="1" applyBorder="1" applyAlignment="1">
      <alignment vertical="center" wrapText="1"/>
    </xf>
    <xf numFmtId="9" fontId="43" fillId="0" borderId="39" xfId="45" applyFont="1" applyFill="1" applyBorder="1" applyAlignment="1">
      <alignment horizontal="center" vertical="center" wrapText="1"/>
    </xf>
    <xf numFmtId="9" fontId="22" fillId="0" borderId="39" xfId="38" applyNumberFormat="1" applyFont="1" applyFill="1" applyBorder="1" applyAlignment="1">
      <alignment vertical="center" wrapText="1"/>
    </xf>
    <xf numFmtId="0" fontId="22" fillId="0" borderId="10" xfId="38" applyFont="1" applyFill="1" applyBorder="1" applyAlignment="1">
      <alignment horizontal="center" vertical="center" wrapText="1"/>
    </xf>
    <xf numFmtId="0" fontId="43" fillId="0" borderId="0" xfId="53" applyFont="1" applyAlignment="1">
      <alignment horizontal="right"/>
    </xf>
    <xf numFmtId="0" fontId="43" fillId="0" borderId="0" xfId="53" applyFont="1"/>
    <xf numFmtId="164" fontId="43" fillId="0" borderId="0" xfId="53" applyNumberFormat="1" applyFont="1"/>
    <xf numFmtId="0" fontId="52" fillId="0" borderId="0" xfId="53" applyFont="1" applyAlignment="1">
      <alignment horizontal="center" vertical="center"/>
    </xf>
    <xf numFmtId="0" fontId="43" fillId="0" borderId="51" xfId="53" applyFont="1" applyBorder="1" applyAlignment="1">
      <alignment vertical="top" wrapText="1"/>
    </xf>
    <xf numFmtId="0" fontId="49" fillId="0" borderId="51" xfId="53" applyFont="1" applyBorder="1" applyAlignment="1">
      <alignment horizontal="center" vertical="center" wrapText="1"/>
    </xf>
    <xf numFmtId="0" fontId="52" fillId="0" borderId="51" xfId="53" applyFont="1" applyBorder="1" applyAlignment="1">
      <alignment horizontal="center" vertical="center" wrapText="1"/>
    </xf>
    <xf numFmtId="164" fontId="49" fillId="28" borderId="53" xfId="53" applyNumberFormat="1" applyFont="1" applyFill="1" applyBorder="1" applyAlignment="1">
      <alignment vertical="top" wrapText="1"/>
    </xf>
    <xf numFmtId="0" fontId="49" fillId="0" borderId="51" xfId="53" applyFont="1" applyBorder="1" applyAlignment="1">
      <alignment horizontal="right" vertical="top"/>
    </xf>
    <xf numFmtId="164" fontId="43" fillId="30" borderId="51" xfId="53" applyNumberFormat="1" applyFont="1" applyFill="1" applyBorder="1" applyAlignment="1">
      <alignment vertical="top" wrapText="1"/>
    </xf>
    <xf numFmtId="164" fontId="44" fillId="30" borderId="51" xfId="53" applyNumberFormat="1" applyFont="1" applyFill="1" applyBorder="1" applyAlignment="1">
      <alignment vertical="top" wrapText="1"/>
    </xf>
    <xf numFmtId="164" fontId="54" fillId="30" borderId="51" xfId="53" applyNumberFormat="1" applyFont="1" applyFill="1" applyBorder="1" applyAlignment="1">
      <alignment vertical="top" wrapText="1"/>
    </xf>
    <xf numFmtId="164" fontId="49" fillId="28" borderId="47" xfId="53" applyNumberFormat="1" applyFont="1" applyFill="1" applyBorder="1" applyAlignment="1">
      <alignment vertical="top" wrapText="1"/>
    </xf>
    <xf numFmtId="164" fontId="49" fillId="28" borderId="55" xfId="53" applyNumberFormat="1" applyFont="1" applyFill="1" applyBorder="1" applyAlignment="1">
      <alignment vertical="top" wrapText="1"/>
    </xf>
    <xf numFmtId="164" fontId="52" fillId="28" borderId="47" xfId="53" applyNumberFormat="1" applyFont="1" applyFill="1" applyBorder="1" applyAlignment="1">
      <alignment horizontal="center" vertical="center"/>
    </xf>
    <xf numFmtId="164" fontId="49" fillId="28" borderId="51" xfId="53" applyNumberFormat="1" applyFont="1" applyFill="1" applyBorder="1" applyAlignment="1">
      <alignment vertical="top" wrapText="1"/>
    </xf>
    <xf numFmtId="164" fontId="49" fillId="28" borderId="52" xfId="53" applyNumberFormat="1" applyFont="1" applyFill="1" applyBorder="1" applyAlignment="1">
      <alignment vertical="top" wrapText="1"/>
    </xf>
    <xf numFmtId="164" fontId="52" fillId="28" borderId="51" xfId="53" applyNumberFormat="1" applyFont="1" applyFill="1" applyBorder="1" applyAlignment="1">
      <alignment horizontal="center" vertical="center"/>
    </xf>
    <xf numFmtId="0" fontId="43" fillId="0" borderId="51" xfId="53" applyFont="1" applyBorder="1"/>
    <xf numFmtId="164" fontId="43" fillId="30" borderId="51" xfId="53" applyNumberFormat="1" applyFont="1" applyFill="1" applyBorder="1"/>
    <xf numFmtId="164" fontId="43" fillId="30" borderId="51" xfId="53" applyNumberFormat="1" applyFont="1" applyFill="1" applyBorder="1" applyAlignment="1">
      <alignment vertical="center"/>
    </xf>
    <xf numFmtId="164" fontId="43" fillId="30" borderId="51" xfId="53" applyNumberFormat="1" applyFont="1" applyFill="1" applyBorder="1" applyAlignment="1">
      <alignment vertical="top"/>
    </xf>
    <xf numFmtId="0" fontId="43" fillId="0" borderId="51" xfId="53" applyFont="1" applyBorder="1" applyAlignment="1">
      <alignment horizontal="left" vertical="top" wrapText="1"/>
    </xf>
    <xf numFmtId="0" fontId="43" fillId="0" borderId="51" xfId="53" applyFont="1" applyBorder="1" applyAlignment="1">
      <alignment vertical="top"/>
    </xf>
    <xf numFmtId="164" fontId="55" fillId="30" borderId="51" xfId="53" applyNumberFormat="1" applyFont="1" applyFill="1" applyBorder="1" applyAlignment="1">
      <alignment vertical="top" wrapText="1"/>
    </xf>
    <xf numFmtId="164" fontId="43" fillId="31" borderId="51" xfId="53" applyNumberFormat="1" applyFont="1" applyFill="1" applyBorder="1" applyAlignment="1">
      <alignment horizontal="right" vertical="top" wrapText="1"/>
    </xf>
    <xf numFmtId="164" fontId="52" fillId="28" borderId="55" xfId="53" applyNumberFormat="1" applyFont="1" applyFill="1" applyBorder="1" applyAlignment="1">
      <alignment horizontal="center" vertical="center" wrapText="1"/>
    </xf>
    <xf numFmtId="0" fontId="53" fillId="0" borderId="54" xfId="54" applyFont="1" applyBorder="1" applyAlignment="1">
      <alignment horizontal="left" vertical="top" wrapText="1"/>
    </xf>
    <xf numFmtId="0" fontId="43" fillId="0" borderId="51" xfId="53" applyFont="1" applyFill="1" applyBorder="1" applyAlignment="1">
      <alignment horizontal="left" vertical="top" wrapText="1"/>
    </xf>
    <xf numFmtId="0" fontId="43" fillId="0" borderId="52" xfId="53" applyFont="1" applyBorder="1" applyAlignment="1">
      <alignment horizontal="left" vertical="top" wrapText="1"/>
    </xf>
    <xf numFmtId="164" fontId="54" fillId="31" borderId="51" xfId="53" applyNumberFormat="1" applyFont="1" applyFill="1" applyBorder="1" applyAlignment="1">
      <alignment horizontal="right" vertical="top" wrapText="1"/>
    </xf>
    <xf numFmtId="164" fontId="43" fillId="32" borderId="51" xfId="53" applyNumberFormat="1" applyFont="1" applyFill="1" applyBorder="1" applyAlignment="1">
      <alignment horizontal="center" vertical="top" wrapText="1"/>
    </xf>
    <xf numFmtId="164" fontId="43" fillId="32" borderId="51" xfId="53" applyNumberFormat="1" applyFont="1" applyFill="1" applyBorder="1" applyAlignment="1">
      <alignment vertical="center" wrapText="1"/>
    </xf>
    <xf numFmtId="0" fontId="43" fillId="29" borderId="51" xfId="53" applyFont="1" applyFill="1" applyBorder="1" applyAlignment="1">
      <alignment vertical="top" wrapText="1"/>
    </xf>
    <xf numFmtId="164" fontId="43" fillId="32" borderId="51" xfId="53" applyNumberFormat="1" applyFont="1" applyFill="1" applyBorder="1" applyAlignment="1">
      <alignment horizontal="left" vertical="top" wrapText="1"/>
    </xf>
    <xf numFmtId="164" fontId="43" fillId="32" borderId="51" xfId="53" applyNumberFormat="1" applyFont="1" applyFill="1" applyBorder="1" applyAlignment="1">
      <alignment horizontal="right" vertical="center" wrapText="1"/>
    </xf>
    <xf numFmtId="0" fontId="49" fillId="29" borderId="51" xfId="53" applyFont="1" applyFill="1" applyBorder="1" applyAlignment="1">
      <alignment vertical="top" wrapText="1"/>
    </xf>
    <xf numFmtId="164" fontId="43" fillId="33" borderId="51" xfId="53" applyNumberFormat="1" applyFont="1" applyFill="1" applyBorder="1" applyAlignment="1">
      <alignment vertical="top" wrapText="1"/>
    </xf>
    <xf numFmtId="0" fontId="49" fillId="29" borderId="51" xfId="53" applyFont="1" applyFill="1" applyBorder="1" applyAlignment="1">
      <alignment horizontal="right" vertical="top"/>
    </xf>
    <xf numFmtId="164" fontId="43" fillId="33" borderId="51" xfId="47" applyNumberFormat="1" applyFont="1" applyFill="1" applyBorder="1" applyAlignment="1">
      <alignment vertical="top" wrapText="1"/>
    </xf>
    <xf numFmtId="0" fontId="44" fillId="29" borderId="51" xfId="53" applyFont="1" applyFill="1" applyBorder="1" applyAlignment="1">
      <alignment vertical="top" wrapText="1"/>
    </xf>
    <xf numFmtId="164" fontId="43" fillId="34" borderId="51" xfId="53" applyNumberFormat="1" applyFont="1" applyFill="1" applyBorder="1" applyAlignment="1">
      <alignment vertical="top" wrapText="1"/>
    </xf>
    <xf numFmtId="164" fontId="43" fillId="35" borderId="47" xfId="53" applyNumberFormat="1" applyFont="1" applyFill="1" applyBorder="1" applyAlignment="1">
      <alignment horizontal="right" vertical="center" wrapText="1"/>
    </xf>
    <xf numFmtId="164" fontId="43" fillId="35" borderId="47" xfId="53" applyNumberFormat="1" applyFont="1" applyFill="1" applyBorder="1" applyAlignment="1">
      <alignment vertical="top" wrapText="1"/>
    </xf>
    <xf numFmtId="164" fontId="43" fillId="36" borderId="51" xfId="53" applyNumberFormat="1" applyFont="1" applyFill="1" applyBorder="1" applyAlignment="1">
      <alignment horizontal="right" vertical="top" wrapText="1"/>
    </xf>
    <xf numFmtId="164" fontId="43" fillId="37" borderId="51" xfId="53" applyNumberFormat="1" applyFont="1" applyFill="1" applyBorder="1" applyAlignment="1">
      <alignment horizontal="center" vertical="center" wrapText="1"/>
    </xf>
    <xf numFmtId="164" fontId="43" fillId="37" borderId="51" xfId="53" applyNumberFormat="1" applyFont="1" applyFill="1" applyBorder="1" applyAlignment="1">
      <alignment horizontal="left" vertical="top" wrapText="1"/>
    </xf>
    <xf numFmtId="0" fontId="50" fillId="0" borderId="51" xfId="53" applyFont="1" applyBorder="1" applyAlignment="1">
      <alignment horizontal="right" vertical="top"/>
    </xf>
    <xf numFmtId="0" fontId="44" fillId="0" borderId="51" xfId="53" applyFont="1" applyBorder="1" applyAlignment="1">
      <alignment wrapText="1"/>
    </xf>
    <xf numFmtId="164" fontId="43" fillId="28" borderId="51" xfId="53" applyNumberFormat="1" applyFont="1" applyFill="1" applyBorder="1" applyAlignment="1">
      <alignment horizontal="right" vertical="top" wrapText="1"/>
    </xf>
    <xf numFmtId="164" fontId="43" fillId="28" borderId="51" xfId="53" applyNumberFormat="1" applyFont="1" applyFill="1" applyBorder="1" applyAlignment="1">
      <alignment horizontal="left" vertical="top" wrapText="1"/>
    </xf>
    <xf numFmtId="0" fontId="49" fillId="0" borderId="51" xfId="53" applyFont="1" applyBorder="1" applyAlignment="1">
      <alignment horizontal="left" vertical="top"/>
    </xf>
    <xf numFmtId="164" fontId="52" fillId="28" borderId="56" xfId="53" applyNumberFormat="1" applyFont="1" applyFill="1" applyBorder="1" applyAlignment="1">
      <alignment horizontal="center" vertical="center" wrapText="1"/>
    </xf>
    <xf numFmtId="164" fontId="52" fillId="28" borderId="19" xfId="53" applyNumberFormat="1" applyFont="1" applyFill="1" applyBorder="1" applyAlignment="1">
      <alignment horizontal="center" vertical="center"/>
    </xf>
    <xf numFmtId="164" fontId="44" fillId="30" borderId="47" xfId="53" applyNumberFormat="1" applyFont="1" applyFill="1" applyBorder="1" applyAlignment="1">
      <alignment horizontal="right" vertical="center" wrapText="1"/>
    </xf>
    <xf numFmtId="0" fontId="44" fillId="0" borderId="51" xfId="53" applyFont="1" applyBorder="1" applyAlignment="1">
      <alignment vertical="top" wrapText="1"/>
    </xf>
    <xf numFmtId="164" fontId="54" fillId="30" borderId="51" xfId="53" applyNumberFormat="1" applyFont="1" applyFill="1" applyBorder="1" applyAlignment="1">
      <alignment horizontal="left" vertical="top" wrapText="1"/>
    </xf>
    <xf numFmtId="164" fontId="54" fillId="30" borderId="51" xfId="53" applyNumberFormat="1" applyFont="1" applyFill="1" applyBorder="1" applyAlignment="1">
      <alignment horizontal="right" vertical="center" wrapText="1"/>
    </xf>
    <xf numFmtId="0" fontId="43" fillId="0" borderId="51" xfId="53" applyFont="1" applyBorder="1" applyAlignment="1">
      <alignment horizontal="left"/>
    </xf>
    <xf numFmtId="164" fontId="43" fillId="29" borderId="51" xfId="53" applyNumberFormat="1" applyFont="1" applyFill="1" applyBorder="1"/>
    <xf numFmtId="164" fontId="43" fillId="0" borderId="51" xfId="53" applyNumberFormat="1" applyFont="1" applyBorder="1"/>
    <xf numFmtId="164" fontId="49" fillId="0" borderId="0" xfId="53" applyNumberFormat="1" applyFont="1"/>
    <xf numFmtId="0" fontId="43" fillId="0" borderId="0" xfId="53" applyFont="1" applyBorder="1"/>
    <xf numFmtId="164" fontId="43" fillId="0" borderId="0" xfId="53" applyNumberFormat="1" applyFont="1" applyBorder="1"/>
    <xf numFmtId="0" fontId="43" fillId="0" borderId="49" xfId="53" applyFont="1" applyBorder="1"/>
    <xf numFmtId="168" fontId="43" fillId="0" borderId="0" xfId="53" applyNumberFormat="1" applyFont="1"/>
    <xf numFmtId="0" fontId="57" fillId="0" borderId="51" xfId="54" applyFont="1" applyBorder="1" applyAlignment="1">
      <alignment horizontal="left" vertical="top" wrapText="1"/>
    </xf>
    <xf numFmtId="0" fontId="53" fillId="0" borderId="51" xfId="54" applyFont="1" applyBorder="1" applyAlignment="1">
      <alignment horizontal="left" vertical="top" wrapText="1"/>
    </xf>
    <xf numFmtId="0" fontId="43" fillId="0" borderId="54" xfId="53" applyFont="1" applyFill="1" applyBorder="1" applyAlignment="1">
      <alignment horizontal="left" vertical="top" wrapText="1"/>
    </xf>
    <xf numFmtId="0" fontId="44" fillId="0" borderId="54" xfId="53" applyFont="1" applyBorder="1" applyAlignment="1">
      <alignment wrapText="1"/>
    </xf>
    <xf numFmtId="0" fontId="43" fillId="0" borderId="54" xfId="53" applyFont="1" applyBorder="1" applyAlignment="1">
      <alignment horizontal="left" vertical="top" wrapText="1"/>
    </xf>
    <xf numFmtId="164" fontId="43" fillId="29" borderId="47" xfId="53" applyNumberFormat="1" applyFont="1" applyFill="1" applyBorder="1"/>
    <xf numFmtId="164" fontId="43" fillId="35" borderId="51" xfId="53" applyNumberFormat="1" applyFont="1" applyFill="1" applyBorder="1" applyAlignment="1">
      <alignment horizontal="right" vertical="center" wrapText="1"/>
    </xf>
    <xf numFmtId="164" fontId="43" fillId="28" borderId="47" xfId="53" applyNumberFormat="1" applyFont="1" applyFill="1" applyBorder="1" applyAlignment="1">
      <alignment horizontal="right" vertical="top" wrapText="1"/>
    </xf>
    <xf numFmtId="164" fontId="43" fillId="37" borderId="47" xfId="53" applyNumberFormat="1" applyFont="1" applyFill="1" applyBorder="1" applyAlignment="1">
      <alignment horizontal="center" vertical="center" wrapText="1"/>
    </xf>
    <xf numFmtId="164" fontId="43" fillId="38" borderId="47" xfId="53" applyNumberFormat="1" applyFont="1" applyFill="1" applyBorder="1" applyAlignment="1">
      <alignment horizontal="right" vertical="top" wrapText="1"/>
    </xf>
    <xf numFmtId="164" fontId="43" fillId="35" borderId="19" xfId="53" applyNumberFormat="1" applyFont="1" applyFill="1" applyBorder="1" applyAlignment="1">
      <alignment horizontal="right" vertical="center" wrapText="1"/>
    </xf>
    <xf numFmtId="164" fontId="43" fillId="35" borderId="54" xfId="53" applyNumberFormat="1" applyFont="1" applyFill="1" applyBorder="1" applyAlignment="1">
      <alignment horizontal="right" vertical="center" wrapText="1"/>
    </xf>
    <xf numFmtId="164" fontId="43" fillId="37" borderId="0" xfId="53" applyNumberFormat="1" applyFont="1" applyFill="1" applyBorder="1" applyAlignment="1">
      <alignment horizontal="center" vertical="center" wrapText="1"/>
    </xf>
    <xf numFmtId="164" fontId="43" fillId="33" borderId="0" xfId="53" applyNumberFormat="1" applyFont="1" applyFill="1" applyBorder="1" applyAlignment="1">
      <alignment vertical="top" wrapText="1"/>
    </xf>
    <xf numFmtId="164" fontId="43" fillId="32" borderId="0" xfId="53" applyNumberFormat="1" applyFont="1" applyFill="1" applyBorder="1" applyAlignment="1">
      <alignment vertical="center" wrapText="1"/>
    </xf>
    <xf numFmtId="164" fontId="43" fillId="35" borderId="51" xfId="53" applyNumberFormat="1" applyFont="1" applyFill="1" applyBorder="1" applyAlignment="1">
      <alignment vertical="top" wrapText="1"/>
    </xf>
    <xf numFmtId="164" fontId="43" fillId="35" borderId="19" xfId="53" applyNumberFormat="1" applyFont="1" applyFill="1" applyBorder="1" applyAlignment="1">
      <alignment vertical="top" wrapText="1"/>
    </xf>
    <xf numFmtId="165" fontId="44" fillId="35" borderId="51" xfId="56" applyFont="1" applyFill="1" applyBorder="1" applyAlignment="1">
      <alignment vertical="top"/>
    </xf>
    <xf numFmtId="164" fontId="43" fillId="28" borderId="47" xfId="53" applyNumberFormat="1" applyFont="1" applyFill="1" applyBorder="1" applyAlignment="1">
      <alignment horizontal="left" vertical="top" wrapText="1"/>
    </xf>
    <xf numFmtId="164" fontId="54" fillId="37" borderId="47" xfId="53" applyNumberFormat="1" applyFont="1" applyFill="1" applyBorder="1" applyAlignment="1">
      <alignment horizontal="center" vertical="center" wrapText="1"/>
    </xf>
    <xf numFmtId="164" fontId="54" fillId="28" borderId="47" xfId="53" applyNumberFormat="1" applyFont="1" applyFill="1" applyBorder="1" applyAlignment="1">
      <alignment horizontal="right" vertical="top" wrapText="1"/>
    </xf>
    <xf numFmtId="164" fontId="43" fillId="36" borderId="47" xfId="53" applyNumberFormat="1" applyFont="1" applyFill="1" applyBorder="1" applyAlignment="1">
      <alignment horizontal="right" vertical="top" wrapText="1"/>
    </xf>
    <xf numFmtId="164" fontId="44" fillId="37" borderId="47" xfId="53" applyNumberFormat="1" applyFont="1" applyFill="1" applyBorder="1" applyAlignment="1">
      <alignment horizontal="left" vertical="top" wrapText="1"/>
    </xf>
    <xf numFmtId="164" fontId="54" fillId="37" borderId="47" xfId="53" applyNumberFormat="1" applyFont="1" applyFill="1" applyBorder="1" applyAlignment="1">
      <alignment horizontal="left" vertical="top" wrapText="1"/>
    </xf>
    <xf numFmtId="164" fontId="54" fillId="28" borderId="47" xfId="53" applyNumberFormat="1" applyFont="1" applyFill="1" applyBorder="1" applyAlignment="1">
      <alignment horizontal="left" vertical="top" wrapText="1"/>
    </xf>
    <xf numFmtId="164" fontId="43" fillId="37" borderId="47" xfId="53" applyNumberFormat="1" applyFont="1" applyFill="1" applyBorder="1" applyAlignment="1">
      <alignment horizontal="left" vertical="top" wrapText="1"/>
    </xf>
    <xf numFmtId="165" fontId="55" fillId="35" borderId="51" xfId="56" applyFont="1" applyFill="1" applyBorder="1"/>
    <xf numFmtId="164" fontId="43" fillId="38" borderId="51" xfId="53" applyNumberFormat="1" applyFont="1" applyFill="1" applyBorder="1" applyAlignment="1">
      <alignment horizontal="right" vertical="top" wrapText="1"/>
    </xf>
    <xf numFmtId="164" fontId="54" fillId="33" borderId="0" xfId="53" applyNumberFormat="1" applyFont="1" applyFill="1" applyBorder="1" applyAlignment="1">
      <alignment vertical="top" wrapText="1"/>
    </xf>
    <xf numFmtId="164" fontId="43" fillId="37" borderId="0" xfId="53" applyNumberFormat="1" applyFont="1" applyFill="1" applyBorder="1" applyAlignment="1">
      <alignment horizontal="left" vertical="top" wrapText="1"/>
    </xf>
    <xf numFmtId="164" fontId="52" fillId="28" borderId="52" xfId="53" applyNumberFormat="1" applyFont="1" applyFill="1" applyBorder="1" applyAlignment="1">
      <alignment horizontal="center" vertical="center" wrapText="1"/>
    </xf>
    <xf numFmtId="0" fontId="49" fillId="0" borderId="47" xfId="53" applyFont="1" applyBorder="1" applyAlignment="1">
      <alignment horizontal="right" vertical="top"/>
    </xf>
    <xf numFmtId="0" fontId="43" fillId="0" borderId="47" xfId="53" applyFont="1" applyBorder="1" applyAlignment="1">
      <alignment vertical="top"/>
    </xf>
    <xf numFmtId="164" fontId="44" fillId="30" borderId="47" xfId="53" applyNumberFormat="1" applyFont="1" applyFill="1" applyBorder="1" applyAlignment="1">
      <alignment horizontal="center" vertical="center" wrapText="1"/>
    </xf>
    <xf numFmtId="164" fontId="43" fillId="30" borderId="47" xfId="53" applyNumberFormat="1" applyFont="1" applyFill="1" applyBorder="1"/>
    <xf numFmtId="164" fontId="54" fillId="30" borderId="47" xfId="53" applyNumberFormat="1" applyFont="1" applyFill="1" applyBorder="1"/>
    <xf numFmtId="0" fontId="43" fillId="0" borderId="44" xfId="53" applyFont="1" applyBorder="1" applyAlignment="1">
      <alignment horizontal="left"/>
    </xf>
    <xf numFmtId="0" fontId="43" fillId="0" borderId="44" xfId="53" applyFont="1" applyBorder="1"/>
    <xf numFmtId="164" fontId="43" fillId="29" borderId="44" xfId="53" applyNumberFormat="1" applyFont="1" applyFill="1" applyBorder="1"/>
    <xf numFmtId="164" fontId="49" fillId="28" borderId="44" xfId="53" applyNumberFormat="1" applyFont="1" applyFill="1" applyBorder="1" applyAlignment="1">
      <alignment vertical="top" wrapText="1"/>
    </xf>
    <xf numFmtId="164" fontId="52" fillId="28" borderId="57" xfId="53" applyNumberFormat="1" applyFont="1" applyFill="1" applyBorder="1" applyAlignment="1">
      <alignment horizontal="center" vertical="center" wrapText="1"/>
    </xf>
    <xf numFmtId="164" fontId="52" fillId="28" borderId="58" xfId="53" applyNumberFormat="1" applyFont="1" applyFill="1" applyBorder="1" applyAlignment="1">
      <alignment horizontal="center" vertical="center"/>
    </xf>
    <xf numFmtId="164" fontId="43" fillId="29" borderId="58" xfId="53" applyNumberFormat="1" applyFont="1" applyFill="1" applyBorder="1"/>
    <xf numFmtId="164" fontId="43" fillId="30" borderId="47" xfId="53" applyNumberFormat="1" applyFont="1" applyFill="1" applyBorder="1" applyAlignment="1">
      <alignment vertical="top" wrapText="1"/>
    </xf>
    <xf numFmtId="164" fontId="44" fillId="30" borderId="47" xfId="53" applyNumberFormat="1" applyFont="1" applyFill="1" applyBorder="1" applyAlignment="1">
      <alignment vertical="top" wrapText="1"/>
    </xf>
    <xf numFmtId="0" fontId="43" fillId="0" borderId="47" xfId="53" applyFont="1" applyBorder="1" applyAlignment="1">
      <alignment horizontal="left" vertical="top" wrapText="1"/>
    </xf>
    <xf numFmtId="0" fontId="49" fillId="0" borderId="0" xfId="53" applyFont="1" applyBorder="1" applyAlignment="1">
      <alignment horizontal="right" vertical="top"/>
    </xf>
    <xf numFmtId="0" fontId="44" fillId="0" borderId="0" xfId="53" applyFont="1" applyBorder="1" applyAlignment="1">
      <alignment horizontal="left" vertical="top" wrapText="1"/>
    </xf>
    <xf numFmtId="164" fontId="43" fillId="28" borderId="0" xfId="53" applyNumberFormat="1" applyFont="1" applyFill="1" applyBorder="1" applyAlignment="1">
      <alignment horizontal="right" vertical="top" wrapText="1"/>
    </xf>
    <xf numFmtId="164" fontId="43" fillId="28" borderId="0" xfId="53" applyNumberFormat="1" applyFont="1" applyFill="1" applyBorder="1" applyAlignment="1">
      <alignment horizontal="left" vertical="top" wrapText="1"/>
    </xf>
    <xf numFmtId="164" fontId="49" fillId="28" borderId="0" xfId="53" applyNumberFormat="1" applyFont="1" applyFill="1" applyBorder="1" applyAlignment="1">
      <alignment vertical="top" wrapText="1"/>
    </xf>
    <xf numFmtId="164" fontId="52" fillId="28" borderId="0" xfId="53" applyNumberFormat="1" applyFont="1" applyFill="1" applyBorder="1" applyAlignment="1">
      <alignment horizontal="center" vertical="center" wrapText="1"/>
    </xf>
    <xf numFmtId="164" fontId="52" fillId="28" borderId="0" xfId="53" applyNumberFormat="1" applyFont="1" applyFill="1" applyBorder="1" applyAlignment="1">
      <alignment horizontal="center" vertical="center"/>
    </xf>
    <xf numFmtId="0" fontId="49" fillId="0" borderId="44" xfId="53" applyFont="1" applyBorder="1" applyAlignment="1">
      <alignment horizontal="right" vertical="top"/>
    </xf>
    <xf numFmtId="0" fontId="57" fillId="0" borderId="44" xfId="54" applyFont="1" applyBorder="1" applyAlignment="1">
      <alignment horizontal="left" vertical="top" wrapText="1"/>
    </xf>
    <xf numFmtId="164" fontId="43" fillId="35" borderId="58" xfId="53" applyNumberFormat="1" applyFont="1" applyFill="1" applyBorder="1" applyAlignment="1">
      <alignment horizontal="right" vertical="center" wrapText="1"/>
    </xf>
    <xf numFmtId="164" fontId="43" fillId="35" borderId="58" xfId="53" applyNumberFormat="1" applyFont="1" applyFill="1" applyBorder="1" applyAlignment="1">
      <alignment vertical="top" wrapText="1"/>
    </xf>
    <xf numFmtId="164" fontId="43" fillId="36" borderId="58" xfId="53" applyNumberFormat="1" applyFont="1" applyFill="1" applyBorder="1" applyAlignment="1">
      <alignment horizontal="right" vertical="top" wrapText="1"/>
    </xf>
    <xf numFmtId="164" fontId="43" fillId="32" borderId="47" xfId="53" applyNumberFormat="1" applyFont="1" applyFill="1" applyBorder="1" applyAlignment="1">
      <alignment horizontal="right" vertical="center" wrapText="1"/>
    </xf>
    <xf numFmtId="164" fontId="43" fillId="28" borderId="58" xfId="53" applyNumberFormat="1" applyFont="1" applyFill="1" applyBorder="1" applyAlignment="1">
      <alignment horizontal="right" vertical="top" wrapText="1"/>
    </xf>
    <xf numFmtId="164" fontId="43" fillId="28" borderId="58" xfId="53" applyNumberFormat="1" applyFont="1" applyFill="1" applyBorder="1" applyAlignment="1">
      <alignment horizontal="left" vertical="top" wrapText="1"/>
    </xf>
    <xf numFmtId="164" fontId="43" fillId="32" borderId="59" xfId="53" applyNumberFormat="1" applyFont="1" applyFill="1" applyBorder="1" applyAlignment="1">
      <alignment horizontal="center" vertical="top" wrapText="1"/>
    </xf>
    <xf numFmtId="164" fontId="43" fillId="32" borderId="47" xfId="53" applyNumberFormat="1" applyFont="1" applyFill="1" applyBorder="1" applyAlignment="1">
      <alignment vertical="center" wrapText="1"/>
    </xf>
    <xf numFmtId="164" fontId="43" fillId="32" borderId="59" xfId="53" applyNumberFormat="1" applyFont="1" applyFill="1" applyBorder="1" applyAlignment="1">
      <alignment vertical="center" wrapText="1"/>
    </xf>
    <xf numFmtId="164" fontId="43" fillId="32" borderId="47" xfId="53" applyNumberFormat="1" applyFont="1" applyFill="1" applyBorder="1" applyAlignment="1">
      <alignment horizontal="center" vertical="top" wrapText="1"/>
    </xf>
    <xf numFmtId="164" fontId="43" fillId="32" borderId="47" xfId="53" applyNumberFormat="1" applyFont="1" applyFill="1" applyBorder="1" applyAlignment="1">
      <alignment horizontal="left" vertical="top" wrapText="1"/>
    </xf>
    <xf numFmtId="0" fontId="53" fillId="0" borderId="44" xfId="54" applyFont="1" applyBorder="1"/>
    <xf numFmtId="0" fontId="53" fillId="29" borderId="44" xfId="54" applyFont="1" applyFill="1" applyBorder="1"/>
    <xf numFmtId="164" fontId="43" fillId="0" borderId="44" xfId="53" applyNumberFormat="1" applyFont="1" applyBorder="1"/>
    <xf numFmtId="4" fontId="53" fillId="0" borderId="44" xfId="54" applyNumberFormat="1" applyFont="1" applyBorder="1"/>
    <xf numFmtId="3" fontId="53" fillId="0" borderId="51" xfId="54" applyNumberFormat="1" applyFont="1" applyBorder="1"/>
    <xf numFmtId="0" fontId="22" fillId="0" borderId="60" xfId="1" applyFont="1" applyBorder="1" applyAlignment="1" applyProtection="1"/>
    <xf numFmtId="166" fontId="22" fillId="0" borderId="53" xfId="1" applyNumberFormat="1" applyFont="1" applyFill="1" applyBorder="1" applyAlignment="1">
      <alignment horizontal="right" vertical="center" wrapText="1"/>
    </xf>
    <xf numFmtId="0" fontId="22" fillId="0" borderId="51" xfId="38" applyFont="1" applyFill="1" applyBorder="1" applyAlignment="1">
      <alignment vertical="center" wrapText="1"/>
    </xf>
    <xf numFmtId="0" fontId="22" fillId="0" borderId="51" xfId="38" applyFont="1" applyFill="1" applyBorder="1" applyAlignment="1">
      <alignment horizontal="center" vertical="center" wrapText="1"/>
    </xf>
    <xf numFmtId="164" fontId="22" fillId="0" borderId="51" xfId="38" applyNumberFormat="1" applyFont="1" applyFill="1" applyBorder="1" applyAlignment="1">
      <alignment vertical="center" wrapText="1"/>
    </xf>
    <xf numFmtId="9" fontId="22" fillId="0" borderId="51" xfId="45" applyFont="1" applyFill="1" applyBorder="1" applyAlignment="1">
      <alignment vertical="center" wrapText="1"/>
    </xf>
    <xf numFmtId="17" fontId="22" fillId="0" borderId="51" xfId="38" applyNumberFormat="1" applyFont="1" applyFill="1" applyBorder="1" applyAlignment="1">
      <alignment vertical="center" wrapText="1"/>
    </xf>
    <xf numFmtId="0" fontId="43" fillId="0" borderId="47" xfId="46" applyFont="1" applyBorder="1" applyAlignment="1">
      <alignment horizontal="left" vertical="top" wrapText="1"/>
    </xf>
    <xf numFmtId="0" fontId="43" fillId="0" borderId="51" xfId="46" applyFont="1" applyBorder="1" applyAlignment="1">
      <alignment wrapText="1"/>
    </xf>
    <xf numFmtId="0" fontId="43" fillId="0" borderId="51" xfId="46" applyFont="1" applyBorder="1" applyAlignment="1">
      <alignment vertical="top" wrapText="1"/>
    </xf>
    <xf numFmtId="0" fontId="43" fillId="0" borderId="51" xfId="46" applyFont="1" applyBorder="1" applyAlignment="1">
      <alignment vertical="center" wrapText="1"/>
    </xf>
    <xf numFmtId="0" fontId="43" fillId="33" borderId="51" xfId="53" applyFont="1" applyFill="1" applyBorder="1"/>
    <xf numFmtId="0" fontId="43" fillId="33" borderId="51" xfId="53" applyFont="1" applyFill="1" applyBorder="1" applyAlignment="1">
      <alignment horizontal="left" vertical="top" wrapText="1"/>
    </xf>
    <xf numFmtId="0" fontId="43" fillId="33" borderId="51" xfId="53" applyFont="1" applyFill="1" applyBorder="1" applyAlignment="1">
      <alignment vertical="top" wrapText="1"/>
    </xf>
    <xf numFmtId="0" fontId="43" fillId="33" borderId="0" xfId="53" applyFont="1" applyFill="1" applyBorder="1" applyAlignment="1">
      <alignment vertical="top" wrapText="1"/>
    </xf>
    <xf numFmtId="0" fontId="43" fillId="33" borderId="47" xfId="53" applyFont="1" applyFill="1" applyBorder="1" applyAlignment="1">
      <alignment vertical="top" wrapText="1"/>
    </xf>
    <xf numFmtId="0" fontId="53" fillId="33" borderId="44" xfId="54" applyFont="1" applyFill="1" applyBorder="1"/>
    <xf numFmtId="0" fontId="22" fillId="0" borderId="51" xfId="38" applyFont="1" applyFill="1" applyBorder="1" applyAlignment="1">
      <alignment horizontal="right" vertical="center" wrapText="1"/>
    </xf>
    <xf numFmtId="0" fontId="54" fillId="33" borderId="47" xfId="53" applyFont="1" applyFill="1" applyBorder="1" applyAlignment="1">
      <alignment horizontal="left" vertical="top" wrapText="1"/>
    </xf>
    <xf numFmtId="0" fontId="54" fillId="33" borderId="51" xfId="53" applyFont="1" applyFill="1" applyBorder="1" applyAlignment="1">
      <alignment vertical="top" wrapText="1"/>
    </xf>
    <xf numFmtId="0" fontId="54" fillId="33" borderId="51" xfId="53" applyFont="1" applyFill="1" applyBorder="1" applyAlignment="1">
      <alignment horizontal="left" vertical="top" wrapText="1"/>
    </xf>
    <xf numFmtId="0" fontId="54" fillId="33" borderId="44" xfId="53" applyFont="1" applyFill="1" applyBorder="1" applyAlignment="1">
      <alignment horizontal="left" vertical="top" wrapText="1"/>
    </xf>
    <xf numFmtId="0" fontId="44" fillId="33" borderId="59" xfId="53" applyFont="1" applyFill="1" applyBorder="1" applyAlignment="1">
      <alignment horizontal="left" vertical="top" wrapText="1"/>
    </xf>
    <xf numFmtId="0" fontId="56" fillId="33" borderId="51" xfId="53" applyFont="1" applyFill="1" applyBorder="1" applyAlignment="1">
      <alignment vertical="top" wrapText="1"/>
    </xf>
    <xf numFmtId="0" fontId="43" fillId="33" borderId="59" xfId="53" applyFont="1" applyFill="1" applyBorder="1" applyAlignment="1">
      <alignment vertical="top" wrapText="1"/>
    </xf>
    <xf numFmtId="0" fontId="43" fillId="33" borderId="51" xfId="53" applyFont="1" applyFill="1" applyBorder="1" applyAlignment="1">
      <alignment vertical="top"/>
    </xf>
    <xf numFmtId="0" fontId="22" fillId="0" borderId="53" xfId="38" applyFont="1" applyFill="1" applyBorder="1" applyAlignment="1">
      <alignment vertical="center" wrapText="1"/>
    </xf>
    <xf numFmtId="164" fontId="43" fillId="0" borderId="53" xfId="47" applyNumberFormat="1" applyFont="1" applyFill="1" applyBorder="1" applyAlignment="1">
      <alignment horizontal="center" vertical="center" wrapText="1"/>
    </xf>
    <xf numFmtId="9" fontId="22" fillId="0" borderId="53" xfId="38" applyNumberFormat="1" applyFont="1" applyFill="1" applyBorder="1" applyAlignment="1">
      <alignment vertical="center" wrapText="1"/>
    </xf>
    <xf numFmtId="1" fontId="22" fillId="0" borderId="53" xfId="38" applyNumberFormat="1" applyFont="1" applyFill="1" applyBorder="1" applyAlignment="1">
      <alignment horizontal="center" vertical="center" wrapText="1"/>
    </xf>
    <xf numFmtId="17" fontId="22" fillId="0" borderId="51" xfId="38" applyNumberFormat="1" applyFont="1" applyFill="1" applyBorder="1" applyAlignment="1">
      <alignment horizontal="right" vertical="center" wrapText="1"/>
    </xf>
    <xf numFmtId="0" fontId="22" fillId="0" borderId="61" xfId="38" applyFont="1" applyFill="1" applyBorder="1" applyAlignment="1">
      <alignment vertical="center" wrapText="1"/>
    </xf>
    <xf numFmtId="0" fontId="43" fillId="0" borderId="53" xfId="46" applyFont="1" applyBorder="1" applyAlignment="1">
      <alignment wrapText="1"/>
    </xf>
    <xf numFmtId="0" fontId="43" fillId="0" borderId="58" xfId="46" applyFont="1" applyBorder="1" applyAlignment="1">
      <alignment wrapText="1"/>
    </xf>
    <xf numFmtId="0" fontId="43" fillId="33" borderId="0" xfId="53" applyFont="1" applyFill="1" applyBorder="1"/>
    <xf numFmtId="0" fontId="43" fillId="33" borderId="54" xfId="53" applyFont="1" applyFill="1" applyBorder="1"/>
    <xf numFmtId="0" fontId="43" fillId="33" borderId="44" xfId="53" applyFont="1" applyFill="1" applyBorder="1"/>
    <xf numFmtId="170" fontId="0" fillId="0" borderId="0" xfId="45" applyNumberFormat="1" applyFont="1"/>
    <xf numFmtId="169" fontId="0" fillId="0" borderId="0" xfId="0" applyNumberFormat="1"/>
    <xf numFmtId="167" fontId="44" fillId="0" borderId="10" xfId="38" applyNumberFormat="1" applyFont="1" applyFill="1" applyBorder="1" applyAlignment="1">
      <alignment vertical="center" wrapText="1"/>
    </xf>
    <xf numFmtId="0" fontId="43" fillId="0" borderId="47" xfId="53" applyFont="1" applyBorder="1" applyAlignment="1">
      <alignment horizontal="left"/>
    </xf>
    <xf numFmtId="0" fontId="43" fillId="0" borderId="47" xfId="53" applyFont="1" applyBorder="1"/>
    <xf numFmtId="0" fontId="53" fillId="0" borderId="52" xfId="54" applyFont="1" applyBorder="1" applyAlignment="1">
      <alignment horizontal="left" vertical="top" wrapText="1"/>
    </xf>
    <xf numFmtId="0" fontId="43" fillId="0" borderId="51" xfId="46" applyFont="1" applyBorder="1"/>
    <xf numFmtId="164" fontId="43" fillId="29" borderId="51" xfId="53" applyNumberFormat="1" applyFont="1" applyFill="1" applyBorder="1" applyAlignment="1">
      <alignment horizontal="right" vertical="top" wrapText="1"/>
    </xf>
    <xf numFmtId="164" fontId="43" fillId="29" borderId="51" xfId="53" applyNumberFormat="1" applyFont="1" applyFill="1" applyBorder="1" applyAlignment="1">
      <alignment horizontal="center" vertical="top" wrapText="1"/>
    </xf>
    <xf numFmtId="164" fontId="43" fillId="29" borderId="51" xfId="53" applyNumberFormat="1" applyFont="1" applyFill="1" applyBorder="1" applyAlignment="1">
      <alignment vertical="center" wrapText="1"/>
    </xf>
    <xf numFmtId="164" fontId="43" fillId="29" borderId="51" xfId="53" applyNumberFormat="1" applyFont="1" applyFill="1" applyBorder="1" applyAlignment="1">
      <alignment horizontal="left" vertical="top" wrapText="1"/>
    </xf>
    <xf numFmtId="164" fontId="43" fillId="29" borderId="51" xfId="53" applyNumberFormat="1" applyFont="1" applyFill="1" applyBorder="1" applyAlignment="1">
      <alignment horizontal="right" vertical="center" wrapText="1"/>
    </xf>
    <xf numFmtId="164" fontId="43" fillId="29" borderId="51" xfId="53" applyNumberFormat="1" applyFont="1" applyFill="1" applyBorder="1" applyAlignment="1">
      <alignment vertical="top" wrapText="1"/>
    </xf>
    <xf numFmtId="165" fontId="55" fillId="29" borderId="51" xfId="56" applyFont="1" applyFill="1" applyBorder="1"/>
    <xf numFmtId="164" fontId="43" fillId="29" borderId="47" xfId="53" applyNumberFormat="1" applyFont="1" applyFill="1" applyBorder="1" applyAlignment="1">
      <alignment horizontal="right" vertical="center" wrapText="1"/>
    </xf>
    <xf numFmtId="164" fontId="43" fillId="29" borderId="47" xfId="53" applyNumberFormat="1" applyFont="1" applyFill="1" applyBorder="1" applyAlignment="1">
      <alignment vertical="top" wrapText="1"/>
    </xf>
    <xf numFmtId="164" fontId="43" fillId="29" borderId="47" xfId="53" applyNumberFormat="1" applyFont="1" applyFill="1" applyBorder="1" applyAlignment="1">
      <alignment horizontal="right" vertical="top" wrapText="1"/>
    </xf>
    <xf numFmtId="164" fontId="43" fillId="29" borderId="47" xfId="53" applyNumberFormat="1" applyFont="1" applyFill="1" applyBorder="1" applyAlignment="1">
      <alignment horizontal="center" vertical="center" wrapText="1"/>
    </xf>
    <xf numFmtId="164" fontId="43" fillId="29" borderId="47" xfId="53" applyNumberFormat="1" applyFont="1" applyFill="1" applyBorder="1" applyAlignment="1">
      <alignment horizontal="left" vertical="top" wrapText="1"/>
    </xf>
    <xf numFmtId="164" fontId="54" fillId="29" borderId="47" xfId="53" applyNumberFormat="1" applyFont="1" applyFill="1" applyBorder="1" applyAlignment="1">
      <alignment horizontal="center" vertical="center" wrapText="1"/>
    </xf>
    <xf numFmtId="164" fontId="44" fillId="29" borderId="47" xfId="53" applyNumberFormat="1" applyFont="1" applyFill="1" applyBorder="1" applyAlignment="1">
      <alignment horizontal="left" vertical="top" wrapText="1"/>
    </xf>
    <xf numFmtId="164" fontId="54" fillId="29" borderId="47" xfId="53" applyNumberFormat="1" applyFont="1" applyFill="1" applyBorder="1" applyAlignment="1">
      <alignment horizontal="left" vertical="top" wrapText="1"/>
    </xf>
    <xf numFmtId="164" fontId="54" fillId="29" borderId="47" xfId="53" applyNumberFormat="1" applyFont="1" applyFill="1" applyBorder="1" applyAlignment="1">
      <alignment horizontal="right" vertical="top" wrapText="1"/>
    </xf>
    <xf numFmtId="164" fontId="44" fillId="29" borderId="47" xfId="53" applyNumberFormat="1" applyFont="1" applyFill="1" applyBorder="1" applyAlignment="1">
      <alignment horizontal="right" vertical="center" wrapText="1"/>
    </xf>
    <xf numFmtId="164" fontId="54" fillId="29" borderId="51" xfId="53" applyNumberFormat="1" applyFont="1" applyFill="1" applyBorder="1" applyAlignment="1">
      <alignment horizontal="left" vertical="top" wrapText="1"/>
    </xf>
    <xf numFmtId="164" fontId="54" fillId="29" borderId="51" xfId="53" applyNumberFormat="1" applyFont="1" applyFill="1" applyBorder="1" applyAlignment="1">
      <alignment horizontal="right" vertical="center" wrapText="1"/>
    </xf>
    <xf numFmtId="0" fontId="49" fillId="0" borderId="53" xfId="53" applyFont="1" applyBorder="1" applyAlignment="1">
      <alignment horizontal="left" vertical="top"/>
    </xf>
    <xf numFmtId="164" fontId="44" fillId="29" borderId="19" xfId="53" applyNumberFormat="1" applyFont="1" applyFill="1" applyBorder="1" applyAlignment="1">
      <alignment horizontal="right" vertical="center" wrapText="1"/>
    </xf>
    <xf numFmtId="0" fontId="43" fillId="0" borderId="47" xfId="46" applyFont="1" applyBorder="1" applyAlignment="1">
      <alignment horizontal="left"/>
    </xf>
    <xf numFmtId="0" fontId="44" fillId="0" borderId="47" xfId="46" applyFont="1" applyBorder="1"/>
    <xf numFmtId="164" fontId="44" fillId="29" borderId="48" xfId="46" applyNumberFormat="1" applyFont="1" applyFill="1" applyBorder="1"/>
    <xf numFmtId="164" fontId="44" fillId="29" borderId="47" xfId="46" applyNumberFormat="1" applyFont="1" applyFill="1" applyBorder="1"/>
    <xf numFmtId="0" fontId="44" fillId="0" borderId="62" xfId="53" applyFont="1" applyBorder="1" applyAlignment="1">
      <alignment vertical="top" wrapText="1"/>
    </xf>
    <xf numFmtId="164" fontId="44" fillId="29" borderId="51" xfId="53" applyNumberFormat="1" applyFont="1" applyFill="1" applyBorder="1" applyAlignment="1">
      <alignment horizontal="right" vertical="center" wrapText="1"/>
    </xf>
    <xf numFmtId="164" fontId="44" fillId="29" borderId="51" xfId="53" applyNumberFormat="1" applyFont="1" applyFill="1" applyBorder="1" applyAlignment="1">
      <alignment horizontal="center" vertical="center" wrapText="1"/>
    </xf>
    <xf numFmtId="164" fontId="54" fillId="29" borderId="53" xfId="53" applyNumberFormat="1" applyFont="1" applyFill="1" applyBorder="1" applyAlignment="1">
      <alignment horizontal="left" vertical="top" wrapText="1"/>
    </xf>
    <xf numFmtId="164" fontId="54" fillId="29" borderId="53" xfId="53" applyNumberFormat="1" applyFont="1" applyFill="1" applyBorder="1" applyAlignment="1">
      <alignment horizontal="right" vertical="center" wrapText="1"/>
    </xf>
    <xf numFmtId="164" fontId="54" fillId="29" borderId="51" xfId="53" applyNumberFormat="1" applyFont="1" applyFill="1" applyBorder="1" applyAlignment="1">
      <alignment horizontal="right" vertical="top" wrapText="1"/>
    </xf>
    <xf numFmtId="164" fontId="44" fillId="29" borderId="51" xfId="53" applyNumberFormat="1" applyFont="1" applyFill="1" applyBorder="1"/>
    <xf numFmtId="0" fontId="22" fillId="0" borderId="28" xfId="1" applyFont="1" applyBorder="1" applyAlignment="1">
      <alignment horizontal="center" vertical="center"/>
    </xf>
    <xf numFmtId="0" fontId="22" fillId="0" borderId="29" xfId="1" applyFont="1" applyBorder="1" applyAlignment="1">
      <alignment horizontal="center" vertical="center"/>
    </xf>
    <xf numFmtId="0" fontId="22" fillId="0" borderId="30" xfId="1" applyFont="1" applyBorder="1" applyAlignment="1">
      <alignment horizontal="center" vertical="center"/>
    </xf>
    <xf numFmtId="0" fontId="22" fillId="0" borderId="17" xfId="1" applyFont="1" applyBorder="1" applyAlignment="1">
      <alignment horizontal="center" vertical="center"/>
    </xf>
    <xf numFmtId="0" fontId="22" fillId="0" borderId="0" xfId="1" applyFont="1" applyAlignment="1">
      <alignment horizontal="left" vertical="center" wrapText="1"/>
    </xf>
    <xf numFmtId="0" fontId="22" fillId="0" borderId="0" xfId="38" applyFont="1" applyAlignment="1">
      <alignment horizontal="left" vertical="center" wrapText="1"/>
    </xf>
    <xf numFmtId="0" fontId="23" fillId="24" borderId="11" xfId="1" applyFont="1" applyFill="1" applyBorder="1" applyAlignment="1">
      <alignment horizontal="center" vertical="center" wrapText="1"/>
    </xf>
    <xf numFmtId="0" fontId="23" fillId="24" borderId="12" xfId="1" applyFont="1" applyFill="1" applyBorder="1" applyAlignment="1">
      <alignment horizontal="center" vertical="center" wrapText="1"/>
    </xf>
    <xf numFmtId="0" fontId="23" fillId="24" borderId="13" xfId="1" applyFont="1" applyFill="1" applyBorder="1" applyAlignment="1">
      <alignment horizontal="center" vertical="center" wrapText="1"/>
    </xf>
    <xf numFmtId="0" fontId="31" fillId="0" borderId="19" xfId="1" applyFont="1" applyFill="1" applyBorder="1" applyAlignment="1">
      <alignment horizontal="center" vertical="center" wrapText="1"/>
    </xf>
    <xf numFmtId="0" fontId="32" fillId="0" borderId="20" xfId="1" applyFont="1" applyFill="1" applyBorder="1" applyAlignment="1">
      <alignment horizontal="center" vertical="center" wrapText="1"/>
    </xf>
    <xf numFmtId="0" fontId="22" fillId="0" borderId="15" xfId="1" applyFont="1" applyFill="1" applyBorder="1" applyAlignment="1">
      <alignment horizontal="center" vertical="center" wrapText="1"/>
    </xf>
    <xf numFmtId="0" fontId="22" fillId="0" borderId="16" xfId="1" applyFont="1" applyFill="1" applyBorder="1" applyAlignment="1">
      <alignment horizontal="center" vertical="center" wrapText="1"/>
    </xf>
    <xf numFmtId="0" fontId="23" fillId="24" borderId="11" xfId="38" applyFont="1" applyFill="1" applyBorder="1" applyAlignment="1">
      <alignment horizontal="left" vertical="center" wrapText="1"/>
    </xf>
    <xf numFmtId="0" fontId="23" fillId="24" borderId="12" xfId="38" applyFont="1" applyFill="1" applyBorder="1" applyAlignment="1">
      <alignment horizontal="left" vertical="center" wrapText="1"/>
    </xf>
    <xf numFmtId="0" fontId="23" fillId="24" borderId="13" xfId="38" applyFont="1" applyFill="1" applyBorder="1" applyAlignment="1">
      <alignment horizontal="left" vertical="center" wrapText="1"/>
    </xf>
    <xf numFmtId="0" fontId="24" fillId="24" borderId="10" xfId="38" applyFont="1" applyFill="1" applyBorder="1" applyAlignment="1">
      <alignment horizontal="center" vertical="center"/>
    </xf>
    <xf numFmtId="0" fontId="24" fillId="24" borderId="10" xfId="38" applyFont="1" applyFill="1" applyBorder="1" applyAlignment="1">
      <alignment horizontal="center" vertical="center" wrapText="1"/>
    </xf>
    <xf numFmtId="0" fontId="24" fillId="24" borderId="33" xfId="38" applyFont="1" applyFill="1" applyBorder="1" applyAlignment="1">
      <alignment horizontal="center" vertical="center" wrapText="1"/>
    </xf>
    <xf numFmtId="0" fontId="24" fillId="24" borderId="34" xfId="38" applyFont="1" applyFill="1" applyBorder="1" applyAlignment="1">
      <alignment horizontal="center" vertical="center" wrapText="1"/>
    </xf>
    <xf numFmtId="0" fontId="22" fillId="0" borderId="10" xfId="38" applyFont="1" applyFill="1" applyBorder="1" applyAlignment="1">
      <alignment horizontal="center" vertical="center" wrapText="1"/>
    </xf>
    <xf numFmtId="10" fontId="24" fillId="24" borderId="10" xfId="38" applyNumberFormat="1" applyFont="1" applyFill="1" applyBorder="1" applyAlignment="1">
      <alignment horizontal="center" vertical="center" wrapText="1"/>
    </xf>
    <xf numFmtId="0" fontId="24" fillId="24" borderId="17" xfId="38" applyFont="1" applyFill="1" applyBorder="1" applyAlignment="1">
      <alignment horizontal="center" vertical="center" wrapText="1"/>
    </xf>
    <xf numFmtId="0" fontId="22" fillId="0" borderId="26" xfId="38" applyFont="1" applyFill="1" applyBorder="1" applyAlignment="1">
      <alignment horizontal="center" vertical="center" wrapText="1"/>
    </xf>
    <xf numFmtId="0" fontId="22" fillId="0" borderId="27" xfId="38" applyFont="1" applyFill="1" applyBorder="1" applyAlignment="1">
      <alignment horizontal="center" vertical="center" wrapText="1"/>
    </xf>
    <xf numFmtId="0" fontId="24" fillId="24" borderId="14" xfId="38" applyFont="1" applyFill="1" applyBorder="1" applyAlignment="1">
      <alignment horizontal="center" vertical="center" wrapText="1"/>
    </xf>
    <xf numFmtId="0" fontId="23" fillId="24" borderId="10" xfId="38" applyFont="1" applyFill="1" applyBorder="1" applyAlignment="1">
      <alignment horizontal="left" vertical="center" wrapText="1"/>
    </xf>
    <xf numFmtId="0" fontId="22" fillId="0" borderId="31" xfId="38" applyFont="1" applyFill="1" applyBorder="1" applyAlignment="1">
      <alignment horizontal="center" vertical="center" wrapText="1"/>
    </xf>
    <xf numFmtId="0" fontId="22" fillId="0" borderId="32" xfId="38" applyFont="1" applyFill="1" applyBorder="1" applyAlignment="1">
      <alignment horizontal="center" vertical="center" wrapText="1"/>
    </xf>
    <xf numFmtId="0" fontId="25" fillId="0" borderId="21" xfId="38" applyFont="1" applyFill="1" applyBorder="1" applyAlignment="1">
      <alignment horizontal="left" vertical="center" wrapText="1"/>
    </xf>
    <xf numFmtId="0" fontId="25" fillId="0" borderId="22" xfId="38" applyFont="1" applyFill="1" applyBorder="1" applyAlignment="1">
      <alignment horizontal="left" vertical="center" wrapText="1"/>
    </xf>
    <xf numFmtId="0" fontId="25" fillId="0" borderId="23" xfId="38" applyFont="1" applyFill="1" applyBorder="1" applyAlignment="1">
      <alignment horizontal="left" vertical="center" wrapText="1"/>
    </xf>
    <xf numFmtId="0" fontId="48" fillId="28" borderId="50" xfId="53" applyFont="1" applyFill="1" applyBorder="1" applyAlignment="1">
      <alignment horizontal="center" vertical="top" wrapText="1"/>
    </xf>
    <xf numFmtId="0" fontId="48" fillId="28" borderId="45" xfId="53" applyFont="1" applyFill="1" applyBorder="1" applyAlignment="1">
      <alignment horizontal="center" vertical="top" wrapText="1"/>
    </xf>
    <xf numFmtId="0" fontId="48" fillId="28" borderId="46" xfId="53" applyFont="1" applyFill="1" applyBorder="1" applyAlignment="1">
      <alignment horizontal="center" vertical="top" wrapText="1"/>
    </xf>
    <xf numFmtId="0" fontId="48" fillId="28" borderId="45" xfId="46" applyFont="1" applyFill="1" applyBorder="1" applyAlignment="1">
      <alignment horizontal="center" vertical="top" wrapText="1"/>
    </xf>
    <xf numFmtId="0" fontId="48" fillId="28" borderId="46" xfId="46" applyFont="1" applyFill="1" applyBorder="1" applyAlignment="1">
      <alignment horizontal="center" vertical="top" wrapText="1"/>
    </xf>
    <xf numFmtId="164" fontId="43" fillId="0" borderId="0" xfId="46" applyNumberFormat="1" applyFont="1"/>
    <xf numFmtId="43" fontId="22" fillId="0" borderId="10" xfId="58" applyFont="1" applyFill="1" applyBorder="1" applyAlignment="1">
      <alignment vertical="center" wrapText="1"/>
    </xf>
  </cellXfs>
  <cellStyles count="59">
    <cellStyle name="20% - Accent1 2" xfId="2"/>
    <cellStyle name="20% - Accent2 2" xfId="3"/>
    <cellStyle name="20% - Accent3 2" xfId="4"/>
    <cellStyle name="20% - Accent4 2" xfId="5"/>
    <cellStyle name="20% - Accent5 2" xfId="6"/>
    <cellStyle name="20% - Accent6 2" xfId="7"/>
    <cellStyle name="40% - Accent1 2" xfId="8"/>
    <cellStyle name="40% - Accent2 2" xfId="9"/>
    <cellStyle name="40% - Accent3 2" xfId="10"/>
    <cellStyle name="40% - Accent4 2" xfId="11"/>
    <cellStyle name="40% - Accent5 2" xfId="12"/>
    <cellStyle name="40% - Accent6 2" xfId="13"/>
    <cellStyle name="60% - Accent1 2" xfId="14"/>
    <cellStyle name="60% - Accent2 2" xfId="15"/>
    <cellStyle name="60% - Accent3 2" xfId="16"/>
    <cellStyle name="60% - Accent4 2" xfId="17"/>
    <cellStyle name="60% - Accent5 2" xfId="18"/>
    <cellStyle name="60% - Accent6 2" xfId="19"/>
    <cellStyle name="Accent1 2" xfId="20"/>
    <cellStyle name="Accent2 2" xfId="21"/>
    <cellStyle name="Accent3 2" xfId="22"/>
    <cellStyle name="Accent4 2" xfId="23"/>
    <cellStyle name="Accent5 2" xfId="24"/>
    <cellStyle name="Accent6 2" xfId="25"/>
    <cellStyle name="Bad 2" xfId="26"/>
    <cellStyle name="Calculation 2" xfId="27"/>
    <cellStyle name="Check Cell 2" xfId="28"/>
    <cellStyle name="Comma" xfId="58" builtinId="3"/>
    <cellStyle name="Explanatory Text 2" xfId="29"/>
    <cellStyle name="Good 2" xfId="30"/>
    <cellStyle name="Heading 1 2" xfId="31"/>
    <cellStyle name="Heading 2 2" xfId="32"/>
    <cellStyle name="Heading 3 2" xfId="33"/>
    <cellStyle name="Heading 4 2" xfId="34"/>
    <cellStyle name="Hyperlink" xfId="44" builtinId="8"/>
    <cellStyle name="Input 2" xfId="35"/>
    <cellStyle name="Linked Cell 2" xfId="36"/>
    <cellStyle name="Millares 2" xfId="47"/>
    <cellStyle name="Moneda 2" xfId="50"/>
    <cellStyle name="Moneda 2 2" xfId="56"/>
    <cellStyle name="Neutral 2" xfId="37"/>
    <cellStyle name="Normal" xfId="0" builtinId="0"/>
    <cellStyle name="Normal 19 2" xfId="46"/>
    <cellStyle name="Normal 19 2 3" xfId="52"/>
    <cellStyle name="Normal 19 2 3 3" xfId="53"/>
    <cellStyle name="Normal 2" xfId="38"/>
    <cellStyle name="Normal 2 2" xfId="54"/>
    <cellStyle name="Normal 22" xfId="55"/>
    <cellStyle name="Normal 3" xfId="1"/>
    <cellStyle name="Normal 4" xfId="48"/>
    <cellStyle name="Normal 4 3" xfId="49"/>
    <cellStyle name="Note 2" xfId="39"/>
    <cellStyle name="Output 2" xfId="40"/>
    <cellStyle name="Percent" xfId="45" builtinId="5"/>
    <cellStyle name="Porcentaje 2" xfId="51"/>
    <cellStyle name="Porcentaje 9" xfId="57"/>
    <cellStyle name="Title 2" xfId="41"/>
    <cellStyle name="Total 2" xfId="42"/>
    <cellStyle name="Warning Text 2" xfId="4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customXml" Target="../customXml/item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19"/>
  <sheetViews>
    <sheetView workbookViewId="0">
      <selection activeCell="D14" sqref="D14"/>
    </sheetView>
  </sheetViews>
  <sheetFormatPr defaultColWidth="9.109375" defaultRowHeight="14.4" x14ac:dyDescent="0.3"/>
  <cols>
    <col min="2" max="2" width="55" customWidth="1"/>
    <col min="3" max="3" width="45.6640625" bestFit="1" customWidth="1"/>
    <col min="4" max="4" width="30.88671875" bestFit="1" customWidth="1"/>
  </cols>
  <sheetData>
    <row r="1" spans="2:4" ht="15" thickBot="1" x14ac:dyDescent="0.35">
      <c r="B1" s="21"/>
      <c r="C1" s="21"/>
      <c r="D1" s="21"/>
    </row>
    <row r="2" spans="2:4" x14ac:dyDescent="0.3">
      <c r="B2" s="22" t="s">
        <v>82</v>
      </c>
      <c r="C2" s="23" t="s">
        <v>76</v>
      </c>
      <c r="D2" s="24" t="s">
        <v>77</v>
      </c>
    </row>
    <row r="3" spans="2:4" x14ac:dyDescent="0.3">
      <c r="B3" s="334" t="s">
        <v>116</v>
      </c>
      <c r="C3" s="25"/>
      <c r="D3" s="26"/>
    </row>
    <row r="4" spans="2:4" x14ac:dyDescent="0.3">
      <c r="B4" s="335"/>
      <c r="C4" s="25"/>
      <c r="D4" s="26"/>
    </row>
    <row r="5" spans="2:4" x14ac:dyDescent="0.3">
      <c r="B5" s="335"/>
      <c r="C5" s="25"/>
      <c r="D5" s="26"/>
    </row>
    <row r="6" spans="2:4" x14ac:dyDescent="0.3">
      <c r="B6" s="335"/>
      <c r="C6" s="25"/>
      <c r="D6" s="26"/>
    </row>
    <row r="7" spans="2:4" x14ac:dyDescent="0.3">
      <c r="B7" s="335"/>
      <c r="C7" s="25"/>
      <c r="D7" s="26"/>
    </row>
    <row r="8" spans="2:4" x14ac:dyDescent="0.3">
      <c r="B8" s="335"/>
      <c r="C8" s="25"/>
      <c r="D8" s="26"/>
    </row>
    <row r="9" spans="2:4" ht="15" thickBot="1" x14ac:dyDescent="0.35">
      <c r="B9" s="336"/>
      <c r="C9" s="27"/>
      <c r="D9" s="28"/>
    </row>
    <row r="11" spans="2:4" ht="49.5" customHeight="1" x14ac:dyDescent="0.3">
      <c r="B11" s="338" t="s">
        <v>78</v>
      </c>
      <c r="C11" s="338"/>
      <c r="D11" s="21"/>
    </row>
    <row r="12" spans="2:4" ht="15" thickBot="1" x14ac:dyDescent="0.35">
      <c r="B12" s="21"/>
      <c r="C12" s="21"/>
      <c r="D12" s="21"/>
    </row>
    <row r="13" spans="2:4" x14ac:dyDescent="0.3">
      <c r="B13" s="29" t="s">
        <v>79</v>
      </c>
      <c r="C13" s="30" t="s">
        <v>80</v>
      </c>
      <c r="D13" s="31"/>
    </row>
    <row r="14" spans="2:4" ht="27.6" x14ac:dyDescent="0.3">
      <c r="B14" s="337" t="s">
        <v>117</v>
      </c>
      <c r="C14" s="71" t="s">
        <v>118</v>
      </c>
      <c r="D14" s="31"/>
    </row>
    <row r="15" spans="2:4" ht="27.6" x14ac:dyDescent="0.3">
      <c r="B15" s="337"/>
      <c r="C15" s="71" t="s">
        <v>119</v>
      </c>
      <c r="D15" s="21"/>
    </row>
    <row r="16" spans="2:4" ht="27.6" x14ac:dyDescent="0.3">
      <c r="B16" s="337"/>
      <c r="C16" s="71" t="s">
        <v>120</v>
      </c>
      <c r="D16" s="21"/>
    </row>
    <row r="17" spans="2:3" x14ac:dyDescent="0.3">
      <c r="B17" s="337"/>
      <c r="C17" s="26" t="s">
        <v>121</v>
      </c>
    </row>
    <row r="19" spans="2:3" ht="54" customHeight="1" x14ac:dyDescent="0.3">
      <c r="B19" s="339" t="s">
        <v>81</v>
      </c>
      <c r="C19" s="339"/>
    </row>
  </sheetData>
  <mergeCells count="4">
    <mergeCell ref="B3:B9"/>
    <mergeCell ref="B14:B17"/>
    <mergeCell ref="B11:C11"/>
    <mergeCell ref="B19:C1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26"/>
  <sheetViews>
    <sheetView topLeftCell="A4" workbookViewId="0">
      <selection activeCell="A17" sqref="A17"/>
    </sheetView>
  </sheetViews>
  <sheetFormatPr defaultColWidth="9.109375" defaultRowHeight="14.4" x14ac:dyDescent="0.3"/>
  <cols>
    <col min="1" max="1" width="42.33203125" customWidth="1"/>
    <col min="2" max="2" width="35.109375" customWidth="1"/>
    <col min="3" max="3" width="33.44140625" customWidth="1"/>
    <col min="5" max="5" width="13.109375" bestFit="1" customWidth="1"/>
    <col min="6" max="6" width="14.109375" bestFit="1" customWidth="1"/>
  </cols>
  <sheetData>
    <row r="1" spans="1:5" ht="15" thickBot="1" x14ac:dyDescent="0.35">
      <c r="A1" s="344" t="s">
        <v>60</v>
      </c>
      <c r="B1" s="344"/>
      <c r="C1" s="344"/>
    </row>
    <row r="2" spans="1:5" ht="15.6" x14ac:dyDescent="0.3">
      <c r="A2" s="340" t="s">
        <v>61</v>
      </c>
      <c r="B2" s="341"/>
      <c r="C2" s="342"/>
    </row>
    <row r="3" spans="1:5" ht="15.6" x14ac:dyDescent="0.3">
      <c r="A3" s="14" t="s">
        <v>62</v>
      </c>
      <c r="B3" s="15" t="s">
        <v>63</v>
      </c>
      <c r="C3" s="16" t="s">
        <v>64</v>
      </c>
    </row>
    <row r="4" spans="1:5" ht="15" thickBot="1" x14ac:dyDescent="0.35">
      <c r="A4" s="17" t="s">
        <v>65</v>
      </c>
      <c r="B4" s="64">
        <v>2018</v>
      </c>
      <c r="C4" s="65">
        <v>2022</v>
      </c>
    </row>
    <row r="5" spans="1:5" ht="15" thickBot="1" x14ac:dyDescent="0.35">
      <c r="A5" s="343"/>
      <c r="B5" s="343"/>
      <c r="C5" s="343"/>
    </row>
    <row r="6" spans="1:5" ht="15.6" x14ac:dyDescent="0.3">
      <c r="A6" s="340" t="s">
        <v>66</v>
      </c>
      <c r="B6" s="341"/>
      <c r="C6" s="342"/>
    </row>
    <row r="7" spans="1:5" ht="15" thickBot="1" x14ac:dyDescent="0.35">
      <c r="A7" s="17" t="s">
        <v>122</v>
      </c>
      <c r="B7" s="345"/>
      <c r="C7" s="346"/>
    </row>
    <row r="8" spans="1:5" ht="15" thickBot="1" x14ac:dyDescent="0.35">
      <c r="A8" s="343"/>
      <c r="B8" s="343"/>
      <c r="C8" s="343"/>
    </row>
    <row r="9" spans="1:5" ht="15.6" x14ac:dyDescent="0.3">
      <c r="A9" s="340" t="s">
        <v>67</v>
      </c>
      <c r="B9" s="341"/>
      <c r="C9" s="342"/>
    </row>
    <row r="10" spans="1:5" ht="31.2" x14ac:dyDescent="0.3">
      <c r="A10" s="14" t="s">
        <v>68</v>
      </c>
      <c r="B10" s="15" t="s">
        <v>69</v>
      </c>
      <c r="C10" s="16" t="s">
        <v>70</v>
      </c>
    </row>
    <row r="11" spans="1:5" x14ac:dyDescent="0.3">
      <c r="A11" s="18" t="s">
        <v>71</v>
      </c>
      <c r="B11" s="72">
        <f>+'ACTIVIDADES ANEXOS POD'!S5</f>
        <v>10286550.135</v>
      </c>
      <c r="C11" s="73">
        <f>+'ACTIVIDADES ANEXOS POD'!R5+'ACTIVIDADES ANEXOS POD'!S5</f>
        <v>10286550.135</v>
      </c>
    </row>
    <row r="12" spans="1:5" x14ac:dyDescent="0.3">
      <c r="A12" s="18" t="s">
        <v>72</v>
      </c>
      <c r="B12" s="72">
        <f>+'ACTIVIDADES ANEXOS POD'!S77</f>
        <v>7502519</v>
      </c>
      <c r="C12" s="73">
        <f>+'ACTIVIDADES ANEXOS POD'!R77+'ACTIVIDADES ANEXOS POD'!S77+'ACTIVIDADES ANEXOS POD'!R72</f>
        <v>9241810.8300000001</v>
      </c>
    </row>
    <row r="13" spans="1:5" x14ac:dyDescent="0.3">
      <c r="A13" s="18" t="s">
        <v>73</v>
      </c>
      <c r="B13" s="72">
        <f>+'ACTIVIDADES ANEXOS POD'!S84</f>
        <v>5199280</v>
      </c>
      <c r="C13" s="73">
        <f>+'ACTIVIDADES ANEXOS POD'!R84+'ACTIVIDADES ANEXOS POD'!S84</f>
        <v>5199280</v>
      </c>
    </row>
    <row r="14" spans="1:5" x14ac:dyDescent="0.3">
      <c r="A14" s="18" t="s">
        <v>74</v>
      </c>
      <c r="B14" s="72">
        <v>125000</v>
      </c>
      <c r="C14" s="73">
        <f>+B14+43700</f>
        <v>168700</v>
      </c>
      <c r="E14" s="114"/>
    </row>
    <row r="15" spans="1:5" x14ac:dyDescent="0.3">
      <c r="A15" s="18" t="s">
        <v>311</v>
      </c>
      <c r="B15" s="72">
        <f>+'ACTIVIDADES ANEXOS POD'!S65</f>
        <v>2004400</v>
      </c>
      <c r="C15" s="73">
        <f>+'ACTIVIDADES ANEXOS POD'!R65+'ACTIVIDADES ANEXOS POD'!S65</f>
        <v>2004400</v>
      </c>
      <c r="E15" s="114"/>
    </row>
    <row r="16" spans="1:5" x14ac:dyDescent="0.3">
      <c r="A16" s="19" t="s">
        <v>325</v>
      </c>
      <c r="B16" s="72">
        <f>+'ACTIVIDADES ANEXOS POD'!S13+'ACTIVIDADES ANEXOS POD'!S63</f>
        <v>24882251.25</v>
      </c>
      <c r="C16" s="73">
        <f>+'ACTIVIDADES ANEXOS POD'!R13+'ACTIVIDADES ANEXOS POD'!S13+'ACTIVIDADES ANEXOS POD'!S63+'ACTIVIDADES ANEXOS POD'!R63</f>
        <v>24926001.25</v>
      </c>
      <c r="E16" s="114"/>
    </row>
    <row r="17" spans="1:6" s="7" customFormat="1" x14ac:dyDescent="0.3">
      <c r="A17" s="258" t="s">
        <v>312</v>
      </c>
      <c r="B17" s="259"/>
      <c r="C17" s="73">
        <v>3173257.9078000002</v>
      </c>
    </row>
    <row r="18" spans="1:6" ht="16.2" thickBot="1" x14ac:dyDescent="0.35">
      <c r="A18" s="20" t="s">
        <v>75</v>
      </c>
      <c r="B18" s="74">
        <f>SUM(B11:B17)</f>
        <v>50000000.384999998</v>
      </c>
      <c r="C18" s="74">
        <f>SUM(C11:C17)</f>
        <v>55000000.122800007</v>
      </c>
    </row>
    <row r="19" spans="1:6" ht="15" thickBot="1" x14ac:dyDescent="0.35">
      <c r="E19" s="295"/>
      <c r="F19" s="114"/>
    </row>
    <row r="20" spans="1:6" ht="15.6" x14ac:dyDescent="0.3">
      <c r="A20" s="340" t="s">
        <v>87</v>
      </c>
      <c r="B20" s="341"/>
      <c r="C20" s="342"/>
      <c r="F20" s="114"/>
    </row>
    <row r="21" spans="1:6" ht="31.2" x14ac:dyDescent="0.3">
      <c r="A21" s="32" t="s">
        <v>88</v>
      </c>
      <c r="B21" s="75" t="s">
        <v>69</v>
      </c>
      <c r="C21" s="33" t="s">
        <v>70</v>
      </c>
    </row>
    <row r="22" spans="1:6" ht="27.6" x14ac:dyDescent="0.3">
      <c r="A22" s="76" t="s">
        <v>118</v>
      </c>
      <c r="B22" s="78">
        <v>26686205.384999998</v>
      </c>
      <c r="C22" s="73">
        <v>29988396.992799997</v>
      </c>
    </row>
    <row r="23" spans="1:6" ht="27.6" x14ac:dyDescent="0.3">
      <c r="A23" s="76" t="s">
        <v>119</v>
      </c>
      <c r="B23" s="78">
        <v>10846060.75</v>
      </c>
      <c r="C23" s="73">
        <v>12380543.879999999</v>
      </c>
    </row>
    <row r="24" spans="1:6" ht="27.6" x14ac:dyDescent="0.3">
      <c r="A24" s="76" t="s">
        <v>120</v>
      </c>
      <c r="B24" s="78">
        <v>10150200.75</v>
      </c>
      <c r="C24" s="73">
        <v>10269825.75</v>
      </c>
    </row>
    <row r="25" spans="1:6" x14ac:dyDescent="0.3">
      <c r="A25" s="77" t="s">
        <v>121</v>
      </c>
      <c r="B25" s="78">
        <v>2317533.5</v>
      </c>
      <c r="C25" s="73">
        <v>2361233.5</v>
      </c>
    </row>
    <row r="26" spans="1:6" ht="16.2" thickBot="1" x14ac:dyDescent="0.35">
      <c r="A26" s="34" t="s">
        <v>75</v>
      </c>
      <c r="B26" s="74">
        <f>SUM(B22:B25)</f>
        <v>50000000.384999998</v>
      </c>
      <c r="C26" s="79">
        <f>SUM(C22:C25)</f>
        <v>55000000.122799993</v>
      </c>
      <c r="E26" s="114"/>
    </row>
  </sheetData>
  <mergeCells count="8">
    <mergeCell ref="A20:C20"/>
    <mergeCell ref="A8:C8"/>
    <mergeCell ref="A1:C1"/>
    <mergeCell ref="A9:C9"/>
    <mergeCell ref="A2:C2"/>
    <mergeCell ref="A6:C6"/>
    <mergeCell ref="B7:C7"/>
    <mergeCell ref="A5:C5"/>
  </mergeCells>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A77"/>
  <sheetViews>
    <sheetView tabSelected="1" zoomScale="70" zoomScaleNormal="70" workbookViewId="0">
      <selection activeCell="C45" sqref="C45"/>
    </sheetView>
  </sheetViews>
  <sheetFormatPr defaultColWidth="9.109375" defaultRowHeight="14.4" x14ac:dyDescent="0.3"/>
  <cols>
    <col min="1" max="1" width="15.109375" customWidth="1"/>
    <col min="2" max="2" width="15.6640625" customWidth="1"/>
    <col min="3" max="3" width="28" customWidth="1"/>
    <col min="4" max="4" width="33.44140625" customWidth="1"/>
    <col min="5" max="6" width="12.88671875" customWidth="1"/>
    <col min="7" max="7" width="15.6640625" style="38" customWidth="1"/>
    <col min="8" max="9" width="15.6640625" style="41" customWidth="1"/>
    <col min="10" max="10" width="27.5546875" customWidth="1"/>
    <col min="11" max="11" width="19.5546875" customWidth="1"/>
    <col min="12" max="12" width="15.5546875" customWidth="1"/>
    <col min="13" max="13" width="15" customWidth="1"/>
    <col min="14" max="14" width="14.88671875" customWidth="1"/>
    <col min="17" max="17" width="68.5546875" hidden="1" customWidth="1"/>
    <col min="18" max="18" width="57.44140625" hidden="1" customWidth="1"/>
  </cols>
  <sheetData>
    <row r="1" spans="1:20" ht="16.2" thickBot="1" x14ac:dyDescent="0.35">
      <c r="A1" s="363" t="s">
        <v>0</v>
      </c>
      <c r="B1" s="364"/>
      <c r="C1" s="364"/>
      <c r="D1" s="364"/>
      <c r="E1" s="364"/>
      <c r="F1" s="364"/>
      <c r="G1" s="364"/>
      <c r="H1" s="364"/>
      <c r="I1" s="364"/>
      <c r="J1" s="364"/>
      <c r="K1" s="364"/>
      <c r="L1" s="364"/>
      <c r="M1" s="364"/>
      <c r="N1" s="365"/>
      <c r="O1" s="1"/>
      <c r="P1" s="1"/>
      <c r="Q1" s="49"/>
      <c r="R1" s="50"/>
      <c r="S1" s="1"/>
      <c r="T1" s="1"/>
    </row>
    <row r="2" spans="1:20" ht="15.6" x14ac:dyDescent="0.3">
      <c r="A2" s="347" t="s">
        <v>1</v>
      </c>
      <c r="B2" s="348"/>
      <c r="C2" s="348"/>
      <c r="D2" s="348"/>
      <c r="E2" s="348"/>
      <c r="F2" s="348"/>
      <c r="G2" s="348"/>
      <c r="H2" s="348"/>
      <c r="I2" s="348"/>
      <c r="J2" s="348"/>
      <c r="K2" s="348"/>
      <c r="L2" s="348"/>
      <c r="M2" s="348"/>
      <c r="N2" s="349"/>
      <c r="O2" s="1"/>
      <c r="P2" s="1"/>
      <c r="Q2" s="48" t="s">
        <v>92</v>
      </c>
      <c r="R2" s="50"/>
      <c r="S2" s="1"/>
      <c r="T2" s="1"/>
    </row>
    <row r="3" spans="1:20" x14ac:dyDescent="0.3">
      <c r="A3" s="356" t="s">
        <v>7</v>
      </c>
      <c r="B3" s="351" t="s">
        <v>8</v>
      </c>
      <c r="C3" s="351" t="s">
        <v>9</v>
      </c>
      <c r="D3" s="351" t="s">
        <v>2</v>
      </c>
      <c r="E3" s="351" t="s">
        <v>3</v>
      </c>
      <c r="F3" s="351" t="s">
        <v>4</v>
      </c>
      <c r="G3" s="350" t="s">
        <v>86</v>
      </c>
      <c r="H3" s="350"/>
      <c r="I3" s="350"/>
      <c r="J3" s="351" t="s">
        <v>97</v>
      </c>
      <c r="K3" s="351" t="s">
        <v>91</v>
      </c>
      <c r="L3" s="351" t="s">
        <v>10</v>
      </c>
      <c r="M3" s="351"/>
      <c r="N3" s="359" t="s">
        <v>94</v>
      </c>
      <c r="O3" s="1"/>
      <c r="P3" s="1"/>
      <c r="Q3" s="48" t="s">
        <v>89</v>
      </c>
      <c r="R3" s="50"/>
      <c r="S3" s="1"/>
      <c r="T3" s="1"/>
    </row>
    <row r="4" spans="1:20" ht="33" customHeight="1" x14ac:dyDescent="0.3">
      <c r="A4" s="356"/>
      <c r="B4" s="351"/>
      <c r="C4" s="351"/>
      <c r="D4" s="351"/>
      <c r="E4" s="351"/>
      <c r="F4" s="351"/>
      <c r="G4" s="46" t="s">
        <v>96</v>
      </c>
      <c r="H4" s="42" t="s">
        <v>84</v>
      </c>
      <c r="I4" s="42" t="s">
        <v>85</v>
      </c>
      <c r="J4" s="351"/>
      <c r="K4" s="351"/>
      <c r="L4" s="35" t="s">
        <v>83</v>
      </c>
      <c r="M4" s="35" t="s">
        <v>6</v>
      </c>
      <c r="N4" s="359"/>
      <c r="O4" s="1"/>
      <c r="P4" s="1"/>
      <c r="Q4" s="51" t="s">
        <v>90</v>
      </c>
      <c r="R4" s="50"/>
      <c r="S4" s="1"/>
      <c r="T4" s="1"/>
    </row>
    <row r="5" spans="1:20" x14ac:dyDescent="0.3">
      <c r="A5" s="8"/>
      <c r="B5" s="113"/>
      <c r="C5" s="9"/>
      <c r="D5" s="9"/>
      <c r="E5" s="9"/>
      <c r="F5" s="9"/>
      <c r="G5" s="80"/>
      <c r="H5" s="115"/>
      <c r="I5" s="39"/>
      <c r="J5" s="66"/>
      <c r="K5" s="9"/>
      <c r="L5" s="81"/>
      <c r="M5" s="81"/>
      <c r="N5" s="10"/>
      <c r="O5" s="1"/>
      <c r="P5" s="1"/>
      <c r="Q5" s="48" t="s">
        <v>24</v>
      </c>
      <c r="R5" s="50"/>
      <c r="S5" s="1"/>
      <c r="T5" s="1"/>
    </row>
    <row r="6" spans="1:20" ht="15" thickBot="1" x14ac:dyDescent="0.35">
      <c r="Q6" s="48" t="s">
        <v>25</v>
      </c>
      <c r="R6" s="51"/>
    </row>
    <row r="7" spans="1:20" ht="15.6" x14ac:dyDescent="0.3">
      <c r="A7" s="347" t="s">
        <v>11</v>
      </c>
      <c r="B7" s="348"/>
      <c r="C7" s="348"/>
      <c r="D7" s="348"/>
      <c r="E7" s="348"/>
      <c r="F7" s="348"/>
      <c r="G7" s="348"/>
      <c r="H7" s="348"/>
      <c r="I7" s="348"/>
      <c r="J7" s="348"/>
      <c r="K7" s="348"/>
      <c r="L7" s="348"/>
      <c r="M7" s="348"/>
      <c r="N7" s="349"/>
      <c r="O7" s="2"/>
      <c r="P7" s="2"/>
      <c r="Q7" s="48" t="s">
        <v>26</v>
      </c>
      <c r="R7" s="50"/>
      <c r="S7" s="2"/>
      <c r="T7" s="2"/>
    </row>
    <row r="8" spans="1:20" ht="15" customHeight="1" x14ac:dyDescent="0.3">
      <c r="A8" s="356" t="s">
        <v>7</v>
      </c>
      <c r="B8" s="351" t="s">
        <v>8</v>
      </c>
      <c r="C8" s="351" t="s">
        <v>9</v>
      </c>
      <c r="D8" s="351" t="s">
        <v>12</v>
      </c>
      <c r="E8" s="351" t="s">
        <v>3</v>
      </c>
      <c r="F8" s="351" t="s">
        <v>4</v>
      </c>
      <c r="G8" s="350" t="s">
        <v>86</v>
      </c>
      <c r="H8" s="350"/>
      <c r="I8" s="350"/>
      <c r="J8" s="351" t="s">
        <v>97</v>
      </c>
      <c r="K8" s="351" t="s">
        <v>91</v>
      </c>
      <c r="L8" s="351" t="s">
        <v>10</v>
      </c>
      <c r="M8" s="351"/>
      <c r="N8" s="359" t="s">
        <v>94</v>
      </c>
      <c r="O8" s="2"/>
      <c r="P8" s="2"/>
      <c r="Q8" s="48" t="s">
        <v>27</v>
      </c>
      <c r="R8" s="50"/>
      <c r="S8" s="2"/>
      <c r="T8" s="2"/>
    </row>
    <row r="9" spans="1:20" ht="36" customHeight="1" x14ac:dyDescent="0.3">
      <c r="A9" s="356"/>
      <c r="B9" s="351"/>
      <c r="C9" s="351"/>
      <c r="D9" s="351"/>
      <c r="E9" s="351"/>
      <c r="F9" s="351"/>
      <c r="G9" s="46" t="s">
        <v>96</v>
      </c>
      <c r="H9" s="42" t="s">
        <v>84</v>
      </c>
      <c r="I9" s="42" t="s">
        <v>85</v>
      </c>
      <c r="J9" s="351"/>
      <c r="K9" s="351"/>
      <c r="L9" s="35" t="s">
        <v>83</v>
      </c>
      <c r="M9" s="35" t="s">
        <v>6</v>
      </c>
      <c r="N9" s="359"/>
      <c r="O9" s="2"/>
      <c r="P9" s="2"/>
      <c r="Q9" s="49"/>
      <c r="R9" s="50"/>
      <c r="S9" s="2"/>
      <c r="T9" s="2"/>
    </row>
    <row r="10" spans="1:20" ht="117.75" customHeight="1" x14ac:dyDescent="0.3">
      <c r="A10" s="8" t="s">
        <v>123</v>
      </c>
      <c r="B10" s="82" t="s">
        <v>125</v>
      </c>
      <c r="C10" s="67" t="s">
        <v>126</v>
      </c>
      <c r="D10" s="9" t="s">
        <v>31</v>
      </c>
      <c r="E10" s="66">
        <v>5</v>
      </c>
      <c r="F10" s="9"/>
      <c r="G10" s="80">
        <f>+'ACTIVIDADES ANEXOS POD'!O6+'ACTIVIDADES ANEXOS POD'!O8+'ACTIVIDADES ANEXOS POD'!O9</f>
        <v>6307938.1349999998</v>
      </c>
      <c r="H10" s="115">
        <v>1</v>
      </c>
      <c r="I10" s="115">
        <v>0</v>
      </c>
      <c r="J10" s="9">
        <v>1</v>
      </c>
      <c r="K10" s="9" t="s">
        <v>90</v>
      </c>
      <c r="L10" s="81">
        <v>43040</v>
      </c>
      <c r="M10" s="81">
        <v>43221</v>
      </c>
      <c r="N10" s="10"/>
      <c r="O10" s="2"/>
      <c r="P10" s="2"/>
      <c r="Q10" s="48" t="s">
        <v>31</v>
      </c>
      <c r="R10" s="50"/>
      <c r="S10" s="2"/>
      <c r="T10" s="2"/>
    </row>
    <row r="11" spans="1:20" s="7" customFormat="1" ht="117.75" customHeight="1" x14ac:dyDescent="0.3">
      <c r="A11" s="8" t="s">
        <v>123</v>
      </c>
      <c r="B11" s="268" t="s">
        <v>313</v>
      </c>
      <c r="C11" s="67" t="s">
        <v>314</v>
      </c>
      <c r="D11" s="260" t="s">
        <v>93</v>
      </c>
      <c r="E11" s="261">
        <v>5</v>
      </c>
      <c r="F11" s="260"/>
      <c r="G11" s="262">
        <f>+'ACTIVIDADES ANEXOS POD'!E11</f>
        <v>34533.5</v>
      </c>
      <c r="H11" s="115">
        <v>1</v>
      </c>
      <c r="I11" s="115"/>
      <c r="J11" s="260">
        <v>4</v>
      </c>
      <c r="K11" s="260" t="s">
        <v>89</v>
      </c>
      <c r="L11" s="81">
        <v>43101</v>
      </c>
      <c r="M11" s="81">
        <v>43191</v>
      </c>
      <c r="N11" s="10"/>
      <c r="O11" s="2"/>
      <c r="P11" s="2"/>
      <c r="Q11" s="48"/>
      <c r="R11" s="50"/>
      <c r="S11" s="2"/>
      <c r="T11" s="2"/>
    </row>
    <row r="12" spans="1:20" ht="72" x14ac:dyDescent="0.3">
      <c r="A12" s="8" t="s">
        <v>123</v>
      </c>
      <c r="B12" s="265" t="s">
        <v>113</v>
      </c>
      <c r="C12" s="85" t="s">
        <v>127</v>
      </c>
      <c r="D12" s="9" t="s">
        <v>93</v>
      </c>
      <c r="E12" s="9">
        <v>7</v>
      </c>
      <c r="F12" s="9"/>
      <c r="G12" s="80">
        <v>69000</v>
      </c>
      <c r="H12" s="115">
        <v>1</v>
      </c>
      <c r="I12" s="39"/>
      <c r="J12" s="9">
        <v>1</v>
      </c>
      <c r="K12" s="9" t="s">
        <v>89</v>
      </c>
      <c r="L12" s="81">
        <v>43101</v>
      </c>
      <c r="M12" s="81">
        <v>43191</v>
      </c>
      <c r="N12" s="10"/>
      <c r="O12" s="2"/>
      <c r="P12" s="2"/>
      <c r="Q12" s="48" t="s">
        <v>28</v>
      </c>
      <c r="R12" s="50"/>
      <c r="S12" s="2"/>
      <c r="T12" s="2"/>
    </row>
    <row r="13" spans="1:20" ht="48.6" x14ac:dyDescent="0.3">
      <c r="A13" s="8" t="s">
        <v>123</v>
      </c>
      <c r="B13" s="70" t="s">
        <v>124</v>
      </c>
      <c r="C13" s="9"/>
      <c r="D13" s="9" t="s">
        <v>93</v>
      </c>
      <c r="E13" s="9">
        <v>1</v>
      </c>
      <c r="F13" s="9"/>
      <c r="G13" s="80">
        <v>40000</v>
      </c>
      <c r="H13" s="115">
        <v>1</v>
      </c>
      <c r="I13" s="39"/>
      <c r="J13" s="9">
        <v>4</v>
      </c>
      <c r="K13" s="9" t="s">
        <v>89</v>
      </c>
      <c r="L13" s="81">
        <v>43040</v>
      </c>
      <c r="M13" s="81">
        <v>42767</v>
      </c>
      <c r="N13" s="10"/>
      <c r="O13" s="2"/>
      <c r="P13" s="2"/>
      <c r="Q13" s="48" t="s">
        <v>93</v>
      </c>
      <c r="R13" s="50"/>
      <c r="S13" s="2"/>
      <c r="T13" s="2"/>
    </row>
    <row r="14" spans="1:20" ht="48.6" x14ac:dyDescent="0.3">
      <c r="A14" s="8" t="s">
        <v>123</v>
      </c>
      <c r="B14" s="70" t="s">
        <v>112</v>
      </c>
      <c r="C14" s="9"/>
      <c r="D14" s="9" t="s">
        <v>31</v>
      </c>
      <c r="E14" s="9">
        <v>1</v>
      </c>
      <c r="F14" s="9"/>
      <c r="G14" s="80">
        <f>+'ACTIVIDADES ANEXOS POD'!O7</f>
        <v>2660000</v>
      </c>
      <c r="H14" s="115">
        <v>1</v>
      </c>
      <c r="I14" s="115"/>
      <c r="J14" s="9">
        <v>1</v>
      </c>
      <c r="K14" s="9" t="s">
        <v>90</v>
      </c>
      <c r="L14" s="81">
        <v>43040</v>
      </c>
      <c r="M14" s="81">
        <v>43221</v>
      </c>
      <c r="N14" s="10"/>
      <c r="O14" s="2"/>
      <c r="P14" s="2"/>
      <c r="Q14" s="48" t="s">
        <v>29</v>
      </c>
      <c r="R14" s="50"/>
      <c r="S14" s="2"/>
      <c r="T14" s="2"/>
    </row>
    <row r="15" spans="1:20" ht="60.6" thickBot="1" x14ac:dyDescent="0.35">
      <c r="A15" s="11" t="s">
        <v>123</v>
      </c>
      <c r="B15" s="107" t="s">
        <v>109</v>
      </c>
      <c r="C15" s="12"/>
      <c r="D15" s="12" t="s">
        <v>28</v>
      </c>
      <c r="E15" s="12"/>
      <c r="F15" s="12"/>
      <c r="G15" s="83">
        <f>+'ACTIVIDADES ANEXOS POD'!O5</f>
        <v>1175078.5</v>
      </c>
      <c r="H15" s="116">
        <v>1</v>
      </c>
      <c r="I15" s="40"/>
      <c r="J15" s="12">
        <v>1</v>
      </c>
      <c r="K15" s="12" t="s">
        <v>90</v>
      </c>
      <c r="L15" s="84">
        <v>43040</v>
      </c>
      <c r="M15" s="84">
        <v>43160</v>
      </c>
      <c r="N15" s="13"/>
      <c r="O15" s="2"/>
      <c r="P15" s="2"/>
      <c r="Q15" s="48" t="s">
        <v>92</v>
      </c>
      <c r="R15" s="50"/>
      <c r="S15" s="2"/>
      <c r="T15" s="2"/>
    </row>
    <row r="16" spans="1:20" ht="15" thickBot="1" x14ac:dyDescent="0.35">
      <c r="Q16" s="48" t="s">
        <v>30</v>
      </c>
      <c r="R16" s="51"/>
    </row>
    <row r="17" spans="1:20" ht="15.6" x14ac:dyDescent="0.3">
      <c r="A17" s="347" t="s">
        <v>13</v>
      </c>
      <c r="B17" s="348"/>
      <c r="C17" s="348"/>
      <c r="D17" s="348"/>
      <c r="E17" s="348"/>
      <c r="F17" s="348"/>
      <c r="G17" s="348"/>
      <c r="H17" s="348"/>
      <c r="I17" s="348"/>
      <c r="J17" s="348"/>
      <c r="K17" s="348"/>
      <c r="L17" s="348"/>
      <c r="M17" s="348"/>
      <c r="N17" s="349"/>
      <c r="O17" s="3"/>
      <c r="P17" s="3"/>
      <c r="Q17" s="48" t="s">
        <v>32</v>
      </c>
      <c r="R17" s="51"/>
      <c r="S17" s="3"/>
      <c r="T17" s="3"/>
    </row>
    <row r="18" spans="1:20" ht="15" customHeight="1" x14ac:dyDescent="0.3">
      <c r="A18" s="356" t="s">
        <v>7</v>
      </c>
      <c r="B18" s="351" t="s">
        <v>8</v>
      </c>
      <c r="C18" s="351" t="s">
        <v>9</v>
      </c>
      <c r="D18" s="351" t="s">
        <v>12</v>
      </c>
      <c r="E18" s="351" t="s">
        <v>3</v>
      </c>
      <c r="F18" s="351" t="s">
        <v>4</v>
      </c>
      <c r="G18" s="350" t="s">
        <v>86</v>
      </c>
      <c r="H18" s="350"/>
      <c r="I18" s="350"/>
      <c r="J18" s="351" t="s">
        <v>97</v>
      </c>
      <c r="K18" s="351" t="s">
        <v>91</v>
      </c>
      <c r="L18" s="351" t="s">
        <v>10</v>
      </c>
      <c r="M18" s="351"/>
      <c r="N18" s="359" t="s">
        <v>94</v>
      </c>
      <c r="O18" s="3"/>
      <c r="P18" s="3"/>
      <c r="Q18" s="48" t="s">
        <v>33</v>
      </c>
      <c r="R18" s="51"/>
      <c r="S18" s="3"/>
      <c r="T18" s="3"/>
    </row>
    <row r="19" spans="1:20" ht="36.75" customHeight="1" x14ac:dyDescent="0.3">
      <c r="A19" s="356"/>
      <c r="B19" s="351"/>
      <c r="C19" s="351"/>
      <c r="D19" s="351"/>
      <c r="E19" s="351"/>
      <c r="F19" s="351"/>
      <c r="G19" s="46" t="s">
        <v>96</v>
      </c>
      <c r="H19" s="42" t="s">
        <v>84</v>
      </c>
      <c r="I19" s="42" t="s">
        <v>85</v>
      </c>
      <c r="J19" s="351"/>
      <c r="K19" s="351"/>
      <c r="L19" s="35" t="s">
        <v>5</v>
      </c>
      <c r="M19" s="35" t="s">
        <v>6</v>
      </c>
      <c r="N19" s="359"/>
      <c r="O19" s="3"/>
      <c r="P19" s="3"/>
      <c r="Q19" s="48" t="s">
        <v>34</v>
      </c>
      <c r="R19" s="51"/>
      <c r="S19" s="3"/>
      <c r="T19" s="3"/>
    </row>
    <row r="20" spans="1:20" s="7" customFormat="1" ht="96" x14ac:dyDescent="0.3">
      <c r="A20" s="8" t="s">
        <v>123</v>
      </c>
      <c r="B20" s="113" t="s">
        <v>202</v>
      </c>
      <c r="C20" s="9"/>
      <c r="D20" s="9" t="s">
        <v>33</v>
      </c>
      <c r="E20" s="9">
        <v>2</v>
      </c>
      <c r="F20" s="9"/>
      <c r="G20" s="80">
        <f>+'ACTIVIDADES ANEXOS POD'!O78</f>
        <v>6965200</v>
      </c>
      <c r="H20" s="115">
        <v>1</v>
      </c>
      <c r="I20" s="39"/>
      <c r="J20" s="120">
        <v>1</v>
      </c>
      <c r="K20" s="9" t="s">
        <v>90</v>
      </c>
      <c r="L20" s="81">
        <v>43374</v>
      </c>
      <c r="M20" s="81">
        <v>43525</v>
      </c>
      <c r="N20" s="10"/>
      <c r="Q20" s="48"/>
      <c r="R20" s="51"/>
    </row>
    <row r="21" spans="1:20" s="7" customFormat="1" ht="120" x14ac:dyDescent="0.3">
      <c r="A21" s="8" t="s">
        <v>123</v>
      </c>
      <c r="B21" s="67" t="s">
        <v>110</v>
      </c>
      <c r="C21" s="9"/>
      <c r="D21" s="9" t="s">
        <v>93</v>
      </c>
      <c r="E21" s="9">
        <v>1</v>
      </c>
      <c r="F21" s="9"/>
      <c r="G21" s="80">
        <v>50000</v>
      </c>
      <c r="H21" s="115">
        <v>1</v>
      </c>
      <c r="I21" s="115"/>
      <c r="J21" s="9">
        <v>1</v>
      </c>
      <c r="K21" s="9" t="s">
        <v>89</v>
      </c>
      <c r="L21" s="81">
        <v>43009</v>
      </c>
      <c r="M21" s="81">
        <v>42736</v>
      </c>
      <c r="N21" s="10"/>
      <c r="Q21" s="48"/>
      <c r="R21" s="51"/>
    </row>
    <row r="22" spans="1:20" s="7" customFormat="1" ht="144" x14ac:dyDescent="0.3">
      <c r="A22" s="8" t="s">
        <v>123</v>
      </c>
      <c r="B22" s="67" t="s">
        <v>131</v>
      </c>
      <c r="C22" s="86"/>
      <c r="D22" s="86" t="s">
        <v>31</v>
      </c>
      <c r="E22" s="86">
        <v>1</v>
      </c>
      <c r="F22" s="86"/>
      <c r="G22" s="106">
        <f>+'ACTIVIDADES ANEXOS POD'!O86+'ACTIVIDADES ANEXOS POD'!O87+'ACTIVIDADES ANEXOS POD'!O88</f>
        <v>4678000</v>
      </c>
      <c r="H22" s="115">
        <v>1</v>
      </c>
      <c r="I22" s="117"/>
      <c r="J22" s="86" t="s">
        <v>132</v>
      </c>
      <c r="K22" s="86" t="s">
        <v>90</v>
      </c>
      <c r="L22" s="81">
        <v>43009</v>
      </c>
      <c r="M22" s="81">
        <v>43191</v>
      </c>
      <c r="N22" s="10"/>
      <c r="Q22" s="48"/>
      <c r="R22" s="51"/>
    </row>
    <row r="23" spans="1:20" s="7" customFormat="1" ht="48" x14ac:dyDescent="0.3">
      <c r="A23" s="8" t="s">
        <v>123</v>
      </c>
      <c r="B23" s="267" t="s">
        <v>315</v>
      </c>
      <c r="C23" s="260"/>
      <c r="D23" s="260" t="s">
        <v>28</v>
      </c>
      <c r="E23" s="260">
        <v>1</v>
      </c>
      <c r="F23" s="260"/>
      <c r="G23" s="262">
        <f>+'ACTIVIDADES ANEXOS POD'!O82</f>
        <v>150000</v>
      </c>
      <c r="H23" s="263">
        <v>1</v>
      </c>
      <c r="I23" s="263"/>
      <c r="J23" s="260">
        <v>4</v>
      </c>
      <c r="K23" s="260" t="s">
        <v>90</v>
      </c>
      <c r="L23" s="81">
        <v>43009</v>
      </c>
      <c r="M23" s="81">
        <v>43132</v>
      </c>
      <c r="N23" s="10"/>
      <c r="Q23" s="48"/>
      <c r="R23" s="51"/>
    </row>
    <row r="24" spans="1:20" s="7" customFormat="1" ht="60" x14ac:dyDescent="0.3">
      <c r="A24" s="8" t="s">
        <v>123</v>
      </c>
      <c r="B24" s="267" t="s">
        <v>316</v>
      </c>
      <c r="C24" s="260"/>
      <c r="D24" s="260" t="s">
        <v>93</v>
      </c>
      <c r="E24" s="260">
        <v>1</v>
      </c>
      <c r="F24" s="260"/>
      <c r="G24" s="262">
        <f>+'ACTIVIDADES ANEXOS POD'!E83</f>
        <v>50000</v>
      </c>
      <c r="H24" s="263">
        <v>1</v>
      </c>
      <c r="I24" s="263"/>
      <c r="J24" s="260">
        <v>4</v>
      </c>
      <c r="K24" s="260" t="s">
        <v>89</v>
      </c>
      <c r="L24" s="81">
        <v>42736</v>
      </c>
      <c r="M24" s="81">
        <v>42795</v>
      </c>
      <c r="N24" s="10"/>
      <c r="Q24" s="48"/>
      <c r="R24" s="51"/>
    </row>
    <row r="25" spans="1:20" s="7" customFormat="1" ht="84" x14ac:dyDescent="0.3">
      <c r="A25" s="8" t="s">
        <v>123</v>
      </c>
      <c r="B25" s="267" t="str">
        <f>+'ACTIVIDADES ANEXOS POD'!C81</f>
        <v>Desarrollo de una plataforma de interoperabilidad con AFIP con el fin de producir los datos en información estadística</v>
      </c>
      <c r="C25" s="260"/>
      <c r="D25" s="260" t="s">
        <v>28</v>
      </c>
      <c r="E25" s="260">
        <v>1</v>
      </c>
      <c r="F25" s="260"/>
      <c r="G25" s="262">
        <v>167319</v>
      </c>
      <c r="H25" s="263">
        <v>1</v>
      </c>
      <c r="I25" s="263"/>
      <c r="J25" s="260">
        <v>3</v>
      </c>
      <c r="K25" s="260" t="s">
        <v>90</v>
      </c>
      <c r="L25" s="81">
        <v>43252</v>
      </c>
      <c r="M25" s="81">
        <v>42979</v>
      </c>
      <c r="N25" s="10"/>
      <c r="Q25" s="48"/>
      <c r="R25" s="51"/>
    </row>
    <row r="26" spans="1:20" s="7" customFormat="1" ht="36" x14ac:dyDescent="0.3">
      <c r="A26" s="8" t="s">
        <v>123</v>
      </c>
      <c r="B26" s="267" t="s">
        <v>317</v>
      </c>
      <c r="C26" s="260"/>
      <c r="D26" s="260" t="s">
        <v>92</v>
      </c>
      <c r="E26" s="260"/>
      <c r="F26" s="260"/>
      <c r="G26" s="262">
        <f>+'ACTIVIDADES ANEXOS POD'!N76+'ACTIVIDADES ANEXOS POD'!N75+'ACTIVIDADES ANEXOS POD'!N74+'ACTIVIDADES ANEXOS POD'!N73+'ACTIVIDADES ANEXOS POD'!N72</f>
        <v>574500</v>
      </c>
      <c r="H26" s="263"/>
      <c r="I26" s="263">
        <v>1</v>
      </c>
      <c r="J26" s="275" t="s">
        <v>229</v>
      </c>
      <c r="K26" s="260" t="s">
        <v>92</v>
      </c>
      <c r="L26" s="264"/>
      <c r="M26" s="264"/>
      <c r="N26" s="10"/>
      <c r="Q26" s="48"/>
      <c r="R26" s="51"/>
    </row>
    <row r="27" spans="1:20" ht="132" x14ac:dyDescent="0.3">
      <c r="A27" s="8" t="s">
        <v>123</v>
      </c>
      <c r="B27" s="68" t="s">
        <v>115</v>
      </c>
      <c r="C27" s="9"/>
      <c r="D27" s="9" t="s">
        <v>28</v>
      </c>
      <c r="E27" s="9">
        <v>1</v>
      </c>
      <c r="F27" s="9"/>
      <c r="G27" s="80">
        <v>120000</v>
      </c>
      <c r="H27" s="80">
        <f>+G27</f>
        <v>120000</v>
      </c>
      <c r="I27" s="39"/>
      <c r="J27" s="9">
        <v>2</v>
      </c>
      <c r="K27" s="9" t="s">
        <v>90</v>
      </c>
      <c r="L27" s="81">
        <v>43132</v>
      </c>
      <c r="M27" s="81">
        <v>43252</v>
      </c>
      <c r="N27" s="10"/>
      <c r="O27" s="3"/>
      <c r="P27" s="3"/>
      <c r="Q27" s="49"/>
      <c r="R27" s="51"/>
      <c r="S27" s="3"/>
      <c r="T27" s="3"/>
    </row>
    <row r="28" spans="1:20" ht="15" thickBot="1" x14ac:dyDescent="0.35">
      <c r="Q28" s="48" t="s">
        <v>35</v>
      </c>
      <c r="R28" s="51"/>
    </row>
    <row r="29" spans="1:20" ht="15.75" customHeight="1" x14ac:dyDescent="0.3">
      <c r="A29" s="347" t="s">
        <v>14</v>
      </c>
      <c r="B29" s="348"/>
      <c r="C29" s="348"/>
      <c r="D29" s="348"/>
      <c r="E29" s="348"/>
      <c r="F29" s="348"/>
      <c r="G29" s="348"/>
      <c r="H29" s="348"/>
      <c r="I29" s="348"/>
      <c r="J29" s="348"/>
      <c r="K29" s="348"/>
      <c r="L29" s="348"/>
      <c r="M29" s="348"/>
      <c r="N29" s="349"/>
      <c r="O29" s="4"/>
      <c r="P29" s="4"/>
      <c r="Q29" s="48" t="s">
        <v>29</v>
      </c>
      <c r="R29" s="51"/>
    </row>
    <row r="30" spans="1:20" ht="15" customHeight="1" x14ac:dyDescent="0.3">
      <c r="A30" s="356" t="s">
        <v>7</v>
      </c>
      <c r="B30" s="351" t="s">
        <v>8</v>
      </c>
      <c r="C30" s="351" t="s">
        <v>9</v>
      </c>
      <c r="D30" s="351" t="s">
        <v>12</v>
      </c>
      <c r="E30" s="360"/>
      <c r="F30" s="360"/>
      <c r="G30" s="350" t="s">
        <v>86</v>
      </c>
      <c r="H30" s="350"/>
      <c r="I30" s="350"/>
      <c r="J30" s="351" t="s">
        <v>97</v>
      </c>
      <c r="K30" s="351" t="s">
        <v>91</v>
      </c>
      <c r="L30" s="351" t="s">
        <v>10</v>
      </c>
      <c r="M30" s="351"/>
      <c r="N30" s="359" t="s">
        <v>94</v>
      </c>
      <c r="O30" s="4"/>
      <c r="P30" s="4"/>
      <c r="Q30" s="48" t="s">
        <v>92</v>
      </c>
      <c r="R30" s="51"/>
    </row>
    <row r="31" spans="1:20" ht="41.4" x14ac:dyDescent="0.3">
      <c r="A31" s="356"/>
      <c r="B31" s="351"/>
      <c r="C31" s="351"/>
      <c r="D31" s="351"/>
      <c r="E31" s="351" t="s">
        <v>4</v>
      </c>
      <c r="F31" s="351"/>
      <c r="G31" s="47" t="s">
        <v>96</v>
      </c>
      <c r="H31" s="46" t="s">
        <v>84</v>
      </c>
      <c r="I31" s="42" t="s">
        <v>85</v>
      </c>
      <c r="J31" s="351"/>
      <c r="K31" s="351"/>
      <c r="L31" s="35" t="s">
        <v>15</v>
      </c>
      <c r="M31" s="35" t="s">
        <v>6</v>
      </c>
      <c r="N31" s="359"/>
      <c r="O31" s="4"/>
      <c r="P31" s="4"/>
      <c r="Q31" s="48" t="s">
        <v>36</v>
      </c>
      <c r="R31" s="51"/>
    </row>
    <row r="32" spans="1:20" ht="156" x14ac:dyDescent="0.3">
      <c r="A32" s="8" t="s">
        <v>123</v>
      </c>
      <c r="B32" s="67" t="s">
        <v>107</v>
      </c>
      <c r="C32" s="9"/>
      <c r="D32" s="9" t="s">
        <v>36</v>
      </c>
      <c r="E32" s="9"/>
      <c r="F32" s="9"/>
      <c r="G32" s="88">
        <v>1600000</v>
      </c>
      <c r="H32" s="118">
        <v>1</v>
      </c>
      <c r="I32" s="39"/>
      <c r="J32" s="89">
        <v>1</v>
      </c>
      <c r="K32" s="9" t="s">
        <v>90</v>
      </c>
      <c r="L32" s="81">
        <v>43040</v>
      </c>
      <c r="M32" s="81">
        <v>43252</v>
      </c>
      <c r="N32" s="10"/>
      <c r="O32" s="4"/>
      <c r="P32" s="4"/>
      <c r="Q32" s="48" t="s">
        <v>37</v>
      </c>
      <c r="R32" s="51"/>
    </row>
    <row r="33" spans="1:26" s="7" customFormat="1" ht="152.25" customHeight="1" x14ac:dyDescent="0.3">
      <c r="A33" s="8" t="s">
        <v>123</v>
      </c>
      <c r="B33" s="67" t="s">
        <v>108</v>
      </c>
      <c r="C33" s="86"/>
      <c r="D33" s="86" t="s">
        <v>35</v>
      </c>
      <c r="E33" s="86"/>
      <c r="F33" s="86"/>
      <c r="G33" s="88">
        <v>60000</v>
      </c>
      <c r="H33" s="118">
        <v>1</v>
      </c>
      <c r="I33" s="87"/>
      <c r="J33" s="89">
        <v>1</v>
      </c>
      <c r="K33" s="86" t="s">
        <v>90</v>
      </c>
      <c r="L33" s="90">
        <v>43040</v>
      </c>
      <c r="M33" s="90">
        <v>43191</v>
      </c>
      <c r="N33" s="10"/>
      <c r="R33" s="49"/>
    </row>
    <row r="34" spans="1:26" s="7" customFormat="1" ht="84" x14ac:dyDescent="0.3">
      <c r="A34" s="8" t="s">
        <v>123</v>
      </c>
      <c r="B34" s="67" t="s">
        <v>111</v>
      </c>
      <c r="C34" s="86"/>
      <c r="D34" s="86" t="s">
        <v>35</v>
      </c>
      <c r="E34" s="86"/>
      <c r="F34" s="86"/>
      <c r="G34" s="88">
        <v>40000</v>
      </c>
      <c r="H34" s="118">
        <v>1</v>
      </c>
      <c r="I34" s="87"/>
      <c r="J34" s="89">
        <v>1</v>
      </c>
      <c r="K34" s="86" t="s">
        <v>90</v>
      </c>
      <c r="L34" s="90">
        <v>43040</v>
      </c>
      <c r="M34" s="90">
        <v>43191</v>
      </c>
      <c r="N34" s="10"/>
      <c r="R34" s="49"/>
    </row>
    <row r="35" spans="1:26" s="7" customFormat="1" ht="84" x14ac:dyDescent="0.3">
      <c r="A35" s="8" t="s">
        <v>123</v>
      </c>
      <c r="B35" s="67" t="s">
        <v>201</v>
      </c>
      <c r="C35" s="86"/>
      <c r="D35" s="86" t="s">
        <v>36</v>
      </c>
      <c r="E35" s="86"/>
      <c r="F35" s="86"/>
      <c r="G35" s="88">
        <v>194400</v>
      </c>
      <c r="H35" s="118">
        <v>1</v>
      </c>
      <c r="I35" s="119"/>
      <c r="J35" s="89">
        <v>1</v>
      </c>
      <c r="K35" s="86" t="s">
        <v>90</v>
      </c>
      <c r="L35" s="90">
        <v>43374</v>
      </c>
      <c r="M35" s="93">
        <v>47178</v>
      </c>
      <c r="N35" s="10"/>
      <c r="R35" s="49"/>
    </row>
    <row r="36" spans="1:26" s="7" customFormat="1" ht="60.6" x14ac:dyDescent="0.3">
      <c r="A36" s="8" t="s">
        <v>123</v>
      </c>
      <c r="B36" s="290" t="s">
        <v>318</v>
      </c>
      <c r="C36" s="284"/>
      <c r="D36" s="284" t="s">
        <v>35</v>
      </c>
      <c r="E36" s="284"/>
      <c r="F36" s="284"/>
      <c r="G36" s="285">
        <v>30000</v>
      </c>
      <c r="H36" s="118">
        <v>1</v>
      </c>
      <c r="I36" s="286"/>
      <c r="J36" s="287">
        <v>4</v>
      </c>
      <c r="K36" s="284" t="s">
        <v>90</v>
      </c>
      <c r="L36" s="264"/>
      <c r="M36" s="288"/>
      <c r="N36" s="289"/>
      <c r="R36" s="49"/>
    </row>
    <row r="37" spans="1:26" s="7" customFormat="1" ht="60.6" x14ac:dyDescent="0.3">
      <c r="A37" s="8" t="s">
        <v>123</v>
      </c>
      <c r="B37" s="266" t="s">
        <v>318</v>
      </c>
      <c r="C37" s="284"/>
      <c r="D37" s="284" t="s">
        <v>35</v>
      </c>
      <c r="E37" s="284"/>
      <c r="F37" s="284"/>
      <c r="G37" s="285">
        <v>40000</v>
      </c>
      <c r="H37" s="118">
        <v>1</v>
      </c>
      <c r="I37" s="286"/>
      <c r="J37" s="287">
        <v>4</v>
      </c>
      <c r="K37" s="284" t="s">
        <v>90</v>
      </c>
      <c r="L37" s="264"/>
      <c r="M37" s="288"/>
      <c r="N37" s="289"/>
      <c r="R37" s="49"/>
    </row>
    <row r="38" spans="1:26" ht="61.2" thickBot="1" x14ac:dyDescent="0.35">
      <c r="A38" s="11" t="s">
        <v>123</v>
      </c>
      <c r="B38" s="291" t="s">
        <v>128</v>
      </c>
      <c r="C38" s="12"/>
      <c r="D38" s="12" t="s">
        <v>35</v>
      </c>
      <c r="E38" s="12"/>
      <c r="F38" s="12"/>
      <c r="G38" s="91">
        <v>10000</v>
      </c>
      <c r="H38" s="91">
        <f t="shared" ref="H38" si="0">+G38</f>
        <v>10000</v>
      </c>
      <c r="I38" s="40"/>
      <c r="J38" s="92">
        <v>4</v>
      </c>
      <c r="K38" s="12" t="s">
        <v>90</v>
      </c>
      <c r="L38" s="90"/>
      <c r="M38" s="93"/>
      <c r="N38" s="13"/>
      <c r="O38" s="4"/>
      <c r="P38" s="4"/>
      <c r="Q38" s="52" t="s">
        <v>38</v>
      </c>
      <c r="R38" s="52" t="s">
        <v>39</v>
      </c>
    </row>
    <row r="39" spans="1:26" ht="15" thickBot="1" x14ac:dyDescent="0.35">
      <c r="Q39" s="52" t="s">
        <v>40</v>
      </c>
      <c r="R39" s="52" t="s">
        <v>39</v>
      </c>
    </row>
    <row r="40" spans="1:26" ht="15.6" x14ac:dyDescent="0.3">
      <c r="A40" s="347" t="s">
        <v>16</v>
      </c>
      <c r="B40" s="348"/>
      <c r="C40" s="348"/>
      <c r="D40" s="348"/>
      <c r="E40" s="348"/>
      <c r="F40" s="348"/>
      <c r="G40" s="348"/>
      <c r="H40" s="348"/>
      <c r="I40" s="348"/>
      <c r="J40" s="348"/>
      <c r="K40" s="348"/>
      <c r="L40" s="348"/>
      <c r="M40" s="348"/>
      <c r="N40" s="349"/>
      <c r="O40" s="5"/>
      <c r="P40" s="5"/>
      <c r="Q40" s="52" t="s">
        <v>41</v>
      </c>
      <c r="R40" s="52" t="s">
        <v>39</v>
      </c>
      <c r="S40" s="5"/>
      <c r="T40" s="5"/>
      <c r="U40" s="5"/>
      <c r="V40" s="5"/>
      <c r="W40" s="5"/>
      <c r="X40" s="5"/>
      <c r="Y40" s="5"/>
      <c r="Z40" s="5"/>
    </row>
    <row r="41" spans="1:26" ht="15" customHeight="1" x14ac:dyDescent="0.3">
      <c r="A41" s="356" t="s">
        <v>7</v>
      </c>
      <c r="B41" s="351" t="s">
        <v>8</v>
      </c>
      <c r="C41" s="351" t="s">
        <v>9</v>
      </c>
      <c r="D41" s="351" t="s">
        <v>12</v>
      </c>
      <c r="E41" s="351" t="s">
        <v>4</v>
      </c>
      <c r="F41" s="350" t="s">
        <v>86</v>
      </c>
      <c r="G41" s="350"/>
      <c r="H41" s="350"/>
      <c r="I41" s="355" t="s">
        <v>98</v>
      </c>
      <c r="J41" s="351" t="s">
        <v>97</v>
      </c>
      <c r="K41" s="351" t="s">
        <v>91</v>
      </c>
      <c r="L41" s="351" t="s">
        <v>10</v>
      </c>
      <c r="M41" s="351"/>
      <c r="N41" s="359" t="s">
        <v>94</v>
      </c>
      <c r="O41" s="5"/>
      <c r="P41" s="5"/>
      <c r="Q41" s="52" t="s">
        <v>38</v>
      </c>
      <c r="R41" s="52" t="s">
        <v>42</v>
      </c>
      <c r="S41" s="5"/>
      <c r="T41" s="5"/>
      <c r="U41" s="5"/>
      <c r="V41" s="5"/>
      <c r="W41" s="5"/>
      <c r="X41" s="5"/>
      <c r="Y41" s="5"/>
      <c r="Z41" s="5"/>
    </row>
    <row r="42" spans="1:26" ht="41.4" x14ac:dyDescent="0.3">
      <c r="A42" s="356"/>
      <c r="B42" s="351"/>
      <c r="C42" s="351"/>
      <c r="D42" s="351"/>
      <c r="E42" s="351"/>
      <c r="F42" s="47" t="s">
        <v>96</v>
      </c>
      <c r="G42" s="46" t="s">
        <v>84</v>
      </c>
      <c r="H42" s="42" t="s">
        <v>85</v>
      </c>
      <c r="I42" s="355"/>
      <c r="J42" s="351"/>
      <c r="K42" s="351"/>
      <c r="L42" s="35" t="s">
        <v>17</v>
      </c>
      <c r="M42" s="35" t="s">
        <v>18</v>
      </c>
      <c r="N42" s="359"/>
      <c r="O42" s="5"/>
      <c r="P42" s="5"/>
      <c r="Q42" s="52" t="s">
        <v>40</v>
      </c>
      <c r="R42" s="52" t="s">
        <v>42</v>
      </c>
      <c r="S42" s="5"/>
      <c r="T42" s="5"/>
      <c r="U42" s="5"/>
      <c r="V42" s="5"/>
      <c r="W42" s="5"/>
      <c r="X42" s="5"/>
      <c r="Y42" s="5"/>
      <c r="Z42" s="5"/>
    </row>
    <row r="43" spans="1:26" ht="75" customHeight="1" x14ac:dyDescent="0.3">
      <c r="A43" s="8" t="s">
        <v>123</v>
      </c>
      <c r="B43" s="9" t="s">
        <v>322</v>
      </c>
      <c r="C43" s="9" t="s">
        <v>320</v>
      </c>
      <c r="D43" s="9" t="s">
        <v>58</v>
      </c>
      <c r="E43" s="9">
        <v>148</v>
      </c>
      <c r="F43" s="80">
        <v>7043308.75</v>
      </c>
      <c r="G43" s="36"/>
      <c r="H43" s="39">
        <v>0</v>
      </c>
      <c r="I43" s="372">
        <v>148</v>
      </c>
      <c r="J43" s="9">
        <v>1</v>
      </c>
      <c r="K43" s="9" t="s">
        <v>89</v>
      </c>
      <c r="L43" s="9"/>
      <c r="M43" s="9"/>
      <c r="N43" s="10"/>
      <c r="O43" s="5"/>
      <c r="P43" s="5"/>
      <c r="Q43" s="52" t="s">
        <v>43</v>
      </c>
      <c r="R43" s="52" t="s">
        <v>42</v>
      </c>
      <c r="S43" s="5"/>
      <c r="T43" s="5"/>
      <c r="U43" s="5"/>
      <c r="V43" s="5"/>
      <c r="W43" s="5"/>
      <c r="X43" s="5"/>
      <c r="Y43" s="5"/>
      <c r="Z43" s="5"/>
    </row>
    <row r="44" spans="1:26" ht="151.80000000000001" x14ac:dyDescent="0.3">
      <c r="A44" s="8" t="s">
        <v>123</v>
      </c>
      <c r="B44" s="9" t="s">
        <v>323</v>
      </c>
      <c r="C44" s="9" t="s">
        <v>320</v>
      </c>
      <c r="D44" s="9" t="s">
        <v>58</v>
      </c>
      <c r="E44" s="9">
        <v>286</v>
      </c>
      <c r="F44" s="80">
        <v>6054060.75</v>
      </c>
      <c r="G44" s="36"/>
      <c r="H44" s="39"/>
      <c r="I44" s="372">
        <v>286</v>
      </c>
      <c r="J44" s="9">
        <v>2</v>
      </c>
      <c r="K44" s="9" t="s">
        <v>89</v>
      </c>
      <c r="L44" s="9"/>
      <c r="M44" s="9"/>
      <c r="N44" s="10"/>
      <c r="O44" s="5"/>
      <c r="P44" s="5"/>
      <c r="Q44" s="52"/>
      <c r="R44" s="52" t="s">
        <v>44</v>
      </c>
      <c r="S44" s="5"/>
      <c r="T44" s="5"/>
      <c r="U44" s="5"/>
      <c r="V44" s="5"/>
      <c r="W44" s="5"/>
      <c r="X44" s="5"/>
      <c r="Y44" s="5"/>
      <c r="Z44" s="5"/>
    </row>
    <row r="45" spans="1:26" ht="151.80000000000001" x14ac:dyDescent="0.3">
      <c r="A45" s="8" t="s">
        <v>123</v>
      </c>
      <c r="B45" s="9" t="s">
        <v>324</v>
      </c>
      <c r="C45" s="9" t="s">
        <v>320</v>
      </c>
      <c r="D45" s="9" t="s">
        <v>58</v>
      </c>
      <c r="E45" s="9">
        <v>221</v>
      </c>
      <c r="F45" s="80">
        <v>8026881.75</v>
      </c>
      <c r="G45" s="36"/>
      <c r="H45" s="39"/>
      <c r="I45" s="372">
        <v>221</v>
      </c>
      <c r="J45" s="9">
        <v>3</v>
      </c>
      <c r="K45" s="9" t="s">
        <v>89</v>
      </c>
      <c r="L45" s="9"/>
      <c r="M45" s="9"/>
      <c r="N45" s="10"/>
      <c r="O45" s="5"/>
      <c r="P45" s="5"/>
      <c r="Q45" s="52"/>
      <c r="R45" s="52" t="s">
        <v>44</v>
      </c>
      <c r="S45" s="5"/>
      <c r="T45" s="5"/>
      <c r="U45" s="5"/>
      <c r="V45" s="5"/>
      <c r="W45" s="5"/>
      <c r="X45" s="5"/>
      <c r="Y45" s="5"/>
      <c r="Z45" s="5"/>
    </row>
    <row r="46" spans="1:26" x14ac:dyDescent="0.3">
      <c r="A46" s="8"/>
      <c r="B46" s="9"/>
      <c r="C46" s="9"/>
      <c r="D46" s="9"/>
      <c r="E46" s="9"/>
      <c r="F46" s="9"/>
      <c r="G46" s="36"/>
      <c r="H46" s="39"/>
      <c r="I46" s="39"/>
      <c r="J46" s="9"/>
      <c r="K46" s="9"/>
      <c r="L46" s="9"/>
      <c r="M46" s="9"/>
      <c r="N46" s="10"/>
      <c r="O46" s="5"/>
      <c r="P46" s="5"/>
      <c r="Q46" s="52" t="s">
        <v>45</v>
      </c>
      <c r="R46" s="52" t="s">
        <v>44</v>
      </c>
      <c r="S46" s="5"/>
      <c r="T46" s="5"/>
      <c r="U46" s="5"/>
      <c r="V46" s="5"/>
      <c r="W46" s="5"/>
      <c r="X46" s="5"/>
      <c r="Y46" s="5"/>
      <c r="Z46" s="5"/>
    </row>
    <row r="47" spans="1:26" ht="15" thickBot="1" x14ac:dyDescent="0.35">
      <c r="A47" s="11"/>
      <c r="B47" s="12"/>
      <c r="C47" s="12"/>
      <c r="D47" s="12"/>
      <c r="E47" s="12"/>
      <c r="F47" s="12"/>
      <c r="G47" s="37"/>
      <c r="H47" s="40"/>
      <c r="I47" s="40"/>
      <c r="J47" s="12"/>
      <c r="K47" s="12"/>
      <c r="L47" s="12"/>
      <c r="M47" s="12"/>
      <c r="N47" s="13"/>
      <c r="O47" s="5"/>
      <c r="P47" s="5"/>
      <c r="Q47" s="52" t="s">
        <v>45</v>
      </c>
      <c r="R47" s="52" t="s">
        <v>46</v>
      </c>
      <c r="S47" s="5"/>
      <c r="T47" s="5"/>
      <c r="U47" s="5"/>
      <c r="V47" s="5"/>
      <c r="W47" s="5"/>
      <c r="X47" s="5"/>
      <c r="Y47" s="5"/>
      <c r="Z47" s="5"/>
    </row>
    <row r="48" spans="1:26" ht="15" thickBot="1" x14ac:dyDescent="0.35">
      <c r="Q48" s="52" t="s">
        <v>47</v>
      </c>
      <c r="R48" s="52" t="s">
        <v>46</v>
      </c>
    </row>
    <row r="49" spans="1:27" ht="15.75" customHeight="1" x14ac:dyDescent="0.3">
      <c r="A49" s="347" t="s">
        <v>19</v>
      </c>
      <c r="B49" s="348"/>
      <c r="C49" s="348"/>
      <c r="D49" s="348"/>
      <c r="E49" s="348"/>
      <c r="F49" s="348"/>
      <c r="G49" s="348"/>
      <c r="H49" s="348"/>
      <c r="I49" s="348"/>
      <c r="J49" s="348"/>
      <c r="K49" s="348"/>
      <c r="L49" s="348"/>
      <c r="M49" s="348"/>
      <c r="N49" s="349"/>
      <c r="O49" s="6"/>
      <c r="P49" s="6"/>
      <c r="Q49" s="52" t="s">
        <v>48</v>
      </c>
      <c r="R49" s="52" t="s">
        <v>46</v>
      </c>
      <c r="S49" s="6"/>
      <c r="T49" s="6"/>
      <c r="U49" s="6"/>
      <c r="V49" s="6"/>
      <c r="W49" s="6"/>
      <c r="X49" s="6"/>
      <c r="Y49" s="6"/>
    </row>
    <row r="50" spans="1:27" ht="15" customHeight="1" x14ac:dyDescent="0.3">
      <c r="A50" s="356" t="s">
        <v>7</v>
      </c>
      <c r="B50" s="351" t="s">
        <v>8</v>
      </c>
      <c r="C50" s="351" t="s">
        <v>9</v>
      </c>
      <c r="D50" s="351" t="s">
        <v>12</v>
      </c>
      <c r="E50" s="360"/>
      <c r="F50" s="360"/>
      <c r="G50" s="350" t="s">
        <v>86</v>
      </c>
      <c r="H50" s="350"/>
      <c r="I50" s="350"/>
      <c r="J50" s="351" t="s">
        <v>97</v>
      </c>
      <c r="K50" s="351" t="s">
        <v>91</v>
      </c>
      <c r="L50" s="351" t="s">
        <v>10</v>
      </c>
      <c r="M50" s="351"/>
      <c r="N50" s="359" t="s">
        <v>94</v>
      </c>
      <c r="O50" s="6"/>
      <c r="P50" s="6"/>
      <c r="Q50" s="52"/>
      <c r="R50" s="52" t="s">
        <v>49</v>
      </c>
      <c r="S50" s="6"/>
      <c r="T50" s="6"/>
      <c r="U50" s="6"/>
      <c r="V50" s="6"/>
      <c r="W50" s="6"/>
      <c r="X50" s="6"/>
      <c r="Y50" s="6"/>
    </row>
    <row r="51" spans="1:27" ht="41.4" x14ac:dyDescent="0.3">
      <c r="A51" s="356"/>
      <c r="B51" s="351"/>
      <c r="C51" s="351"/>
      <c r="D51" s="351"/>
      <c r="E51" s="351" t="s">
        <v>4</v>
      </c>
      <c r="F51" s="351"/>
      <c r="G51" s="47" t="s">
        <v>96</v>
      </c>
      <c r="H51" s="46" t="s">
        <v>84</v>
      </c>
      <c r="I51" s="42" t="s">
        <v>85</v>
      </c>
      <c r="J51" s="351"/>
      <c r="K51" s="351"/>
      <c r="L51" s="35" t="s">
        <v>15</v>
      </c>
      <c r="M51" s="35" t="s">
        <v>6</v>
      </c>
      <c r="N51" s="359"/>
      <c r="O51" s="6"/>
      <c r="P51" s="6"/>
      <c r="Q51" s="52"/>
      <c r="R51" s="52" t="s">
        <v>49</v>
      </c>
      <c r="S51" s="6"/>
      <c r="T51" s="6"/>
      <c r="U51" s="6"/>
      <c r="V51" s="6"/>
      <c r="W51" s="6"/>
      <c r="X51" s="6"/>
      <c r="Y51" s="6"/>
    </row>
    <row r="52" spans="1:27" ht="84" x14ac:dyDescent="0.3">
      <c r="A52" s="8" t="s">
        <v>123</v>
      </c>
      <c r="B52" s="67" t="s">
        <v>106</v>
      </c>
      <c r="C52" s="9"/>
      <c r="D52" s="9" t="s">
        <v>35</v>
      </c>
      <c r="E52" s="357"/>
      <c r="F52" s="358"/>
      <c r="G52" s="96">
        <v>401280</v>
      </c>
      <c r="H52" s="118">
        <v>1</v>
      </c>
      <c r="I52" s="39"/>
      <c r="J52" s="89">
        <v>1</v>
      </c>
      <c r="K52" s="9" t="s">
        <v>90</v>
      </c>
      <c r="L52" s="81">
        <v>43101</v>
      </c>
      <c r="M52" s="81">
        <v>43282</v>
      </c>
      <c r="N52" s="10"/>
      <c r="O52" s="6"/>
      <c r="P52" s="6"/>
      <c r="Q52" s="49"/>
      <c r="R52" s="49"/>
      <c r="S52" s="6"/>
      <c r="T52" s="6"/>
      <c r="U52" s="6"/>
      <c r="V52" s="6"/>
      <c r="W52" s="6"/>
      <c r="X52" s="6"/>
      <c r="Y52" s="6"/>
    </row>
    <row r="53" spans="1:27" s="7" customFormat="1" ht="48" x14ac:dyDescent="0.3">
      <c r="A53" s="8" t="s">
        <v>123</v>
      </c>
      <c r="B53" s="69" t="s">
        <v>114</v>
      </c>
      <c r="C53" s="86"/>
      <c r="D53" s="86" t="s">
        <v>35</v>
      </c>
      <c r="E53" s="94"/>
      <c r="F53" s="95"/>
      <c r="G53" s="96">
        <v>120000</v>
      </c>
      <c r="H53" s="118">
        <v>1</v>
      </c>
      <c r="I53" s="87"/>
      <c r="J53" s="89">
        <v>1</v>
      </c>
      <c r="K53" s="86" t="s">
        <v>90</v>
      </c>
      <c r="L53" s="81">
        <v>43101</v>
      </c>
      <c r="M53" s="81">
        <v>43282</v>
      </c>
      <c r="N53" s="10"/>
      <c r="Q53" s="49"/>
      <c r="R53" s="49"/>
    </row>
    <row r="54" spans="1:27" ht="15" thickBot="1" x14ac:dyDescent="0.35">
      <c r="A54" s="11"/>
      <c r="B54" s="12"/>
      <c r="C54" s="12"/>
      <c r="D54" s="12"/>
      <c r="E54" s="361"/>
      <c r="F54" s="362"/>
      <c r="G54" s="12"/>
      <c r="H54" s="37"/>
      <c r="I54" s="40"/>
      <c r="J54" s="40"/>
      <c r="K54" s="12"/>
      <c r="L54" s="12"/>
      <c r="M54" s="12"/>
      <c r="N54" s="13"/>
      <c r="O54" s="6"/>
      <c r="P54" s="6"/>
      <c r="Q54" s="52" t="s">
        <v>50</v>
      </c>
      <c r="R54" s="52" t="s">
        <v>39</v>
      </c>
      <c r="S54" s="6"/>
      <c r="T54" s="6"/>
      <c r="U54" s="6"/>
      <c r="V54" s="6"/>
      <c r="W54" s="6"/>
      <c r="X54" s="6"/>
      <c r="Y54" s="6"/>
    </row>
    <row r="55" spans="1:27" s="7" customFormat="1" x14ac:dyDescent="0.3">
      <c r="A55" s="43"/>
      <c r="B55" s="43"/>
      <c r="C55" s="43"/>
      <c r="D55" s="43"/>
      <c r="E55" s="43"/>
      <c r="F55" s="43"/>
      <c r="G55" s="43"/>
      <c r="H55" s="44"/>
      <c r="I55" s="45"/>
      <c r="J55" s="45"/>
      <c r="K55" s="43"/>
      <c r="L55" s="43"/>
      <c r="M55" s="43"/>
      <c r="N55" s="43"/>
      <c r="Q55" s="52"/>
      <c r="R55" s="52"/>
    </row>
    <row r="56" spans="1:27" ht="15" thickBot="1" x14ac:dyDescent="0.35">
      <c r="E56" s="43"/>
      <c r="F56" s="43"/>
      <c r="G56" s="43"/>
      <c r="H56" s="44"/>
      <c r="I56" s="45"/>
      <c r="J56" s="45"/>
      <c r="K56" s="43"/>
      <c r="L56" s="43"/>
      <c r="M56" s="43"/>
      <c r="N56" s="43"/>
      <c r="Q56" s="52" t="s">
        <v>51</v>
      </c>
      <c r="R56" s="52" t="s">
        <v>39</v>
      </c>
    </row>
    <row r="57" spans="1:27" ht="15.75" customHeight="1" x14ac:dyDescent="0.3">
      <c r="A57" s="347" t="s">
        <v>20</v>
      </c>
      <c r="B57" s="348"/>
      <c r="C57" s="348"/>
      <c r="D57" s="348"/>
      <c r="E57" s="348"/>
      <c r="F57" s="348"/>
      <c r="G57" s="348"/>
      <c r="H57" s="348"/>
      <c r="I57" s="348"/>
      <c r="J57" s="348"/>
      <c r="K57" s="348"/>
      <c r="L57" s="348"/>
      <c r="M57" s="348"/>
      <c r="N57" s="349"/>
      <c r="O57" s="7"/>
      <c r="P57" s="7"/>
      <c r="Q57" s="52" t="s">
        <v>52</v>
      </c>
      <c r="R57" s="52" t="s">
        <v>39</v>
      </c>
      <c r="S57" s="7"/>
      <c r="T57" s="7"/>
      <c r="U57" s="7"/>
      <c r="V57" s="7"/>
      <c r="W57" s="7"/>
      <c r="X57" s="7"/>
      <c r="Y57" s="7"/>
      <c r="Z57" s="7"/>
      <c r="AA57" s="7"/>
    </row>
    <row r="58" spans="1:27" ht="15" customHeight="1" x14ac:dyDescent="0.3">
      <c r="A58" s="356" t="s">
        <v>7</v>
      </c>
      <c r="B58" s="351" t="s">
        <v>59</v>
      </c>
      <c r="C58" s="351" t="s">
        <v>9</v>
      </c>
      <c r="D58" s="351"/>
      <c r="E58" s="351" t="s">
        <v>4</v>
      </c>
      <c r="F58" s="351"/>
      <c r="G58" s="350" t="s">
        <v>86</v>
      </c>
      <c r="H58" s="350"/>
      <c r="I58" s="350"/>
      <c r="J58" s="351" t="s">
        <v>97</v>
      </c>
      <c r="K58" s="355" t="s">
        <v>21</v>
      </c>
      <c r="L58" s="351" t="s">
        <v>10</v>
      </c>
      <c r="M58" s="351"/>
      <c r="N58" s="352" t="s">
        <v>95</v>
      </c>
      <c r="O58" s="7"/>
      <c r="P58" s="7"/>
      <c r="Q58" s="52" t="s">
        <v>53</v>
      </c>
      <c r="R58" s="52" t="s">
        <v>39</v>
      </c>
      <c r="S58" s="7"/>
      <c r="T58" s="7"/>
      <c r="U58" s="7"/>
      <c r="V58" s="7"/>
      <c r="W58" s="7"/>
      <c r="X58" s="7"/>
      <c r="Y58" s="7"/>
      <c r="Z58" s="7"/>
      <c r="AA58" s="7"/>
    </row>
    <row r="59" spans="1:27" ht="69" x14ac:dyDescent="0.3">
      <c r="A59" s="356"/>
      <c r="B59" s="351"/>
      <c r="C59" s="351"/>
      <c r="D59" s="351"/>
      <c r="E59" s="351"/>
      <c r="F59" s="351"/>
      <c r="G59" s="47" t="s">
        <v>96</v>
      </c>
      <c r="H59" s="35" t="s">
        <v>84</v>
      </c>
      <c r="I59" s="46" t="s">
        <v>85</v>
      </c>
      <c r="J59" s="351"/>
      <c r="K59" s="355"/>
      <c r="L59" s="35" t="s">
        <v>22</v>
      </c>
      <c r="M59" s="35" t="s">
        <v>23</v>
      </c>
      <c r="N59" s="353"/>
      <c r="O59" s="7"/>
      <c r="P59" s="7"/>
      <c r="Q59" s="52" t="s">
        <v>54</v>
      </c>
      <c r="R59" s="52" t="s">
        <v>39</v>
      </c>
      <c r="S59" s="7"/>
      <c r="T59" s="7"/>
      <c r="U59" s="7"/>
      <c r="V59" s="7"/>
      <c r="W59" s="7"/>
      <c r="X59" s="7"/>
      <c r="Y59" s="7"/>
      <c r="Z59" s="7"/>
      <c r="AA59" s="7"/>
    </row>
    <row r="60" spans="1:27" ht="112.5" customHeight="1" x14ac:dyDescent="0.3">
      <c r="A60" s="68" t="s">
        <v>123</v>
      </c>
      <c r="B60" s="68" t="s">
        <v>319</v>
      </c>
      <c r="C60" s="354" t="s">
        <v>320</v>
      </c>
      <c r="D60" s="354"/>
      <c r="E60" s="354"/>
      <c r="F60" s="354"/>
      <c r="G60" s="97">
        <f>+'Plan de Adquisiciones'!B16</f>
        <v>24882251.25</v>
      </c>
      <c r="H60" s="297">
        <v>99.9</v>
      </c>
      <c r="I60" s="98">
        <f>100-H60</f>
        <v>9.9999999999994316E-2</v>
      </c>
      <c r="J60" s="100">
        <v>1</v>
      </c>
      <c r="K60" s="99">
        <v>1</v>
      </c>
      <c r="L60" s="81"/>
      <c r="M60" s="81"/>
      <c r="N60" s="10"/>
      <c r="O60" s="7"/>
      <c r="P60" s="7"/>
      <c r="Q60" s="49"/>
      <c r="R60" s="49"/>
      <c r="S60" s="7"/>
      <c r="T60" s="7"/>
      <c r="U60" s="7"/>
      <c r="V60" s="7"/>
      <c r="W60" s="7"/>
      <c r="X60" s="7"/>
      <c r="Y60" s="7"/>
      <c r="Z60" s="7"/>
      <c r="AA60" s="7"/>
    </row>
    <row r="61" spans="1:27" x14ac:dyDescent="0.3">
      <c r="C61" s="7"/>
      <c r="D61" s="7"/>
      <c r="H61" s="296"/>
      <c r="Q61" s="49"/>
      <c r="R61" s="52" t="s">
        <v>42</v>
      </c>
    </row>
    <row r="62" spans="1:27" x14ac:dyDescent="0.3">
      <c r="C62" s="7"/>
      <c r="D62" s="7"/>
      <c r="Q62" s="49"/>
      <c r="R62" s="52"/>
    </row>
    <row r="63" spans="1:27" x14ac:dyDescent="0.3">
      <c r="C63" s="7"/>
      <c r="D63" s="7"/>
      <c r="Q63" s="49"/>
      <c r="R63" s="49"/>
    </row>
    <row r="64" spans="1:27" x14ac:dyDescent="0.3">
      <c r="C64" s="7"/>
      <c r="D64" s="7"/>
      <c r="Q64" s="52" t="s">
        <v>55</v>
      </c>
      <c r="R64" s="52" t="s">
        <v>44</v>
      </c>
    </row>
    <row r="65" spans="3:18" x14ac:dyDescent="0.3">
      <c r="C65" s="7"/>
      <c r="D65" s="7"/>
      <c r="Q65" s="49"/>
      <c r="R65" s="49"/>
    </row>
    <row r="66" spans="3:18" x14ac:dyDescent="0.3">
      <c r="C66" s="7"/>
      <c r="D66" s="7"/>
      <c r="Q66" s="52" t="s">
        <v>56</v>
      </c>
      <c r="R66" s="52" t="s">
        <v>46</v>
      </c>
    </row>
    <row r="67" spans="3:18" x14ac:dyDescent="0.3">
      <c r="Q67" s="52" t="s">
        <v>57</v>
      </c>
      <c r="R67" s="52" t="s">
        <v>46</v>
      </c>
    </row>
    <row r="68" spans="3:18" x14ac:dyDescent="0.3">
      <c r="Q68" s="49"/>
      <c r="R68" s="49"/>
    </row>
    <row r="69" spans="3:18" x14ac:dyDescent="0.3">
      <c r="Q69" s="51"/>
      <c r="R69" s="51"/>
    </row>
    <row r="70" spans="3:18" x14ac:dyDescent="0.3">
      <c r="Q70" s="52" t="s">
        <v>45</v>
      </c>
      <c r="R70" s="49"/>
    </row>
    <row r="71" spans="3:18" x14ac:dyDescent="0.3">
      <c r="Q71" s="52" t="s">
        <v>48</v>
      </c>
      <c r="R71" s="49"/>
    </row>
    <row r="72" spans="3:18" x14ac:dyDescent="0.3">
      <c r="Q72" s="51"/>
      <c r="R72" s="51"/>
    </row>
    <row r="73" spans="3:18" x14ac:dyDescent="0.3">
      <c r="Q73" s="51"/>
      <c r="R73" s="51"/>
    </row>
    <row r="74" spans="3:18" x14ac:dyDescent="0.3">
      <c r="Q74" s="48" t="s">
        <v>35</v>
      </c>
      <c r="R74" s="49"/>
    </row>
    <row r="75" spans="3:18" x14ac:dyDescent="0.3">
      <c r="Q75" s="48" t="s">
        <v>29</v>
      </c>
      <c r="R75" s="49"/>
    </row>
    <row r="76" spans="3:18" x14ac:dyDescent="0.3">
      <c r="Q76" s="48" t="s">
        <v>58</v>
      </c>
      <c r="R76" s="49"/>
    </row>
    <row r="77" spans="3:18" x14ac:dyDescent="0.3">
      <c r="Q77" s="48" t="s">
        <v>92</v>
      </c>
      <c r="R77" s="51"/>
    </row>
  </sheetData>
  <mergeCells count="87">
    <mergeCell ref="K18:K19"/>
    <mergeCell ref="L41:M41"/>
    <mergeCell ref="N41:N42"/>
    <mergeCell ref="A40:N40"/>
    <mergeCell ref="A41:A42"/>
    <mergeCell ref="B41:B42"/>
    <mergeCell ref="C41:C42"/>
    <mergeCell ref="D41:D42"/>
    <mergeCell ref="E41:E42"/>
    <mergeCell ref="I41:I42"/>
    <mergeCell ref="J41:J42"/>
    <mergeCell ref="F41:H41"/>
    <mergeCell ref="K41:K42"/>
    <mergeCell ref="N30:N31"/>
    <mergeCell ref="E31:F31"/>
    <mergeCell ref="G8:I8"/>
    <mergeCell ref="N18:N19"/>
    <mergeCell ref="A30:A31"/>
    <mergeCell ref="B30:B31"/>
    <mergeCell ref="C30:C31"/>
    <mergeCell ref="D30:D31"/>
    <mergeCell ref="J30:J31"/>
    <mergeCell ref="K30:K31"/>
    <mergeCell ref="D18:D19"/>
    <mergeCell ref="E18:E19"/>
    <mergeCell ref="F18:F19"/>
    <mergeCell ref="J18:J19"/>
    <mergeCell ref="A18:A19"/>
    <mergeCell ref="B18:B19"/>
    <mergeCell ref="C18:C19"/>
    <mergeCell ref="G18:I18"/>
    <mergeCell ref="E54:F54"/>
    <mergeCell ref="E58:F59"/>
    <mergeCell ref="A1:N1"/>
    <mergeCell ref="A2:N2"/>
    <mergeCell ref="A3:A4"/>
    <mergeCell ref="B3:B4"/>
    <mergeCell ref="C3:C4"/>
    <mergeCell ref="D3:D4"/>
    <mergeCell ref="E3:E4"/>
    <mergeCell ref="F3:F4"/>
    <mergeCell ref="N3:N4"/>
    <mergeCell ref="L3:M3"/>
    <mergeCell ref="K3:K4"/>
    <mergeCell ref="J3:J4"/>
    <mergeCell ref="A17:N17"/>
    <mergeCell ref="N8:N9"/>
    <mergeCell ref="G3:I3"/>
    <mergeCell ref="L30:M30"/>
    <mergeCell ref="A29:N29"/>
    <mergeCell ref="G30:I30"/>
    <mergeCell ref="E30:F30"/>
    <mergeCell ref="L18:M18"/>
    <mergeCell ref="A7:N7"/>
    <mergeCell ref="A8:A9"/>
    <mergeCell ref="B8:B9"/>
    <mergeCell ref="C8:C9"/>
    <mergeCell ref="D8:D9"/>
    <mergeCell ref="E8:E9"/>
    <mergeCell ref="F8:F9"/>
    <mergeCell ref="J8:J9"/>
    <mergeCell ref="K8:K9"/>
    <mergeCell ref="L8:M8"/>
    <mergeCell ref="L50:M50"/>
    <mergeCell ref="E51:F51"/>
    <mergeCell ref="A49:N49"/>
    <mergeCell ref="E52:F52"/>
    <mergeCell ref="K50:K51"/>
    <mergeCell ref="N50:N51"/>
    <mergeCell ref="J50:J51"/>
    <mergeCell ref="A50:A51"/>
    <mergeCell ref="B50:B51"/>
    <mergeCell ref="C50:C51"/>
    <mergeCell ref="D50:D51"/>
    <mergeCell ref="E50:F50"/>
    <mergeCell ref="G50:I50"/>
    <mergeCell ref="A57:N57"/>
    <mergeCell ref="G58:I58"/>
    <mergeCell ref="L58:M58"/>
    <mergeCell ref="N58:N59"/>
    <mergeCell ref="E60:F60"/>
    <mergeCell ref="C60:D60"/>
    <mergeCell ref="J58:J59"/>
    <mergeCell ref="K58:K59"/>
    <mergeCell ref="A58:A59"/>
    <mergeCell ref="B58:B59"/>
    <mergeCell ref="C58:D59"/>
  </mergeCells>
  <dataValidations count="5">
    <dataValidation type="list" allowBlank="1" showInputMessage="1" showErrorMessage="1" sqref="D43:D47">
      <formula1>$Q$74:$Q$77</formula1>
    </dataValidation>
    <dataValidation type="list" allowBlank="1" showInputMessage="1" showErrorMessage="1" sqref="K55:K56">
      <formula1>$Q$2:$Q$3</formula1>
    </dataValidation>
    <dataValidation type="list" allowBlank="1" showInputMessage="1" showErrorMessage="1" sqref="D5 D20:D27 D10:D15">
      <formula1>$Q$10:$Q$19</formula1>
    </dataValidation>
    <dataValidation type="list" allowBlank="1" showInputMessage="1" showErrorMessage="1" sqref="K5 K10:K15 K20:K27 K43:K47 K52:K54 K32:K38">
      <formula1>$Q$2:$Q$4</formula1>
    </dataValidation>
    <dataValidation type="list" allowBlank="1" showInputMessage="1" showErrorMessage="1" sqref="D52:D55 D32:D38">
      <formula1>$Q$28:$Q$32</formula1>
    </dataValidation>
  </dataValidations>
  <pageMargins left="0.7" right="0.7" top="0.75" bottom="0.75" header="0.3" footer="0.3"/>
  <pageSetup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workbookViewId="0">
      <selection activeCell="H9" sqref="H9"/>
    </sheetView>
  </sheetViews>
  <sheetFormatPr defaultColWidth="9.109375" defaultRowHeight="15.6" x14ac:dyDescent="0.3"/>
  <cols>
    <col min="1" max="1" width="43.44140625" style="53" customWidth="1"/>
    <col min="2" max="2" width="24.44140625" style="53" customWidth="1"/>
    <col min="3" max="3" width="28.88671875" style="53" customWidth="1"/>
    <col min="4" max="4" width="26.33203125" style="53" customWidth="1"/>
    <col min="5" max="16384" width="9.109375" style="53"/>
  </cols>
  <sheetData>
    <row r="1" spans="1:4" ht="44.25" customHeight="1" x14ac:dyDescent="0.3">
      <c r="A1" s="62" t="s">
        <v>99</v>
      </c>
      <c r="B1" s="62" t="s">
        <v>105</v>
      </c>
      <c r="C1" s="62" t="s">
        <v>100</v>
      </c>
      <c r="D1" s="63" t="s">
        <v>101</v>
      </c>
    </row>
    <row r="2" spans="1:4" ht="16.2" thickBot="1" x14ac:dyDescent="0.35">
      <c r="A2" s="54" t="s">
        <v>71</v>
      </c>
      <c r="B2" s="55"/>
      <c r="C2" s="55"/>
      <c r="D2" s="55"/>
    </row>
    <row r="3" spans="1:4" ht="61.2" thickBot="1" x14ac:dyDescent="0.35">
      <c r="A3" s="104" t="s">
        <v>125</v>
      </c>
      <c r="B3" s="101" t="s">
        <v>130</v>
      </c>
      <c r="C3" s="102">
        <v>43040</v>
      </c>
      <c r="D3" s="105">
        <f>+'Detalle Plan de Adquisiciones'!G10</f>
        <v>6307938.1349999998</v>
      </c>
    </row>
    <row r="4" spans="1:4" ht="24.6" thickBot="1" x14ac:dyDescent="0.35">
      <c r="A4" s="103" t="s">
        <v>112</v>
      </c>
      <c r="B4" s="101" t="s">
        <v>130</v>
      </c>
      <c r="C4" s="102">
        <v>43040</v>
      </c>
      <c r="D4" s="105">
        <f>+'Detalle Plan de Adquisiciones'!G14</f>
        <v>2660000</v>
      </c>
    </row>
    <row r="5" spans="1:4" ht="16.2" thickBot="1" x14ac:dyDescent="0.35">
      <c r="A5" s="58" t="s">
        <v>102</v>
      </c>
      <c r="B5" s="59"/>
      <c r="C5" s="59"/>
      <c r="D5" s="59"/>
    </row>
    <row r="6" spans="1:4" ht="24.6" thickBot="1" x14ac:dyDescent="0.35">
      <c r="A6" s="103" t="s">
        <v>200</v>
      </c>
      <c r="B6" s="101" t="s">
        <v>129</v>
      </c>
      <c r="C6" s="102">
        <v>43374</v>
      </c>
      <c r="D6" s="105">
        <f>+'Detalle Plan de Adquisiciones'!G20</f>
        <v>6965200</v>
      </c>
    </row>
    <row r="7" spans="1:4" ht="48.6" thickBot="1" x14ac:dyDescent="0.35">
      <c r="A7" s="67" t="s">
        <v>131</v>
      </c>
      <c r="B7" s="101" t="s">
        <v>130</v>
      </c>
      <c r="C7" s="102">
        <v>43009</v>
      </c>
      <c r="D7" s="105">
        <f>+'Detalle Plan de Adquisiciones'!G22</f>
        <v>4678000</v>
      </c>
    </row>
    <row r="8" spans="1:4" ht="16.2" thickBot="1" x14ac:dyDescent="0.35">
      <c r="A8" s="58" t="s">
        <v>103</v>
      </c>
      <c r="B8" s="59"/>
      <c r="C8" s="59"/>
      <c r="D8" s="59"/>
    </row>
    <row r="9" spans="1:4" ht="48.6" thickBot="1" x14ac:dyDescent="0.35">
      <c r="A9" s="103" t="s">
        <v>107</v>
      </c>
      <c r="B9" s="101" t="s">
        <v>133</v>
      </c>
      <c r="C9" s="102">
        <v>43040</v>
      </c>
      <c r="D9" s="105">
        <v>1600000</v>
      </c>
    </row>
    <row r="10" spans="1:4" ht="16.2" thickBot="1" x14ac:dyDescent="0.35">
      <c r="A10" s="60"/>
      <c r="B10" s="57"/>
      <c r="C10" s="57"/>
      <c r="D10" s="57"/>
    </row>
    <row r="11" spans="1:4" ht="16.2" thickBot="1" x14ac:dyDescent="0.35">
      <c r="A11" s="58" t="s">
        <v>104</v>
      </c>
      <c r="B11" s="59"/>
      <c r="C11" s="59"/>
      <c r="D11" s="59"/>
    </row>
    <row r="12" spans="1:4" ht="16.2" thickBot="1" x14ac:dyDescent="0.35">
      <c r="A12" s="56"/>
      <c r="B12" s="57"/>
      <c r="C12" s="57"/>
      <c r="D12" s="57"/>
    </row>
    <row r="13" spans="1:4" ht="16.2" thickBot="1" x14ac:dyDescent="0.35">
      <c r="A13" s="56"/>
      <c r="B13" s="57"/>
      <c r="C13" s="57"/>
      <c r="D13" s="57"/>
    </row>
    <row r="16" spans="1:4" x14ac:dyDescent="0.3">
      <c r="A16" s="61"/>
    </row>
  </sheetData>
  <hyperlinks>
    <hyperlink ref="B1" location="_ftn1" display="_ftn1"/>
  </hyperlink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T98"/>
  <sheetViews>
    <sheetView zoomScale="70" zoomScaleNormal="70" workbookViewId="0">
      <pane ySplit="3" topLeftCell="A4" activePane="bottomLeft" state="frozen"/>
      <selection pane="bottomLeft" activeCell="N3" sqref="N3:P4"/>
    </sheetView>
  </sheetViews>
  <sheetFormatPr defaultColWidth="9.109375" defaultRowHeight="13.8" x14ac:dyDescent="0.25"/>
  <cols>
    <col min="1" max="1" width="5.88671875" style="121" bestFit="1" customWidth="1"/>
    <col min="2" max="2" width="3.6640625" style="121" bestFit="1" customWidth="1"/>
    <col min="3" max="3" width="76.109375" style="122" customWidth="1"/>
    <col min="4" max="4" width="14.88671875" style="122" bestFit="1" customWidth="1"/>
    <col min="5" max="5" width="16" style="122" bestFit="1" customWidth="1"/>
    <col min="6" max="6" width="14.88671875" style="122" bestFit="1" customWidth="1"/>
    <col min="7" max="7" width="16.44140625" style="122" bestFit="1" customWidth="1"/>
    <col min="8" max="8" width="14.33203125" style="122" customWidth="1"/>
    <col min="9" max="9" width="16.6640625" style="122" bestFit="1" customWidth="1"/>
    <col min="10" max="10" width="14.33203125" style="122" customWidth="1"/>
    <col min="11" max="11" width="16.44140625" style="122" bestFit="1" customWidth="1"/>
    <col min="12" max="12" width="12.44140625" style="122" customWidth="1"/>
    <col min="13" max="13" width="16" style="122" bestFit="1" customWidth="1"/>
    <col min="14" max="14" width="13.5546875" style="122" bestFit="1" customWidth="1"/>
    <col min="15" max="15" width="17.33203125" style="122" bestFit="1" customWidth="1"/>
    <col min="16" max="16" width="17.88671875" style="124" bestFit="1" customWidth="1"/>
    <col min="17" max="17" width="14.88671875" style="122" bestFit="1" customWidth="1"/>
    <col min="18" max="18" width="21.88671875" style="122" customWidth="1"/>
    <col min="19" max="19" width="11.6640625" style="122" bestFit="1" customWidth="1"/>
    <col min="20" max="20" width="10" style="122" bestFit="1" customWidth="1"/>
    <col min="21" max="21" width="9.109375" style="122"/>
    <col min="22" max="22" width="9.5546875" style="122" bestFit="1" customWidth="1"/>
    <col min="23" max="23" width="9.109375" style="122"/>
    <col min="24" max="24" width="10.88671875" style="122" bestFit="1" customWidth="1"/>
    <col min="25" max="25" width="16.88671875" style="122" customWidth="1"/>
    <col min="26" max="16384" width="9.109375" style="122"/>
  </cols>
  <sheetData>
    <row r="1" spans="1:19" x14ac:dyDescent="0.25">
      <c r="F1" s="123">
        <f>2275500-I7-H7</f>
        <v>1659500</v>
      </c>
      <c r="G1" s="123">
        <f>4005000-I7</f>
        <v>3389000</v>
      </c>
      <c r="H1" s="122" t="s">
        <v>203</v>
      </c>
      <c r="I1" s="122">
        <v>16</v>
      </c>
      <c r="L1" s="122" t="s">
        <v>204</v>
      </c>
      <c r="M1" s="122">
        <v>0.1</v>
      </c>
    </row>
    <row r="2" spans="1:19" x14ac:dyDescent="0.25">
      <c r="H2" s="122" t="s">
        <v>205</v>
      </c>
      <c r="I2" s="122">
        <v>1</v>
      </c>
      <c r="L2" s="122" t="s">
        <v>206</v>
      </c>
      <c r="M2" s="122">
        <v>0.9</v>
      </c>
    </row>
    <row r="3" spans="1:19" ht="30" customHeight="1" x14ac:dyDescent="0.25">
      <c r="A3" s="367" t="s">
        <v>134</v>
      </c>
      <c r="B3" s="367"/>
      <c r="C3" s="368"/>
      <c r="D3" s="366">
        <v>2018</v>
      </c>
      <c r="E3" s="368"/>
      <c r="F3" s="366">
        <v>2019</v>
      </c>
      <c r="G3" s="368"/>
      <c r="H3" s="366">
        <v>2020</v>
      </c>
      <c r="I3" s="368"/>
      <c r="J3" s="366">
        <v>2021</v>
      </c>
      <c r="K3" s="368"/>
      <c r="L3" s="366">
        <v>2022</v>
      </c>
      <c r="M3" s="368"/>
      <c r="N3" s="366" t="s">
        <v>135</v>
      </c>
      <c r="O3" s="367"/>
      <c r="P3" s="368"/>
    </row>
    <row r="4" spans="1:19" ht="13.5" customHeight="1" x14ac:dyDescent="0.25">
      <c r="A4" s="125"/>
      <c r="B4" s="125"/>
      <c r="C4" s="125"/>
      <c r="D4" s="126" t="s">
        <v>204</v>
      </c>
      <c r="E4" s="126" t="s">
        <v>206</v>
      </c>
      <c r="F4" s="126" t="s">
        <v>204</v>
      </c>
      <c r="G4" s="126" t="s">
        <v>206</v>
      </c>
      <c r="H4" s="126" t="s">
        <v>204</v>
      </c>
      <c r="I4" s="126" t="s">
        <v>206</v>
      </c>
      <c r="J4" s="126" t="s">
        <v>204</v>
      </c>
      <c r="K4" s="126" t="s">
        <v>206</v>
      </c>
      <c r="L4" s="126" t="s">
        <v>204</v>
      </c>
      <c r="M4" s="126" t="s">
        <v>206</v>
      </c>
      <c r="N4" s="126" t="s">
        <v>204</v>
      </c>
      <c r="O4" s="126" t="s">
        <v>206</v>
      </c>
      <c r="P4" s="127"/>
    </row>
    <row r="5" spans="1:19" x14ac:dyDescent="0.25">
      <c r="A5" s="129" t="s">
        <v>207</v>
      </c>
      <c r="B5" s="129" t="s">
        <v>208</v>
      </c>
      <c r="C5" s="125" t="s">
        <v>109</v>
      </c>
      <c r="D5" s="130"/>
      <c r="E5" s="130">
        <v>1054000</v>
      </c>
      <c r="F5" s="131"/>
      <c r="G5" s="131">
        <f>((74896.8749999999))</f>
        <v>74896.874999999898</v>
      </c>
      <c r="H5" s="131"/>
      <c r="I5" s="131">
        <f>(39965.625)</f>
        <v>39965.625</v>
      </c>
      <c r="J5" s="131"/>
      <c r="K5" s="132">
        <v>6216</v>
      </c>
      <c r="L5" s="130"/>
      <c r="M5" s="130"/>
      <c r="N5" s="136">
        <f>+L5+J5+H5+F5+D5</f>
        <v>0</v>
      </c>
      <c r="O5" s="137">
        <f t="shared" ref="O5:O36" si="0">+E5+G5+I5+K5+M5</f>
        <v>1175078.5</v>
      </c>
      <c r="P5" s="138">
        <f t="shared" ref="P5:P36" si="1">+O5+N5</f>
        <v>1175078.5</v>
      </c>
      <c r="Q5" s="123" t="s">
        <v>11</v>
      </c>
      <c r="R5" s="123">
        <f>SUM(N5:N12)</f>
        <v>0</v>
      </c>
      <c r="S5" s="123">
        <f>SUM(O5:O12)</f>
        <v>10286550.135</v>
      </c>
    </row>
    <row r="6" spans="1:19" x14ac:dyDescent="0.25">
      <c r="A6" s="129" t="s">
        <v>211</v>
      </c>
      <c r="B6" s="129" t="s">
        <v>208</v>
      </c>
      <c r="C6" s="271" t="s">
        <v>212</v>
      </c>
      <c r="D6" s="130"/>
      <c r="E6" s="131">
        <v>55000</v>
      </c>
      <c r="F6" s="130"/>
      <c r="G6" s="131">
        <v>55000</v>
      </c>
      <c r="H6" s="131"/>
      <c r="I6" s="131"/>
      <c r="J6" s="131"/>
      <c r="K6" s="130"/>
      <c r="L6" s="130"/>
      <c r="M6" s="130"/>
      <c r="N6" s="136">
        <f t="shared" ref="N6:N68" si="2">+L6+J6+H6+F6+D6</f>
        <v>0</v>
      </c>
      <c r="O6" s="137">
        <f t="shared" si="0"/>
        <v>110000</v>
      </c>
      <c r="P6" s="138">
        <f t="shared" si="1"/>
        <v>110000</v>
      </c>
    </row>
    <row r="7" spans="1:19" x14ac:dyDescent="0.25">
      <c r="A7" s="129" t="s">
        <v>213</v>
      </c>
      <c r="B7" s="129" t="s">
        <v>208</v>
      </c>
      <c r="C7" s="139" t="s">
        <v>112</v>
      </c>
      <c r="D7" s="140"/>
      <c r="E7" s="140">
        <v>805000</v>
      </c>
      <c r="F7" s="140"/>
      <c r="G7" s="140">
        <v>1148000</v>
      </c>
      <c r="H7" s="140"/>
      <c r="I7" s="140">
        <v>616000</v>
      </c>
      <c r="J7" s="140"/>
      <c r="K7" s="140">
        <v>91000</v>
      </c>
      <c r="L7" s="140"/>
      <c r="M7" s="140"/>
      <c r="N7" s="136">
        <f t="shared" si="2"/>
        <v>0</v>
      </c>
      <c r="O7" s="137">
        <f t="shared" si="0"/>
        <v>2660000</v>
      </c>
      <c r="P7" s="138">
        <f t="shared" si="1"/>
        <v>2660000</v>
      </c>
    </row>
    <row r="8" spans="1:19" ht="24" x14ac:dyDescent="0.25">
      <c r="A8" s="129" t="s">
        <v>214</v>
      </c>
      <c r="B8" s="129" t="s">
        <v>208</v>
      </c>
      <c r="C8" s="271" t="s">
        <v>215</v>
      </c>
      <c r="D8" s="141"/>
      <c r="E8" s="141">
        <v>3035000</v>
      </c>
      <c r="F8" s="141"/>
      <c r="G8" s="141">
        <v>2320000</v>
      </c>
      <c r="H8" s="141"/>
      <c r="I8" s="141">
        <f>2275500-1952415.865-10000+302854-40000</f>
        <v>575938.13500000001</v>
      </c>
      <c r="J8" s="142"/>
      <c r="K8" s="140"/>
      <c r="L8" s="140"/>
      <c r="M8" s="140"/>
      <c r="N8" s="136">
        <f t="shared" si="2"/>
        <v>0</v>
      </c>
      <c r="O8" s="137">
        <f t="shared" si="0"/>
        <v>5930938.1349999998</v>
      </c>
      <c r="P8" s="138">
        <f t="shared" si="1"/>
        <v>5930938.1349999998</v>
      </c>
    </row>
    <row r="9" spans="1:19" ht="24" x14ac:dyDescent="0.25">
      <c r="A9" s="129" t="s">
        <v>216</v>
      </c>
      <c r="B9" s="129" t="s">
        <v>208</v>
      </c>
      <c r="C9" s="270" t="s">
        <v>217</v>
      </c>
      <c r="D9" s="141"/>
      <c r="E9" s="141">
        <v>267000</v>
      </c>
      <c r="F9" s="142"/>
      <c r="G9" s="142"/>
      <c r="H9" s="142"/>
      <c r="I9" s="142"/>
      <c r="J9" s="142"/>
      <c r="K9" s="140"/>
      <c r="L9" s="140"/>
      <c r="M9" s="140"/>
      <c r="N9" s="136">
        <f t="shared" si="2"/>
        <v>0</v>
      </c>
      <c r="O9" s="137">
        <f t="shared" si="0"/>
        <v>267000</v>
      </c>
      <c r="P9" s="138">
        <f t="shared" si="1"/>
        <v>267000</v>
      </c>
    </row>
    <row r="10" spans="1:19" ht="165" customHeight="1" x14ac:dyDescent="0.25">
      <c r="A10" s="129" t="s">
        <v>237</v>
      </c>
      <c r="B10" s="129" t="s">
        <v>208</v>
      </c>
      <c r="C10" s="143" t="s">
        <v>113</v>
      </c>
      <c r="D10" s="146"/>
      <c r="E10" s="146">
        <f>15000*1.15</f>
        <v>17250</v>
      </c>
      <c r="F10" s="146"/>
      <c r="G10" s="146">
        <f>15000*1.15</f>
        <v>17250</v>
      </c>
      <c r="H10" s="146"/>
      <c r="I10" s="146">
        <f>15000*1.15</f>
        <v>17250</v>
      </c>
      <c r="J10" s="146"/>
      <c r="K10" s="146">
        <f>15000*1.15</f>
        <v>17250</v>
      </c>
      <c r="L10" s="146"/>
      <c r="M10" s="146"/>
      <c r="N10" s="136">
        <f t="shared" si="2"/>
        <v>0</v>
      </c>
      <c r="O10" s="217">
        <f t="shared" si="0"/>
        <v>69000</v>
      </c>
      <c r="P10" s="138">
        <f t="shared" si="1"/>
        <v>69000</v>
      </c>
    </row>
    <row r="11" spans="1:19" x14ac:dyDescent="0.25">
      <c r="A11" s="179" t="s">
        <v>295</v>
      </c>
      <c r="B11" s="179" t="s">
        <v>208</v>
      </c>
      <c r="C11" s="269" t="s">
        <v>296</v>
      </c>
      <c r="D11" s="180"/>
      <c r="E11" s="257">
        <f>(541000/16)+721</f>
        <v>34533.5</v>
      </c>
      <c r="F11" s="180"/>
      <c r="G11" s="180"/>
      <c r="H11" s="180"/>
      <c r="I11" s="180"/>
      <c r="J11" s="180"/>
      <c r="K11" s="180"/>
      <c r="L11" s="180"/>
      <c r="M11" s="180"/>
      <c r="N11" s="136">
        <f t="shared" si="2"/>
        <v>0</v>
      </c>
      <c r="O11" s="217">
        <f t="shared" si="0"/>
        <v>34533.5</v>
      </c>
      <c r="P11" s="138">
        <f t="shared" si="1"/>
        <v>34533.5</v>
      </c>
    </row>
    <row r="12" spans="1:19" s="185" customFormat="1" ht="14.4" thickBot="1" x14ac:dyDescent="0.3">
      <c r="A12" s="223" t="s">
        <v>297</v>
      </c>
      <c r="B12" s="223" t="s">
        <v>208</v>
      </c>
      <c r="C12" s="294" t="s">
        <v>298</v>
      </c>
      <c r="D12" s="225"/>
      <c r="E12" s="225">
        <f>40000</f>
        <v>40000</v>
      </c>
      <c r="F12" s="225"/>
      <c r="G12" s="225"/>
      <c r="H12" s="225"/>
      <c r="I12" s="225"/>
      <c r="J12" s="225"/>
      <c r="K12" s="225"/>
      <c r="L12" s="225"/>
      <c r="M12" s="225"/>
      <c r="N12" s="226">
        <f t="shared" si="2"/>
        <v>0</v>
      </c>
      <c r="O12" s="227">
        <f t="shared" si="0"/>
        <v>40000</v>
      </c>
      <c r="P12" s="228">
        <f t="shared" si="1"/>
        <v>40000</v>
      </c>
    </row>
    <row r="13" spans="1:19" x14ac:dyDescent="0.25">
      <c r="A13" s="218" t="s">
        <v>223</v>
      </c>
      <c r="B13" s="218" t="s">
        <v>224</v>
      </c>
      <c r="C13" s="219" t="s">
        <v>225</v>
      </c>
      <c r="D13" s="220"/>
      <c r="E13" s="220">
        <v>450000</v>
      </c>
      <c r="F13" s="220"/>
      <c r="G13" s="220">
        <v>450000</v>
      </c>
      <c r="H13" s="220"/>
      <c r="I13" s="220">
        <v>450000</v>
      </c>
      <c r="J13" s="220"/>
      <c r="K13" s="220">
        <v>450000</v>
      </c>
      <c r="L13" s="221"/>
      <c r="M13" s="222">
        <v>450000</v>
      </c>
      <c r="N13" s="133">
        <f t="shared" si="2"/>
        <v>0</v>
      </c>
      <c r="O13" s="134">
        <f t="shared" si="0"/>
        <v>2250000</v>
      </c>
      <c r="P13" s="135">
        <f t="shared" si="1"/>
        <v>2250000</v>
      </c>
      <c r="Q13" s="122" t="s">
        <v>306</v>
      </c>
      <c r="R13" s="123">
        <f>SUM(N13:N62)</f>
        <v>43750</v>
      </c>
      <c r="S13" s="123">
        <f>SUM(O13:O62)</f>
        <v>22932251.25</v>
      </c>
    </row>
    <row r="14" spans="1:19" x14ac:dyDescent="0.25">
      <c r="A14" s="129" t="s">
        <v>226</v>
      </c>
      <c r="B14" s="129" t="s">
        <v>224</v>
      </c>
      <c r="C14" s="143" t="s">
        <v>142</v>
      </c>
      <c r="D14" s="146"/>
      <c r="E14" s="146">
        <f>(20235/16)*6</f>
        <v>7588.125</v>
      </c>
      <c r="F14" s="146"/>
      <c r="G14" s="146"/>
      <c r="H14" s="146"/>
      <c r="I14" s="146"/>
      <c r="J14" s="146"/>
      <c r="K14" s="146"/>
      <c r="L14" s="146"/>
      <c r="M14" s="146"/>
      <c r="N14" s="136">
        <f t="shared" si="2"/>
        <v>0</v>
      </c>
      <c r="O14" s="147">
        <f t="shared" si="0"/>
        <v>7588.125</v>
      </c>
      <c r="P14" s="135">
        <f t="shared" si="1"/>
        <v>7588.125</v>
      </c>
    </row>
    <row r="15" spans="1:19" x14ac:dyDescent="0.25">
      <c r="A15" s="129" t="s">
        <v>227</v>
      </c>
      <c r="B15" s="129" t="s">
        <v>224</v>
      </c>
      <c r="C15" s="191" t="s">
        <v>228</v>
      </c>
      <c r="D15" s="146"/>
      <c r="E15" s="146">
        <f>(20235/16)*6</f>
        <v>7588.125</v>
      </c>
      <c r="F15" s="146"/>
      <c r="G15" s="146"/>
      <c r="H15" s="146"/>
      <c r="I15" s="146"/>
      <c r="J15" s="146"/>
      <c r="K15" s="146"/>
      <c r="L15" s="146"/>
      <c r="M15" s="146"/>
      <c r="N15" s="136">
        <f t="shared" si="2"/>
        <v>0</v>
      </c>
      <c r="O15" s="147">
        <f t="shared" si="0"/>
        <v>7588.125</v>
      </c>
      <c r="P15" s="135">
        <f t="shared" si="1"/>
        <v>7588.125</v>
      </c>
    </row>
    <row r="16" spans="1:19" ht="24" customHeight="1" x14ac:dyDescent="0.25">
      <c r="A16" s="129" t="s">
        <v>229</v>
      </c>
      <c r="B16" s="129" t="s">
        <v>224</v>
      </c>
      <c r="C16" s="143" t="s">
        <v>145</v>
      </c>
      <c r="D16" s="146"/>
      <c r="E16" s="146">
        <f>(20235/16)*2*6</f>
        <v>15176.25</v>
      </c>
      <c r="F16" s="146"/>
      <c r="G16" s="146"/>
      <c r="H16" s="146"/>
      <c r="I16" s="146"/>
      <c r="J16" s="146"/>
      <c r="K16" s="146"/>
      <c r="L16" s="146"/>
      <c r="M16" s="146"/>
      <c r="N16" s="136">
        <f t="shared" si="2"/>
        <v>0</v>
      </c>
      <c r="O16" s="147">
        <f t="shared" si="0"/>
        <v>15176.25</v>
      </c>
      <c r="P16" s="135">
        <f t="shared" si="1"/>
        <v>15176.25</v>
      </c>
    </row>
    <row r="17" spans="1:17" ht="27.75" customHeight="1" x14ac:dyDescent="0.25">
      <c r="A17" s="129" t="s">
        <v>230</v>
      </c>
      <c r="B17" s="129" t="s">
        <v>224</v>
      </c>
      <c r="C17" s="148" t="s">
        <v>231</v>
      </c>
      <c r="D17" s="146"/>
      <c r="E17" s="146">
        <f>(25294*12/16)+(23270*12/16)</f>
        <v>36423</v>
      </c>
      <c r="F17" s="146"/>
      <c r="G17" s="146"/>
      <c r="H17" s="146"/>
      <c r="I17" s="146"/>
      <c r="J17" s="146"/>
      <c r="K17" s="146"/>
      <c r="L17" s="146"/>
      <c r="M17" s="146"/>
      <c r="N17" s="136">
        <f t="shared" si="2"/>
        <v>0</v>
      </c>
      <c r="O17" s="147">
        <f t="shared" si="0"/>
        <v>36423</v>
      </c>
      <c r="P17" s="135">
        <f t="shared" si="1"/>
        <v>36423</v>
      </c>
    </row>
    <row r="18" spans="1:17" ht="27.75" customHeight="1" x14ac:dyDescent="0.25">
      <c r="A18" s="129" t="s">
        <v>232</v>
      </c>
      <c r="B18" s="129" t="s">
        <v>224</v>
      </c>
      <c r="C18" s="189" t="s">
        <v>147</v>
      </c>
      <c r="D18" s="146"/>
      <c r="E18" s="146"/>
      <c r="F18" s="146"/>
      <c r="G18" s="146">
        <f>30*(23270/16)*12</f>
        <v>523575</v>
      </c>
      <c r="H18" s="146"/>
      <c r="I18" s="146">
        <f>30*(23270/16)*12</f>
        <v>523575</v>
      </c>
      <c r="J18" s="146"/>
      <c r="K18" s="146">
        <f>30*(23270/16)*12</f>
        <v>523575</v>
      </c>
      <c r="L18" s="146"/>
      <c r="M18" s="146"/>
      <c r="N18" s="136">
        <f t="shared" si="2"/>
        <v>0</v>
      </c>
      <c r="O18" s="147">
        <f t="shared" si="0"/>
        <v>1570725</v>
      </c>
      <c r="P18" s="135">
        <f t="shared" si="1"/>
        <v>1570725</v>
      </c>
    </row>
    <row r="19" spans="1:17" x14ac:dyDescent="0.25">
      <c r="A19" s="129" t="s">
        <v>233</v>
      </c>
      <c r="B19" s="129" t="s">
        <v>224</v>
      </c>
      <c r="C19" s="188" t="s">
        <v>234</v>
      </c>
      <c r="D19" s="146"/>
      <c r="E19" s="146"/>
      <c r="F19" s="146"/>
      <c r="G19" s="146"/>
      <c r="H19" s="146"/>
      <c r="I19" s="146"/>
      <c r="J19" s="146"/>
      <c r="K19" s="146"/>
      <c r="L19" s="146"/>
      <c r="M19" s="146"/>
      <c r="N19" s="136">
        <f t="shared" si="2"/>
        <v>0</v>
      </c>
      <c r="O19" s="147">
        <f t="shared" si="0"/>
        <v>0</v>
      </c>
      <c r="P19" s="135">
        <f t="shared" si="1"/>
        <v>0</v>
      </c>
    </row>
    <row r="20" spans="1:17" ht="27.75" customHeight="1" x14ac:dyDescent="0.25">
      <c r="A20" s="129" t="s">
        <v>235</v>
      </c>
      <c r="B20" s="129" t="s">
        <v>224</v>
      </c>
      <c r="C20" s="188" t="s">
        <v>236</v>
      </c>
      <c r="D20" s="146"/>
      <c r="E20" s="146">
        <f>(25294*12/16)+(3*23270*12/16)</f>
        <v>71328</v>
      </c>
      <c r="F20" s="146"/>
      <c r="G20" s="146">
        <f>(25294*12/16)+(3*23270*12/16)</f>
        <v>71328</v>
      </c>
      <c r="H20" s="146"/>
      <c r="I20" s="146">
        <f>(25294*12/16)+(3*23270*12/16)</f>
        <v>71328</v>
      </c>
      <c r="J20" s="146"/>
      <c r="K20" s="146">
        <f>(25294*12/16)+(3*23270*12/16)</f>
        <v>71328</v>
      </c>
      <c r="L20" s="146"/>
      <c r="M20" s="146"/>
      <c r="N20" s="136">
        <f t="shared" si="2"/>
        <v>0</v>
      </c>
      <c r="O20" s="147">
        <f t="shared" si="0"/>
        <v>285312</v>
      </c>
      <c r="P20" s="135">
        <f t="shared" si="1"/>
        <v>285312</v>
      </c>
    </row>
    <row r="21" spans="1:17" ht="27.75" customHeight="1" x14ac:dyDescent="0.25">
      <c r="A21" s="129" t="s">
        <v>238</v>
      </c>
      <c r="B21" s="129" t="s">
        <v>224</v>
      </c>
      <c r="C21" s="143" t="s">
        <v>239</v>
      </c>
      <c r="D21" s="146"/>
      <c r="E21" s="146">
        <f>3*30000*12/16</f>
        <v>67500</v>
      </c>
      <c r="F21" s="146"/>
      <c r="G21" s="146">
        <f>3*30000*12/16</f>
        <v>67500</v>
      </c>
      <c r="H21" s="146"/>
      <c r="I21" s="146">
        <f>3*30000*12/16</f>
        <v>67500</v>
      </c>
      <c r="J21" s="146"/>
      <c r="K21" s="146">
        <f>3*30000*12/16</f>
        <v>67500</v>
      </c>
      <c r="L21" s="146"/>
      <c r="M21" s="146"/>
      <c r="N21" s="136">
        <f t="shared" si="2"/>
        <v>0</v>
      </c>
      <c r="O21" s="147">
        <f t="shared" si="0"/>
        <v>270000</v>
      </c>
      <c r="P21" s="135">
        <f t="shared" si="1"/>
        <v>270000</v>
      </c>
    </row>
    <row r="22" spans="1:17" ht="27.75" customHeight="1" x14ac:dyDescent="0.25">
      <c r="A22" s="129" t="s">
        <v>240</v>
      </c>
      <c r="B22" s="129" t="s">
        <v>224</v>
      </c>
      <c r="C22" s="143" t="s">
        <v>241</v>
      </c>
      <c r="D22" s="146"/>
      <c r="E22" s="146">
        <f>6*23270*12/16</f>
        <v>104715</v>
      </c>
      <c r="F22" s="146"/>
      <c r="G22" s="146">
        <f>6*23270*12/16</f>
        <v>104715</v>
      </c>
      <c r="H22" s="146"/>
      <c r="I22" s="146">
        <f>6*23270*12/16</f>
        <v>104715</v>
      </c>
      <c r="J22" s="146"/>
      <c r="K22" s="146">
        <f>6*23270*12/16</f>
        <v>104715</v>
      </c>
      <c r="L22" s="146"/>
      <c r="M22" s="146"/>
      <c r="N22" s="136">
        <f t="shared" si="2"/>
        <v>0</v>
      </c>
      <c r="O22" s="147">
        <f t="shared" si="0"/>
        <v>418860</v>
      </c>
      <c r="P22" s="135">
        <f t="shared" si="1"/>
        <v>418860</v>
      </c>
    </row>
    <row r="23" spans="1:17" ht="27.75" customHeight="1" x14ac:dyDescent="0.25">
      <c r="A23" s="129" t="s">
        <v>242</v>
      </c>
      <c r="B23" s="129" t="s">
        <v>224</v>
      </c>
      <c r="C23" s="143" t="s">
        <v>243</v>
      </c>
      <c r="D23" s="146">
        <v>18750</v>
      </c>
      <c r="E23" s="146"/>
      <c r="F23" s="146"/>
      <c r="G23" s="146"/>
      <c r="H23" s="146"/>
      <c r="I23" s="146"/>
      <c r="J23" s="146"/>
      <c r="K23" s="146"/>
      <c r="L23" s="146"/>
      <c r="M23" s="146"/>
      <c r="N23" s="136">
        <f t="shared" si="2"/>
        <v>18750</v>
      </c>
      <c r="O23" s="147">
        <f t="shared" si="0"/>
        <v>0</v>
      </c>
      <c r="P23" s="135">
        <f t="shared" si="1"/>
        <v>18750</v>
      </c>
      <c r="Q23" s="123"/>
    </row>
    <row r="24" spans="1:17" ht="27.75" customHeight="1" x14ac:dyDescent="0.25">
      <c r="A24" s="129" t="s">
        <v>244</v>
      </c>
      <c r="B24" s="129" t="s">
        <v>224</v>
      </c>
      <c r="C24" s="150" t="s">
        <v>245</v>
      </c>
      <c r="D24" s="146"/>
      <c r="E24" s="146">
        <f>4*23270*12/16</f>
        <v>69810</v>
      </c>
      <c r="F24" s="146"/>
      <c r="G24" s="146">
        <f>4*23270*12/16</f>
        <v>69810</v>
      </c>
      <c r="H24" s="146"/>
      <c r="I24" s="146">
        <f>4*23270*12/16</f>
        <v>69810</v>
      </c>
      <c r="J24" s="146"/>
      <c r="K24" s="146">
        <f>4*23270*12/16</f>
        <v>69810</v>
      </c>
      <c r="L24" s="146"/>
      <c r="M24" s="146"/>
      <c r="N24" s="136">
        <f t="shared" si="2"/>
        <v>0</v>
      </c>
      <c r="O24" s="147">
        <f t="shared" si="0"/>
        <v>279240</v>
      </c>
      <c r="P24" s="135">
        <f t="shared" si="1"/>
        <v>279240</v>
      </c>
      <c r="Q24" s="123"/>
    </row>
    <row r="25" spans="1:17" ht="24.6" customHeight="1" x14ac:dyDescent="0.25">
      <c r="A25" s="129" t="s">
        <v>141</v>
      </c>
      <c r="B25" s="129" t="s">
        <v>224</v>
      </c>
      <c r="C25" s="149" t="s">
        <v>152</v>
      </c>
      <c r="D25" s="152"/>
      <c r="E25" s="153">
        <f>3*(20235/16)*12</f>
        <v>45528.75</v>
      </c>
      <c r="F25" s="153"/>
      <c r="G25" s="153">
        <f>3*(20235/16)*12</f>
        <v>45528.75</v>
      </c>
      <c r="H25" s="153"/>
      <c r="I25" s="153">
        <f>3*(20235/16)*12</f>
        <v>45528.75</v>
      </c>
      <c r="J25" s="152"/>
      <c r="K25" s="152">
        <f>3*(20235/16)*12</f>
        <v>45528.75</v>
      </c>
      <c r="L25" s="152"/>
      <c r="M25" s="152"/>
      <c r="N25" s="136">
        <f t="shared" si="2"/>
        <v>0</v>
      </c>
      <c r="O25" s="147">
        <f t="shared" si="0"/>
        <v>182115</v>
      </c>
      <c r="P25" s="135">
        <f t="shared" si="1"/>
        <v>182115</v>
      </c>
      <c r="Q25" s="123"/>
    </row>
    <row r="26" spans="1:17" ht="24" x14ac:dyDescent="0.25">
      <c r="A26" s="129" t="s">
        <v>143</v>
      </c>
      <c r="B26" s="129" t="s">
        <v>224</v>
      </c>
      <c r="C26" s="149" t="s">
        <v>153</v>
      </c>
      <c r="D26" s="152"/>
      <c r="E26" s="153">
        <f>3*(20235/16)*12</f>
        <v>45528.75</v>
      </c>
      <c r="F26" s="153"/>
      <c r="G26" s="153">
        <f>3*(20235/16)*12</f>
        <v>45528.75</v>
      </c>
      <c r="H26" s="153"/>
      <c r="I26" s="153">
        <f>3*(20235/16)*12</f>
        <v>45528.75</v>
      </c>
      <c r="J26" s="152"/>
      <c r="K26" s="152">
        <f>3*(20235/16)*12</f>
        <v>45528.75</v>
      </c>
      <c r="L26" s="152"/>
      <c r="M26" s="152"/>
      <c r="N26" s="136">
        <f t="shared" si="2"/>
        <v>0</v>
      </c>
      <c r="O26" s="147">
        <f t="shared" si="0"/>
        <v>182115</v>
      </c>
      <c r="P26" s="135">
        <f t="shared" si="1"/>
        <v>182115</v>
      </c>
    </row>
    <row r="27" spans="1:17" x14ac:dyDescent="0.25">
      <c r="A27" s="129" t="s">
        <v>144</v>
      </c>
      <c r="B27" s="129" t="s">
        <v>224</v>
      </c>
      <c r="C27" s="149" t="s">
        <v>154</v>
      </c>
      <c r="D27" s="152"/>
      <c r="E27" s="153">
        <f>3*(20235/16)*12</f>
        <v>45528.75</v>
      </c>
      <c r="F27" s="153"/>
      <c r="G27" s="153">
        <f>3*(20235/16)*12</f>
        <v>45528.75</v>
      </c>
      <c r="H27" s="153"/>
      <c r="I27" s="153">
        <f>3*(20235/16)*12</f>
        <v>45528.75</v>
      </c>
      <c r="J27" s="152"/>
      <c r="K27" s="152">
        <f>3*(20235/16)*12</f>
        <v>45528.75</v>
      </c>
      <c r="L27" s="152"/>
      <c r="M27" s="152"/>
      <c r="N27" s="136">
        <f t="shared" si="2"/>
        <v>0</v>
      </c>
      <c r="O27" s="147">
        <f t="shared" si="0"/>
        <v>182115</v>
      </c>
      <c r="P27" s="135">
        <f t="shared" si="1"/>
        <v>182115</v>
      </c>
    </row>
    <row r="28" spans="1:17" ht="24" x14ac:dyDescent="0.25">
      <c r="A28" s="129" t="s">
        <v>248</v>
      </c>
      <c r="B28" s="129" t="s">
        <v>224</v>
      </c>
      <c r="C28" s="149" t="s">
        <v>249</v>
      </c>
      <c r="D28" s="152">
        <v>25000</v>
      </c>
      <c r="E28" s="153"/>
      <c r="F28" s="153"/>
      <c r="G28" s="153"/>
      <c r="H28" s="153"/>
      <c r="I28" s="153"/>
      <c r="J28" s="152"/>
      <c r="K28" s="152"/>
      <c r="L28" s="155"/>
      <c r="M28" s="155"/>
      <c r="N28" s="136">
        <f t="shared" si="2"/>
        <v>25000</v>
      </c>
      <c r="O28" s="147">
        <f t="shared" si="0"/>
        <v>0</v>
      </c>
      <c r="P28" s="135">
        <f t="shared" si="1"/>
        <v>25000</v>
      </c>
    </row>
    <row r="29" spans="1:17" ht="24" x14ac:dyDescent="0.25">
      <c r="A29" s="129" t="s">
        <v>253</v>
      </c>
      <c r="B29" s="129" t="s">
        <v>224</v>
      </c>
      <c r="C29" s="154" t="s">
        <v>155</v>
      </c>
      <c r="D29" s="156"/>
      <c r="E29" s="156">
        <f>2*(20235/16)*12</f>
        <v>30352.5</v>
      </c>
      <c r="F29" s="156"/>
      <c r="G29" s="156">
        <f>2*(20235/16)*12</f>
        <v>30352.5</v>
      </c>
      <c r="H29" s="156"/>
      <c r="I29" s="156">
        <f>2*(20235/16)*12</f>
        <v>30352.5</v>
      </c>
      <c r="J29" s="156"/>
      <c r="K29" s="156">
        <f>2*(20235/16)*12</f>
        <v>30352.5</v>
      </c>
      <c r="L29" s="152"/>
      <c r="M29" s="152"/>
      <c r="N29" s="136">
        <f t="shared" si="2"/>
        <v>0</v>
      </c>
      <c r="O29" s="147">
        <f t="shared" si="0"/>
        <v>121410</v>
      </c>
      <c r="P29" s="135">
        <f t="shared" si="1"/>
        <v>121410</v>
      </c>
    </row>
    <row r="30" spans="1:17" ht="24" x14ac:dyDescent="0.25">
      <c r="A30" s="129" t="s">
        <v>148</v>
      </c>
      <c r="B30" s="129" t="s">
        <v>224</v>
      </c>
      <c r="C30" s="154" t="s">
        <v>156</v>
      </c>
      <c r="D30" s="156"/>
      <c r="E30" s="156">
        <f>2*(20235/16)*12</f>
        <v>30352.5</v>
      </c>
      <c r="F30" s="156"/>
      <c r="G30" s="156">
        <f>2*(20235/16)*12</f>
        <v>30352.5</v>
      </c>
      <c r="H30" s="156"/>
      <c r="I30" s="156">
        <f>2*(20235/16)*12</f>
        <v>30352.5</v>
      </c>
      <c r="J30" s="156"/>
      <c r="K30" s="156">
        <f>2*(20235/16)*12</f>
        <v>30352.5</v>
      </c>
      <c r="L30" s="152"/>
      <c r="M30" s="152"/>
      <c r="N30" s="136">
        <f t="shared" si="2"/>
        <v>0</v>
      </c>
      <c r="O30" s="147">
        <f t="shared" si="0"/>
        <v>121410</v>
      </c>
      <c r="P30" s="135">
        <f t="shared" si="1"/>
        <v>121410</v>
      </c>
    </row>
    <row r="31" spans="1:17" ht="24" x14ac:dyDescent="0.25">
      <c r="A31" s="129" t="s">
        <v>149</v>
      </c>
      <c r="B31" s="129" t="s">
        <v>224</v>
      </c>
      <c r="C31" s="154" t="s">
        <v>157</v>
      </c>
      <c r="D31" s="156"/>
      <c r="E31" s="156">
        <f>2*(20235/16)*12</f>
        <v>30352.5</v>
      </c>
      <c r="F31" s="156"/>
      <c r="G31" s="156">
        <f>2*(20235/16)*12</f>
        <v>30352.5</v>
      </c>
      <c r="H31" s="156"/>
      <c r="I31" s="156">
        <f>2*(20235/16)*12</f>
        <v>30352.5</v>
      </c>
      <c r="J31" s="156"/>
      <c r="K31" s="156">
        <f>2*(20235/16)*12</f>
        <v>30352.5</v>
      </c>
      <c r="L31" s="152"/>
      <c r="M31" s="152"/>
      <c r="N31" s="136">
        <f t="shared" si="2"/>
        <v>0</v>
      </c>
      <c r="O31" s="147">
        <f t="shared" si="0"/>
        <v>121410</v>
      </c>
      <c r="P31" s="135">
        <f t="shared" si="1"/>
        <v>121410</v>
      </c>
    </row>
    <row r="32" spans="1:17" ht="24" x14ac:dyDescent="0.25">
      <c r="A32" s="129" t="s">
        <v>150</v>
      </c>
      <c r="B32" s="129" t="s">
        <v>224</v>
      </c>
      <c r="C32" s="154" t="s">
        <v>158</v>
      </c>
      <c r="D32" s="156"/>
      <c r="E32" s="156">
        <f>2*(20235/16)*12</f>
        <v>30352.5</v>
      </c>
      <c r="F32" s="156"/>
      <c r="G32" s="156">
        <f>2*(20235/16)*12</f>
        <v>30352.5</v>
      </c>
      <c r="H32" s="156"/>
      <c r="I32" s="156">
        <f>2*(20235/16)*12</f>
        <v>30352.5</v>
      </c>
      <c r="J32" s="156"/>
      <c r="K32" s="156">
        <f>2*(20235/16)*12</f>
        <v>30352.5</v>
      </c>
      <c r="L32" s="152"/>
      <c r="M32" s="152"/>
      <c r="N32" s="136">
        <f t="shared" si="2"/>
        <v>0</v>
      </c>
      <c r="O32" s="147">
        <f t="shared" si="0"/>
        <v>121410</v>
      </c>
      <c r="P32" s="135">
        <f t="shared" si="1"/>
        <v>121410</v>
      </c>
    </row>
    <row r="33" spans="1:19" ht="24" x14ac:dyDescent="0.25">
      <c r="A33" s="129" t="s">
        <v>151</v>
      </c>
      <c r="B33" s="129" t="s">
        <v>224</v>
      </c>
      <c r="C33" s="154" t="s">
        <v>159</v>
      </c>
      <c r="D33" s="156"/>
      <c r="E33" s="156">
        <f>2*(20235/16)*12</f>
        <v>30352.5</v>
      </c>
      <c r="F33" s="156"/>
      <c r="G33" s="156">
        <f>2*(20235/16)*12</f>
        <v>30352.5</v>
      </c>
      <c r="H33" s="156"/>
      <c r="I33" s="156">
        <f>2*(20235/16)*12</f>
        <v>30352.5</v>
      </c>
      <c r="J33" s="156"/>
      <c r="K33" s="156">
        <f>2*(20235/16)*12</f>
        <v>30352.5</v>
      </c>
      <c r="L33" s="152"/>
      <c r="M33" s="152"/>
      <c r="N33" s="136">
        <f t="shared" si="2"/>
        <v>0</v>
      </c>
      <c r="O33" s="147">
        <f t="shared" si="0"/>
        <v>121410</v>
      </c>
      <c r="P33" s="135">
        <f t="shared" si="1"/>
        <v>121410</v>
      </c>
    </row>
    <row r="34" spans="1:19" x14ac:dyDescent="0.25">
      <c r="A34" s="157" t="s">
        <v>254</v>
      </c>
      <c r="B34" s="157" t="s">
        <v>224</v>
      </c>
      <c r="C34" s="154" t="s">
        <v>136</v>
      </c>
      <c r="D34" s="158"/>
      <c r="E34" s="158">
        <v>117000</v>
      </c>
      <c r="F34" s="158"/>
      <c r="G34" s="158">
        <v>63000</v>
      </c>
      <c r="H34" s="158"/>
      <c r="I34" s="158">
        <v>63000</v>
      </c>
      <c r="J34" s="158"/>
      <c r="K34" s="158"/>
      <c r="L34" s="158"/>
      <c r="M34" s="158"/>
      <c r="N34" s="136">
        <f t="shared" si="2"/>
        <v>0</v>
      </c>
      <c r="O34" s="147">
        <f t="shared" si="0"/>
        <v>243000</v>
      </c>
      <c r="P34" s="135">
        <f t="shared" si="1"/>
        <v>243000</v>
      </c>
    </row>
    <row r="35" spans="1:19" x14ac:dyDescent="0.25">
      <c r="A35" s="157" t="s">
        <v>255</v>
      </c>
      <c r="B35" s="159" t="s">
        <v>224</v>
      </c>
      <c r="C35" s="154" t="s">
        <v>137</v>
      </c>
      <c r="D35" s="158"/>
      <c r="E35" s="158">
        <f>2*(20235/16)*12</f>
        <v>30352.5</v>
      </c>
      <c r="F35" s="158"/>
      <c r="G35" s="158">
        <f>2*(20235/16)*12</f>
        <v>30352.5</v>
      </c>
      <c r="H35" s="158"/>
      <c r="I35" s="158">
        <f>2*(20235/16)*12</f>
        <v>30352.5</v>
      </c>
      <c r="J35" s="158"/>
      <c r="K35" s="158">
        <f>2*(20235/16)*12</f>
        <v>30352.5</v>
      </c>
      <c r="L35" s="158"/>
      <c r="M35" s="158"/>
      <c r="N35" s="136">
        <f t="shared" si="2"/>
        <v>0</v>
      </c>
      <c r="O35" s="147">
        <f t="shared" si="0"/>
        <v>121410</v>
      </c>
      <c r="P35" s="135">
        <f t="shared" si="1"/>
        <v>121410</v>
      </c>
    </row>
    <row r="36" spans="1:19" x14ac:dyDescent="0.25">
      <c r="A36" s="157" t="s">
        <v>256</v>
      </c>
      <c r="B36" s="129" t="s">
        <v>224</v>
      </c>
      <c r="C36" s="125" t="s">
        <v>257</v>
      </c>
      <c r="D36" s="158"/>
      <c r="E36" s="158">
        <f>4*(20235/16)*12</f>
        <v>60705</v>
      </c>
      <c r="F36" s="158"/>
      <c r="G36" s="158">
        <f>4*(20235/16)*12</f>
        <v>60705</v>
      </c>
      <c r="H36" s="158"/>
      <c r="I36" s="158">
        <f>4*(20235/16)*12</f>
        <v>60705</v>
      </c>
      <c r="J36" s="158"/>
      <c r="K36" s="158">
        <f>4*(20235/16)*12</f>
        <v>60705</v>
      </c>
      <c r="L36" s="158"/>
      <c r="M36" s="158"/>
      <c r="N36" s="136">
        <f t="shared" si="2"/>
        <v>0</v>
      </c>
      <c r="O36" s="147">
        <f t="shared" si="0"/>
        <v>242820</v>
      </c>
      <c r="P36" s="135">
        <f t="shared" si="1"/>
        <v>242820</v>
      </c>
    </row>
    <row r="37" spans="1:19" ht="24" x14ac:dyDescent="0.25">
      <c r="A37" s="157" t="s">
        <v>265</v>
      </c>
      <c r="B37" s="129" t="s">
        <v>224</v>
      </c>
      <c r="C37" s="161" t="s">
        <v>138</v>
      </c>
      <c r="D37" s="162"/>
      <c r="E37" s="162"/>
      <c r="F37" s="162"/>
      <c r="G37" s="162">
        <f>(23270/16)*6</f>
        <v>8726.25</v>
      </c>
      <c r="H37" s="162"/>
      <c r="I37" s="162"/>
      <c r="J37" s="162"/>
      <c r="K37" s="162"/>
      <c r="L37" s="162"/>
      <c r="M37" s="162"/>
      <c r="N37" s="136">
        <f t="shared" si="2"/>
        <v>0</v>
      </c>
      <c r="O37" s="147">
        <f t="shared" ref="O37:O68" si="3">+E37+G37+I37+K37+M37</f>
        <v>8726.25</v>
      </c>
      <c r="P37" s="135">
        <f t="shared" ref="P37:P68" si="4">+O37+N37</f>
        <v>8726.25</v>
      </c>
    </row>
    <row r="38" spans="1:19" ht="24" x14ac:dyDescent="0.25">
      <c r="A38" s="157" t="s">
        <v>266</v>
      </c>
      <c r="B38" s="129" t="s">
        <v>224</v>
      </c>
      <c r="C38" s="125" t="s">
        <v>139</v>
      </c>
      <c r="D38" s="162"/>
      <c r="E38" s="162">
        <f>(23270/16)*4</f>
        <v>5817.5</v>
      </c>
      <c r="F38" s="162"/>
      <c r="G38" s="162"/>
      <c r="H38" s="162"/>
      <c r="I38" s="162"/>
      <c r="J38" s="162"/>
      <c r="K38" s="162"/>
      <c r="L38" s="162"/>
      <c r="M38" s="162"/>
      <c r="N38" s="136">
        <f t="shared" si="2"/>
        <v>0</v>
      </c>
      <c r="O38" s="147">
        <f t="shared" si="3"/>
        <v>5817.5</v>
      </c>
      <c r="P38" s="135">
        <f t="shared" si="4"/>
        <v>5817.5</v>
      </c>
    </row>
    <row r="39" spans="1:19" ht="24" x14ac:dyDescent="0.25">
      <c r="A39" s="157" t="s">
        <v>267</v>
      </c>
      <c r="B39" s="129" t="s">
        <v>224</v>
      </c>
      <c r="C39" s="125" t="s">
        <v>268</v>
      </c>
      <c r="D39" s="162"/>
      <c r="E39" s="162"/>
      <c r="F39" s="162"/>
      <c r="G39" s="162">
        <f>(23270/16)*4</f>
        <v>5817.5</v>
      </c>
      <c r="H39" s="162"/>
      <c r="I39" s="162"/>
      <c r="J39" s="162"/>
      <c r="K39" s="162"/>
      <c r="L39" s="162"/>
      <c r="M39" s="162"/>
      <c r="N39" s="136">
        <f t="shared" si="2"/>
        <v>0</v>
      </c>
      <c r="O39" s="147">
        <f t="shared" si="3"/>
        <v>5817.5</v>
      </c>
      <c r="P39" s="135">
        <f t="shared" si="4"/>
        <v>5817.5</v>
      </c>
    </row>
    <row r="40" spans="1:19" ht="24" x14ac:dyDescent="0.25">
      <c r="A40" s="157" t="s">
        <v>269</v>
      </c>
      <c r="B40" s="129" t="s">
        <v>224</v>
      </c>
      <c r="C40" s="125" t="s">
        <v>140</v>
      </c>
      <c r="D40" s="162"/>
      <c r="E40" s="162">
        <f>2*(20235/16)*12</f>
        <v>30352.5</v>
      </c>
      <c r="F40" s="162"/>
      <c r="G40" s="162">
        <f>2*(20235/16)*12</f>
        <v>30352.5</v>
      </c>
      <c r="H40" s="162"/>
      <c r="I40" s="162">
        <f>2*(20235/16)*12</f>
        <v>30352.5</v>
      </c>
      <c r="J40" s="162"/>
      <c r="K40" s="162">
        <f>2*(20235/16)*12</f>
        <v>30352.5</v>
      </c>
      <c r="L40" s="162"/>
      <c r="M40" s="162"/>
      <c r="N40" s="136">
        <f t="shared" si="2"/>
        <v>0</v>
      </c>
      <c r="O40" s="147">
        <f t="shared" si="3"/>
        <v>121410</v>
      </c>
      <c r="P40" s="135">
        <f t="shared" si="4"/>
        <v>121410</v>
      </c>
    </row>
    <row r="41" spans="1:19" x14ac:dyDescent="0.25">
      <c r="A41" s="129" t="s">
        <v>160</v>
      </c>
      <c r="B41" s="129" t="s">
        <v>224</v>
      </c>
      <c r="C41" s="143" t="s">
        <v>161</v>
      </c>
      <c r="D41" s="193"/>
      <c r="E41" s="193"/>
      <c r="F41" s="193"/>
      <c r="G41" s="193"/>
      <c r="H41" s="193"/>
      <c r="I41" s="202"/>
      <c r="J41" s="202"/>
      <c r="K41" s="202"/>
      <c r="L41" s="213"/>
      <c r="M41" s="202"/>
      <c r="N41" s="136">
        <f t="shared" si="2"/>
        <v>0</v>
      </c>
      <c r="O41" s="147">
        <f t="shared" si="3"/>
        <v>0</v>
      </c>
      <c r="P41" s="135">
        <f t="shared" si="4"/>
        <v>0</v>
      </c>
    </row>
    <row r="42" spans="1:19" ht="24" x14ac:dyDescent="0.25">
      <c r="A42" s="129" t="s">
        <v>162</v>
      </c>
      <c r="B42" s="129" t="s">
        <v>224</v>
      </c>
      <c r="C42" s="143" t="s">
        <v>163</v>
      </c>
      <c r="D42" s="193"/>
      <c r="E42" s="193">
        <f>((31364/16)*3*6)+(1*(17454/16)*6)</f>
        <v>41829.75</v>
      </c>
      <c r="F42" s="193"/>
      <c r="G42" s="193"/>
      <c r="H42" s="193"/>
      <c r="I42" s="202"/>
      <c r="J42" s="202"/>
      <c r="K42" s="202"/>
      <c r="L42" s="202"/>
      <c r="M42" s="202"/>
      <c r="N42" s="136">
        <f t="shared" si="2"/>
        <v>0</v>
      </c>
      <c r="O42" s="147">
        <f t="shared" si="3"/>
        <v>41829.75</v>
      </c>
      <c r="P42" s="135">
        <f t="shared" si="4"/>
        <v>41829.75</v>
      </c>
      <c r="S42" s="123"/>
    </row>
    <row r="43" spans="1:19" x14ac:dyDescent="0.25">
      <c r="A43" s="129" t="s">
        <v>164</v>
      </c>
      <c r="B43" s="129" t="s">
        <v>224</v>
      </c>
      <c r="C43" s="232" t="s">
        <v>165</v>
      </c>
      <c r="D43" s="163"/>
      <c r="E43" s="163">
        <f>+(17*(31364/16)*12)+(20*(23270/16)*12)+(1*(17454/16)*12)</f>
        <v>762031.5</v>
      </c>
      <c r="F43" s="163"/>
      <c r="G43" s="163">
        <f>+(18*(31364/16)*12)+(34*(23270/16)*12)</f>
        <v>1016799</v>
      </c>
      <c r="H43" s="163"/>
      <c r="I43" s="164">
        <f>+(31*(31364/16)*12)+(52*(17454/16)*12)</f>
        <v>1409919</v>
      </c>
      <c r="J43" s="164"/>
      <c r="K43" s="164"/>
      <c r="L43" s="164"/>
      <c r="M43" s="164"/>
      <c r="N43" s="136">
        <f t="shared" si="2"/>
        <v>0</v>
      </c>
      <c r="O43" s="147">
        <f t="shared" si="3"/>
        <v>3188749.5</v>
      </c>
      <c r="P43" s="135">
        <f t="shared" si="4"/>
        <v>3188749.5</v>
      </c>
    </row>
    <row r="44" spans="1:19" ht="24" x14ac:dyDescent="0.25">
      <c r="A44" s="129" t="s">
        <v>166</v>
      </c>
      <c r="B44" s="129" t="s">
        <v>224</v>
      </c>
      <c r="C44" s="143" t="s">
        <v>167</v>
      </c>
      <c r="D44" s="193"/>
      <c r="E44" s="193">
        <f>12*(20235/16)*2</f>
        <v>30352.5</v>
      </c>
      <c r="F44" s="193"/>
      <c r="G44" s="193">
        <f>12*(20235/16)*2</f>
        <v>30352.5</v>
      </c>
      <c r="H44" s="193"/>
      <c r="I44" s="202">
        <f>12*(20235/16)*2</f>
        <v>30352.5</v>
      </c>
      <c r="J44" s="202"/>
      <c r="K44" s="202">
        <f>12*(20235/16)*2</f>
        <v>30352.5</v>
      </c>
      <c r="L44" s="202"/>
      <c r="M44" s="202"/>
      <c r="N44" s="136">
        <f t="shared" si="2"/>
        <v>0</v>
      </c>
      <c r="O44" s="147">
        <f t="shared" si="3"/>
        <v>121410</v>
      </c>
      <c r="P44" s="138">
        <f t="shared" si="4"/>
        <v>121410</v>
      </c>
      <c r="S44" s="123"/>
    </row>
    <row r="45" spans="1:19" x14ac:dyDescent="0.25">
      <c r="A45" s="129" t="s">
        <v>168</v>
      </c>
      <c r="B45" s="129" t="s">
        <v>224</v>
      </c>
      <c r="C45" s="143" t="s">
        <v>169</v>
      </c>
      <c r="D45" s="193"/>
      <c r="E45" s="193">
        <f>12*(17454/16)*2</f>
        <v>26181</v>
      </c>
      <c r="F45" s="193"/>
      <c r="G45" s="193">
        <f>12*(17454/16)*2</f>
        <v>26181</v>
      </c>
      <c r="H45" s="193"/>
      <c r="I45" s="202">
        <f>12*(17454/16)*2</f>
        <v>26181</v>
      </c>
      <c r="J45" s="202"/>
      <c r="K45" s="202">
        <f>12*(17454/16)*2</f>
        <v>26181</v>
      </c>
      <c r="L45" s="202"/>
      <c r="M45" s="202"/>
      <c r="N45" s="136">
        <f t="shared" si="2"/>
        <v>0</v>
      </c>
      <c r="O45" s="147">
        <f t="shared" si="3"/>
        <v>104724</v>
      </c>
      <c r="P45" s="138">
        <f t="shared" si="4"/>
        <v>104724</v>
      </c>
      <c r="R45" s="123"/>
    </row>
    <row r="46" spans="1:19" x14ac:dyDescent="0.25">
      <c r="A46" s="129" t="s">
        <v>275</v>
      </c>
      <c r="B46" s="129" t="s">
        <v>224</v>
      </c>
      <c r="C46" s="143" t="s">
        <v>172</v>
      </c>
      <c r="D46" s="193"/>
      <c r="E46" s="193">
        <v>134250</v>
      </c>
      <c r="F46" s="193"/>
      <c r="G46" s="193">
        <v>63000</v>
      </c>
      <c r="H46" s="193"/>
      <c r="I46" s="202">
        <v>63000</v>
      </c>
      <c r="J46" s="202"/>
      <c r="K46" s="202"/>
      <c r="L46" s="202"/>
      <c r="M46" s="202"/>
      <c r="N46" s="136">
        <f t="shared" si="2"/>
        <v>0</v>
      </c>
      <c r="O46" s="147">
        <f t="shared" si="3"/>
        <v>260250</v>
      </c>
      <c r="P46" s="138">
        <f t="shared" si="4"/>
        <v>260250</v>
      </c>
    </row>
    <row r="47" spans="1:19" ht="24" x14ac:dyDescent="0.25">
      <c r="A47" s="129" t="s">
        <v>171</v>
      </c>
      <c r="B47" s="129" t="s">
        <v>224</v>
      </c>
      <c r="C47" s="143" t="s">
        <v>276</v>
      </c>
      <c r="D47" s="193"/>
      <c r="E47" s="193">
        <f>12*(23270/16)*4</f>
        <v>69810</v>
      </c>
      <c r="F47" s="193"/>
      <c r="G47" s="193">
        <f>12*(23270/16)*4</f>
        <v>69810</v>
      </c>
      <c r="H47" s="193"/>
      <c r="I47" s="202">
        <f>12*(23270/16)*4</f>
        <v>69810</v>
      </c>
      <c r="J47" s="202"/>
      <c r="K47" s="202"/>
      <c r="L47" s="202"/>
      <c r="M47" s="202"/>
      <c r="N47" s="136">
        <f t="shared" si="2"/>
        <v>0</v>
      </c>
      <c r="O47" s="147">
        <f t="shared" si="3"/>
        <v>209430</v>
      </c>
      <c r="P47" s="138">
        <f t="shared" si="4"/>
        <v>209430</v>
      </c>
    </row>
    <row r="48" spans="1:19" ht="42" customHeight="1" x14ac:dyDescent="0.25">
      <c r="A48" s="129" t="s">
        <v>173</v>
      </c>
      <c r="B48" s="129" t="s">
        <v>224</v>
      </c>
      <c r="C48" s="143" t="s">
        <v>277</v>
      </c>
      <c r="D48" s="163"/>
      <c r="E48" s="163">
        <f>2*(23270/16)*12</f>
        <v>34905</v>
      </c>
      <c r="F48" s="163"/>
      <c r="G48" s="163">
        <f>2*(23270/16)*12</f>
        <v>34905</v>
      </c>
      <c r="H48" s="163"/>
      <c r="I48" s="164"/>
      <c r="J48" s="164"/>
      <c r="K48" s="164"/>
      <c r="L48" s="208"/>
      <c r="M48" s="208"/>
      <c r="N48" s="136">
        <f t="shared" si="2"/>
        <v>0</v>
      </c>
      <c r="O48" s="147">
        <f t="shared" si="3"/>
        <v>69810</v>
      </c>
      <c r="P48" s="135">
        <f t="shared" si="4"/>
        <v>69810</v>
      </c>
    </row>
    <row r="49" spans="1:19" ht="24" x14ac:dyDescent="0.25">
      <c r="A49" s="129" t="s">
        <v>280</v>
      </c>
      <c r="B49" s="129" t="s">
        <v>224</v>
      </c>
      <c r="C49" s="143" t="s">
        <v>175</v>
      </c>
      <c r="D49" s="163"/>
      <c r="E49" s="163">
        <f>19*(23270/16)*12</f>
        <v>331597.5</v>
      </c>
      <c r="F49" s="163"/>
      <c r="G49" s="163">
        <f>40*(23270/16)*12</f>
        <v>698100</v>
      </c>
      <c r="H49" s="163"/>
      <c r="I49" s="164">
        <f>40*(23270/16)*12</f>
        <v>698100</v>
      </c>
      <c r="J49" s="164"/>
      <c r="K49" s="164"/>
      <c r="L49" s="208"/>
      <c r="M49" s="208"/>
      <c r="N49" s="136">
        <f t="shared" si="2"/>
        <v>0</v>
      </c>
      <c r="O49" s="147">
        <f t="shared" si="3"/>
        <v>1727797.5</v>
      </c>
      <c r="P49" s="135">
        <f t="shared" si="4"/>
        <v>1727797.5</v>
      </c>
    </row>
    <row r="50" spans="1:19" ht="36" x14ac:dyDescent="0.25">
      <c r="A50" s="129" t="s">
        <v>174</v>
      </c>
      <c r="B50" s="129" t="s">
        <v>224</v>
      </c>
      <c r="C50" s="187" t="s">
        <v>281</v>
      </c>
      <c r="D50" s="163"/>
      <c r="E50" s="163">
        <f>2*(23270/16)*12</f>
        <v>34905</v>
      </c>
      <c r="F50" s="163"/>
      <c r="G50" s="163">
        <f>2*(23270/16)*12</f>
        <v>34905</v>
      </c>
      <c r="H50" s="163"/>
      <c r="I50" s="164"/>
      <c r="J50" s="164"/>
      <c r="K50" s="164"/>
      <c r="L50" s="208"/>
      <c r="M50" s="208"/>
      <c r="N50" s="136">
        <f t="shared" si="2"/>
        <v>0</v>
      </c>
      <c r="O50" s="147">
        <f t="shared" si="3"/>
        <v>69810</v>
      </c>
      <c r="P50" s="135">
        <f t="shared" si="4"/>
        <v>69810</v>
      </c>
    </row>
    <row r="51" spans="1:19" x14ac:dyDescent="0.25">
      <c r="A51" s="129" t="s">
        <v>176</v>
      </c>
      <c r="B51" s="129" t="s">
        <v>224</v>
      </c>
      <c r="C51" s="143" t="s">
        <v>172</v>
      </c>
      <c r="D51" s="163"/>
      <c r="E51" s="163">
        <v>134250</v>
      </c>
      <c r="F51" s="163"/>
      <c r="G51" s="163">
        <v>63000</v>
      </c>
      <c r="H51" s="163"/>
      <c r="I51" s="164">
        <v>63000</v>
      </c>
      <c r="J51" s="164"/>
      <c r="K51" s="164"/>
      <c r="L51" s="208"/>
      <c r="M51" s="208"/>
      <c r="N51" s="136">
        <f t="shared" si="2"/>
        <v>0</v>
      </c>
      <c r="O51" s="147">
        <f t="shared" si="3"/>
        <v>260250</v>
      </c>
      <c r="P51" s="135">
        <f t="shared" si="4"/>
        <v>260250</v>
      </c>
    </row>
    <row r="52" spans="1:19" ht="36" x14ac:dyDescent="0.25">
      <c r="A52" s="129" t="s">
        <v>177</v>
      </c>
      <c r="B52" s="129" t="s">
        <v>224</v>
      </c>
      <c r="C52" s="187" t="s">
        <v>283</v>
      </c>
      <c r="D52" s="195"/>
      <c r="E52" s="195">
        <f>6*(23270/16)*12</f>
        <v>104715</v>
      </c>
      <c r="F52" s="195"/>
      <c r="G52" s="195">
        <f>6*(23270/16)*12</f>
        <v>104715</v>
      </c>
      <c r="H52" s="195"/>
      <c r="I52" s="195">
        <f>6*(23270/16)*12</f>
        <v>104715</v>
      </c>
      <c r="J52" s="195"/>
      <c r="K52" s="195">
        <f>6*(23270/16)*12</f>
        <v>104715</v>
      </c>
      <c r="L52" s="212"/>
      <c r="M52" s="206"/>
      <c r="N52" s="136">
        <f t="shared" si="2"/>
        <v>0</v>
      </c>
      <c r="O52" s="147">
        <f t="shared" si="3"/>
        <v>418860</v>
      </c>
      <c r="P52" s="135">
        <f t="shared" si="4"/>
        <v>418860</v>
      </c>
    </row>
    <row r="53" spans="1:19" ht="24" x14ac:dyDescent="0.25">
      <c r="A53" s="129" t="s">
        <v>178</v>
      </c>
      <c r="B53" s="168" t="s">
        <v>224</v>
      </c>
      <c r="C53" s="169" t="s">
        <v>179</v>
      </c>
      <c r="D53" s="195"/>
      <c r="E53" s="195">
        <f>3*(23270/16)*6</f>
        <v>26178.75</v>
      </c>
      <c r="F53" s="195"/>
      <c r="G53" s="195"/>
      <c r="H53" s="195"/>
      <c r="I53" s="195"/>
      <c r="J53" s="195"/>
      <c r="K53" s="195"/>
      <c r="L53" s="209"/>
      <c r="M53" s="209"/>
      <c r="N53" s="136">
        <f t="shared" si="2"/>
        <v>0</v>
      </c>
      <c r="O53" s="147">
        <f t="shared" si="3"/>
        <v>26178.75</v>
      </c>
      <c r="P53" s="135">
        <f t="shared" si="4"/>
        <v>26178.75</v>
      </c>
    </row>
    <row r="54" spans="1:19" ht="24" x14ac:dyDescent="0.25">
      <c r="A54" s="129" t="s">
        <v>180</v>
      </c>
      <c r="B54" s="168" t="s">
        <v>224</v>
      </c>
      <c r="C54" s="169" t="s">
        <v>181</v>
      </c>
      <c r="D54" s="195"/>
      <c r="E54" s="195">
        <f>6*(31364/16)*12</f>
        <v>141138</v>
      </c>
      <c r="F54" s="195"/>
      <c r="G54" s="195">
        <f>6*(31364/16)*12</f>
        <v>141138</v>
      </c>
      <c r="H54" s="195"/>
      <c r="I54" s="195">
        <f>6*(31364/16)*12</f>
        <v>141138</v>
      </c>
      <c r="J54" s="195"/>
      <c r="K54" s="206"/>
      <c r="L54" s="210"/>
      <c r="M54" s="206"/>
      <c r="N54" s="136">
        <f t="shared" si="2"/>
        <v>0</v>
      </c>
      <c r="O54" s="147">
        <f t="shared" si="3"/>
        <v>423414</v>
      </c>
      <c r="P54" s="135">
        <f t="shared" si="4"/>
        <v>423414</v>
      </c>
    </row>
    <row r="55" spans="1:19" ht="24" x14ac:dyDescent="0.25">
      <c r="A55" s="129" t="s">
        <v>182</v>
      </c>
      <c r="B55" s="168" t="s">
        <v>224</v>
      </c>
      <c r="C55" s="169" t="s">
        <v>183</v>
      </c>
      <c r="D55" s="195"/>
      <c r="E55" s="195">
        <f>4*(23270/16)*12</f>
        <v>69810</v>
      </c>
      <c r="F55" s="195"/>
      <c r="G55" s="195">
        <f>4*(23270/16)*12</f>
        <v>69810</v>
      </c>
      <c r="H55" s="195"/>
      <c r="I55" s="195">
        <f>4*(23270/16)*12</f>
        <v>69810</v>
      </c>
      <c r="J55" s="195"/>
      <c r="K55" s="195">
        <f>4*(23270/16)*12</f>
        <v>69810</v>
      </c>
      <c r="L55" s="209"/>
      <c r="M55" s="206"/>
      <c r="N55" s="136">
        <f t="shared" si="2"/>
        <v>0</v>
      </c>
      <c r="O55" s="147">
        <f t="shared" si="3"/>
        <v>279240</v>
      </c>
      <c r="P55" s="135">
        <f t="shared" si="4"/>
        <v>279240</v>
      </c>
    </row>
    <row r="56" spans="1:19" ht="48" x14ac:dyDescent="0.25">
      <c r="A56" s="129" t="s">
        <v>184</v>
      </c>
      <c r="B56" s="129" t="s">
        <v>224</v>
      </c>
      <c r="C56" s="187" t="s">
        <v>284</v>
      </c>
      <c r="D56" s="194"/>
      <c r="E56" s="194">
        <f>3*(23270/16)*12</f>
        <v>52357.5</v>
      </c>
      <c r="F56" s="194"/>
      <c r="G56" s="194">
        <f>3*(23270/16)*12</f>
        <v>52357.5</v>
      </c>
      <c r="H56" s="194"/>
      <c r="I56" s="194">
        <f>3*(23270/16)*12</f>
        <v>52357.5</v>
      </c>
      <c r="J56" s="194"/>
      <c r="K56" s="205">
        <f>3*(23270/16)*12</f>
        <v>52357.5</v>
      </c>
      <c r="L56" s="194"/>
      <c r="M56" s="194"/>
      <c r="N56" s="136">
        <f t="shared" si="2"/>
        <v>0</v>
      </c>
      <c r="O56" s="147">
        <f t="shared" si="3"/>
        <v>209430</v>
      </c>
      <c r="P56" s="135">
        <f t="shared" si="4"/>
        <v>209430</v>
      </c>
    </row>
    <row r="57" spans="1:19" x14ac:dyDescent="0.25">
      <c r="A57" s="129" t="s">
        <v>290</v>
      </c>
      <c r="B57" s="129" t="s">
        <v>224</v>
      </c>
      <c r="C57" s="143" t="s">
        <v>185</v>
      </c>
      <c r="D57" s="194"/>
      <c r="E57" s="194">
        <f>(1*37000/16*12)+(4*27317/16*12)</f>
        <v>109701</v>
      </c>
      <c r="F57" s="194"/>
      <c r="G57" s="194">
        <f>(1*37000/16*12)+(4*27317/16*12)</f>
        <v>109701</v>
      </c>
      <c r="H57" s="194"/>
      <c r="I57" s="194">
        <f>(1*37000/16*12)+(4*27317/16*12)</f>
        <v>109701</v>
      </c>
      <c r="J57" s="194"/>
      <c r="K57" s="207"/>
      <c r="L57" s="211"/>
      <c r="M57" s="207"/>
      <c r="N57" s="136">
        <f t="shared" si="2"/>
        <v>0</v>
      </c>
      <c r="O57" s="147">
        <f t="shared" si="3"/>
        <v>329103</v>
      </c>
      <c r="P57" s="135">
        <f t="shared" si="4"/>
        <v>329103</v>
      </c>
    </row>
    <row r="58" spans="1:19" ht="24" x14ac:dyDescent="0.25">
      <c r="A58" s="172" t="s">
        <v>186</v>
      </c>
      <c r="B58" s="172" t="s">
        <v>224</v>
      </c>
      <c r="C58" s="143" t="s">
        <v>187</v>
      </c>
      <c r="D58" s="196"/>
      <c r="E58" s="196">
        <v>1338552</v>
      </c>
      <c r="F58" s="196"/>
      <c r="G58" s="196">
        <v>1338552</v>
      </c>
      <c r="H58" s="196"/>
      <c r="I58" s="196">
        <v>1338552</v>
      </c>
      <c r="J58" s="196"/>
      <c r="K58" s="196">
        <v>1338552</v>
      </c>
      <c r="L58" s="214"/>
      <c r="M58" s="214"/>
      <c r="N58" s="136">
        <f t="shared" si="2"/>
        <v>0</v>
      </c>
      <c r="O58" s="147">
        <f t="shared" si="3"/>
        <v>5354208</v>
      </c>
      <c r="P58" s="135">
        <f t="shared" si="4"/>
        <v>5354208</v>
      </c>
    </row>
    <row r="59" spans="1:19" ht="24" x14ac:dyDescent="0.25">
      <c r="A59" s="172" t="s">
        <v>188</v>
      </c>
      <c r="B59" s="168" t="s">
        <v>224</v>
      </c>
      <c r="C59" s="169" t="s">
        <v>189</v>
      </c>
      <c r="D59" s="175"/>
      <c r="E59" s="175">
        <f>4*(23270/16)*12</f>
        <v>69810</v>
      </c>
      <c r="F59" s="175"/>
      <c r="G59" s="175">
        <f>4*(23270/16)*12</f>
        <v>69810</v>
      </c>
      <c r="H59" s="175"/>
      <c r="I59" s="175"/>
      <c r="J59" s="175"/>
      <c r="K59" s="175"/>
      <c r="L59" s="177"/>
      <c r="M59" s="177"/>
      <c r="N59" s="136">
        <f t="shared" si="2"/>
        <v>0</v>
      </c>
      <c r="O59" s="147">
        <f t="shared" si="3"/>
        <v>139620</v>
      </c>
      <c r="P59" s="135">
        <f t="shared" si="4"/>
        <v>139620</v>
      </c>
    </row>
    <row r="60" spans="1:19" ht="24" x14ac:dyDescent="0.25">
      <c r="A60" s="172" t="s">
        <v>190</v>
      </c>
      <c r="B60" s="168" t="s">
        <v>224</v>
      </c>
      <c r="C60" s="176" t="s">
        <v>191</v>
      </c>
      <c r="D60" s="175"/>
      <c r="E60" s="175">
        <f>6*(31364/16)*12</f>
        <v>141138</v>
      </c>
      <c r="F60" s="175"/>
      <c r="G60" s="175">
        <f>6*(31364/16)*12</f>
        <v>141138</v>
      </c>
      <c r="H60" s="175"/>
      <c r="I60" s="175">
        <f>6*(31364/16)*12</f>
        <v>141138</v>
      </c>
      <c r="J60" s="175"/>
      <c r="K60" s="175">
        <f>6*(31364/16)*12</f>
        <v>141138</v>
      </c>
      <c r="L60" s="177"/>
      <c r="M60" s="178"/>
      <c r="N60" s="136">
        <f t="shared" si="2"/>
        <v>0</v>
      </c>
      <c r="O60" s="147">
        <f t="shared" si="3"/>
        <v>564552</v>
      </c>
      <c r="P60" s="135">
        <f t="shared" si="4"/>
        <v>564552</v>
      </c>
    </row>
    <row r="61" spans="1:19" ht="24" x14ac:dyDescent="0.25">
      <c r="A61" s="172" t="s">
        <v>192</v>
      </c>
      <c r="B61" s="168" t="s">
        <v>224</v>
      </c>
      <c r="C61" s="190" t="s">
        <v>193</v>
      </c>
      <c r="D61" s="175"/>
      <c r="E61" s="175">
        <f>3*(31364/16)*12</f>
        <v>70569</v>
      </c>
      <c r="F61" s="175"/>
      <c r="G61" s="175">
        <f>3*(31364/16)*12</f>
        <v>70569</v>
      </c>
      <c r="H61" s="175"/>
      <c r="I61" s="175">
        <f>3*(31364/16)*12</f>
        <v>70569</v>
      </c>
      <c r="J61" s="175"/>
      <c r="K61" s="175">
        <f>3*(31364/16)*12</f>
        <v>70569</v>
      </c>
      <c r="L61" s="177"/>
      <c r="M61" s="178"/>
      <c r="N61" s="136">
        <f t="shared" si="2"/>
        <v>0</v>
      </c>
      <c r="O61" s="147">
        <f t="shared" si="3"/>
        <v>282276</v>
      </c>
      <c r="P61" s="135">
        <f t="shared" si="4"/>
        <v>282276</v>
      </c>
    </row>
    <row r="62" spans="1:19" s="185" customFormat="1" ht="14.4" thickBot="1" x14ac:dyDescent="0.3">
      <c r="A62" s="223" t="s">
        <v>305</v>
      </c>
      <c r="B62" s="223" t="s">
        <v>224</v>
      </c>
      <c r="C62" s="224" t="s">
        <v>194</v>
      </c>
      <c r="D62" s="229"/>
      <c r="E62" s="229">
        <f>452000*$I$2</f>
        <v>452000</v>
      </c>
      <c r="F62" s="229"/>
      <c r="G62" s="229">
        <f>452000*$I$2</f>
        <v>452000</v>
      </c>
      <c r="H62" s="229"/>
      <c r="I62" s="229">
        <f>452000*$I$2</f>
        <v>452000</v>
      </c>
      <c r="J62" s="229"/>
      <c r="K62" s="229">
        <f>452000*$I$2</f>
        <v>452000</v>
      </c>
      <c r="L62" s="225"/>
      <c r="M62" s="225"/>
      <c r="N62" s="226">
        <f t="shared" si="2"/>
        <v>0</v>
      </c>
      <c r="O62" s="227">
        <f t="shared" si="3"/>
        <v>1808000</v>
      </c>
      <c r="P62" s="228">
        <f t="shared" si="4"/>
        <v>1808000</v>
      </c>
    </row>
    <row r="63" spans="1:19" s="183" customFormat="1" x14ac:dyDescent="0.25">
      <c r="A63" s="233" t="s">
        <v>196</v>
      </c>
      <c r="B63" s="233" t="s">
        <v>285</v>
      </c>
      <c r="C63" s="234" t="s">
        <v>197</v>
      </c>
      <c r="D63" s="235"/>
      <c r="E63" s="235">
        <v>150000</v>
      </c>
      <c r="F63" s="235"/>
      <c r="G63" s="235">
        <v>750000</v>
      </c>
      <c r="H63" s="235"/>
      <c r="I63" s="235"/>
      <c r="J63" s="235"/>
      <c r="K63" s="236"/>
      <c r="L63" s="236"/>
      <c r="M63" s="236"/>
      <c r="N63" s="237">
        <f t="shared" si="2"/>
        <v>0</v>
      </c>
      <c r="O63" s="238">
        <f t="shared" si="3"/>
        <v>900000</v>
      </c>
      <c r="P63" s="239">
        <f t="shared" si="4"/>
        <v>900000</v>
      </c>
      <c r="Q63" s="183" t="s">
        <v>307</v>
      </c>
      <c r="R63" s="184">
        <f>SUM(N63:N64)</f>
        <v>0</v>
      </c>
      <c r="S63" s="184">
        <f>SUM(O63:O64)</f>
        <v>1950000</v>
      </c>
    </row>
    <row r="64" spans="1:19" s="185" customFormat="1" ht="14.4" thickBot="1" x14ac:dyDescent="0.3">
      <c r="A64" s="240" t="s">
        <v>195</v>
      </c>
      <c r="B64" s="240" t="s">
        <v>224</v>
      </c>
      <c r="C64" s="241" t="s">
        <v>282</v>
      </c>
      <c r="D64" s="242"/>
      <c r="E64" s="242">
        <v>300000</v>
      </c>
      <c r="F64" s="242"/>
      <c r="G64" s="242">
        <v>750000</v>
      </c>
      <c r="H64" s="242"/>
      <c r="I64" s="243"/>
      <c r="J64" s="243"/>
      <c r="K64" s="243"/>
      <c r="L64" s="244"/>
      <c r="M64" s="244"/>
      <c r="N64" s="226">
        <f>+L64+J64+H64+F64+D64</f>
        <v>0</v>
      </c>
      <c r="O64" s="227">
        <f t="shared" si="3"/>
        <v>1050000</v>
      </c>
      <c r="P64" s="228">
        <f t="shared" si="4"/>
        <v>1050000</v>
      </c>
    </row>
    <row r="65" spans="1:19" ht="24" x14ac:dyDescent="0.25">
      <c r="A65" s="218" t="s">
        <v>218</v>
      </c>
      <c r="B65" s="218" t="s">
        <v>219</v>
      </c>
      <c r="C65" s="282" t="s">
        <v>111</v>
      </c>
      <c r="D65" s="230"/>
      <c r="E65" s="231">
        <f>40000</f>
        <v>40000</v>
      </c>
      <c r="F65" s="231"/>
      <c r="G65" s="231"/>
      <c r="H65" s="231"/>
      <c r="I65" s="231"/>
      <c r="J65" s="231"/>
      <c r="K65" s="230"/>
      <c r="L65" s="230"/>
      <c r="M65" s="230"/>
      <c r="N65" s="133">
        <f t="shared" si="2"/>
        <v>0</v>
      </c>
      <c r="O65" s="134">
        <f t="shared" si="3"/>
        <v>40000</v>
      </c>
      <c r="P65" s="135">
        <f t="shared" si="4"/>
        <v>40000</v>
      </c>
      <c r="Q65" s="122" t="s">
        <v>308</v>
      </c>
      <c r="R65" s="123">
        <f>SUM(N65:N71)</f>
        <v>0</v>
      </c>
      <c r="S65" s="123">
        <f>SUM(O65:O71)</f>
        <v>2004400</v>
      </c>
    </row>
    <row r="66" spans="1:19" x14ac:dyDescent="0.25">
      <c r="A66" s="129" t="s">
        <v>221</v>
      </c>
      <c r="B66" s="129" t="s">
        <v>219</v>
      </c>
      <c r="C66" s="283" t="s">
        <v>222</v>
      </c>
      <c r="D66" s="140"/>
      <c r="E66" s="140"/>
      <c r="F66" s="131"/>
      <c r="G66" s="131">
        <v>116640</v>
      </c>
      <c r="H66" s="131"/>
      <c r="I66" s="131">
        <v>77760</v>
      </c>
      <c r="J66" s="145"/>
      <c r="K66" s="140"/>
      <c r="L66" s="140"/>
      <c r="M66" s="140"/>
      <c r="N66" s="136">
        <f t="shared" si="2"/>
        <v>0</v>
      </c>
      <c r="O66" s="134">
        <f t="shared" si="3"/>
        <v>194400</v>
      </c>
      <c r="P66" s="135">
        <f t="shared" si="4"/>
        <v>194400</v>
      </c>
    </row>
    <row r="67" spans="1:19" ht="20.399999999999999" x14ac:dyDescent="0.25">
      <c r="A67" s="157" t="s">
        <v>259</v>
      </c>
      <c r="B67" s="129" t="s">
        <v>219</v>
      </c>
      <c r="C67" s="281" t="s">
        <v>260</v>
      </c>
      <c r="D67" s="158"/>
      <c r="E67" s="158">
        <v>800000</v>
      </c>
      <c r="F67" s="158"/>
      <c r="G67" s="158">
        <v>800000</v>
      </c>
      <c r="H67" s="158"/>
      <c r="I67" s="158"/>
      <c r="J67" s="158"/>
      <c r="K67" s="158"/>
      <c r="L67" s="160"/>
      <c r="M67" s="160"/>
      <c r="N67" s="136">
        <f t="shared" si="2"/>
        <v>0</v>
      </c>
      <c r="O67" s="147">
        <f t="shared" si="3"/>
        <v>1600000</v>
      </c>
      <c r="P67" s="135">
        <f t="shared" si="4"/>
        <v>1600000</v>
      </c>
    </row>
    <row r="68" spans="1:19" ht="24" x14ac:dyDescent="0.25">
      <c r="A68" s="157" t="s">
        <v>270</v>
      </c>
      <c r="B68" s="129" t="s">
        <v>219</v>
      </c>
      <c r="C68" s="271" t="s">
        <v>108</v>
      </c>
      <c r="D68" s="162"/>
      <c r="E68" s="162">
        <f>(3)*20000</f>
        <v>60000</v>
      </c>
      <c r="F68" s="162"/>
      <c r="G68" s="162"/>
      <c r="H68" s="162"/>
      <c r="I68" s="162"/>
      <c r="J68" s="162"/>
      <c r="K68" s="162"/>
      <c r="L68" s="162"/>
      <c r="M68" s="162"/>
      <c r="N68" s="136">
        <f t="shared" si="2"/>
        <v>0</v>
      </c>
      <c r="O68" s="147">
        <f t="shared" si="3"/>
        <v>60000</v>
      </c>
      <c r="P68" s="135">
        <f t="shared" si="4"/>
        <v>60000</v>
      </c>
    </row>
    <row r="69" spans="1:19" x14ac:dyDescent="0.25">
      <c r="A69" s="179" t="s">
        <v>299</v>
      </c>
      <c r="B69" s="179" t="s">
        <v>219</v>
      </c>
      <c r="C69" s="292" t="s">
        <v>300</v>
      </c>
      <c r="D69" s="180"/>
      <c r="E69" s="180"/>
      <c r="F69" s="180"/>
      <c r="G69" s="180">
        <f>10000</f>
        <v>10000</v>
      </c>
      <c r="H69" s="180"/>
      <c r="I69" s="180">
        <f>10000</f>
        <v>10000</v>
      </c>
      <c r="J69" s="180"/>
      <c r="K69" s="180">
        <f>10000</f>
        <v>10000</v>
      </c>
      <c r="L69" s="180"/>
      <c r="M69" s="180">
        <v>10000</v>
      </c>
      <c r="N69" s="136">
        <f t="shared" ref="N69:N88" si="5">+L69+J69+H69+F69+D69</f>
        <v>0</v>
      </c>
      <c r="O69" s="147">
        <f t="shared" ref="O69:O88" si="6">+E69+G69+I69+K69+M69</f>
        <v>40000</v>
      </c>
      <c r="P69" s="135">
        <f t="shared" ref="P69:P100" si="7">+O69+N69</f>
        <v>40000</v>
      </c>
    </row>
    <row r="70" spans="1:19" x14ac:dyDescent="0.25">
      <c r="A70" s="179" t="s">
        <v>301</v>
      </c>
      <c r="B70" s="179" t="s">
        <v>219</v>
      </c>
      <c r="C70" s="293" t="s">
        <v>302</v>
      </c>
      <c r="D70" s="180"/>
      <c r="E70" s="180"/>
      <c r="F70" s="180"/>
      <c r="G70" s="180"/>
      <c r="H70" s="180"/>
      <c r="I70" s="180">
        <f>30000</f>
        <v>30000</v>
      </c>
      <c r="J70" s="180"/>
      <c r="K70" s="180"/>
      <c r="L70" s="180"/>
      <c r="M70" s="180"/>
      <c r="N70" s="136">
        <f t="shared" si="5"/>
        <v>0</v>
      </c>
      <c r="O70" s="147">
        <f t="shared" si="6"/>
        <v>30000</v>
      </c>
      <c r="P70" s="135">
        <f t="shared" si="7"/>
        <v>30000</v>
      </c>
    </row>
    <row r="71" spans="1:19" s="185" customFormat="1" ht="33.75" customHeight="1" thickBot="1" x14ac:dyDescent="0.3">
      <c r="A71" s="223" t="s">
        <v>303</v>
      </c>
      <c r="B71" s="223" t="s">
        <v>219</v>
      </c>
      <c r="C71" s="294" t="s">
        <v>304</v>
      </c>
      <c r="D71" s="225"/>
      <c r="E71" s="225"/>
      <c r="F71" s="225"/>
      <c r="G71" s="225"/>
      <c r="H71" s="225"/>
      <c r="I71" s="225"/>
      <c r="J71" s="225"/>
      <c r="K71" s="225"/>
      <c r="L71" s="225"/>
      <c r="M71" s="225">
        <v>40000</v>
      </c>
      <c r="N71" s="226">
        <f t="shared" si="5"/>
        <v>0</v>
      </c>
      <c r="O71" s="227">
        <f t="shared" si="6"/>
        <v>40000</v>
      </c>
      <c r="P71" s="228">
        <f t="shared" si="7"/>
        <v>40000</v>
      </c>
    </row>
    <row r="72" spans="1:19" ht="45" customHeight="1" x14ac:dyDescent="0.25">
      <c r="A72" s="218" t="s">
        <v>250</v>
      </c>
      <c r="B72" s="218" t="s">
        <v>251</v>
      </c>
      <c r="C72" s="276" t="s">
        <v>252</v>
      </c>
      <c r="D72" s="245">
        <v>74000</v>
      </c>
      <c r="E72" s="245"/>
      <c r="F72" s="245">
        <v>74000</v>
      </c>
      <c r="G72" s="245"/>
      <c r="H72" s="245">
        <v>74000</v>
      </c>
      <c r="I72" s="245"/>
      <c r="J72" s="245">
        <v>74000</v>
      </c>
      <c r="K72" s="245"/>
      <c r="L72" s="245"/>
      <c r="M72" s="245"/>
      <c r="N72" s="133">
        <f t="shared" si="5"/>
        <v>296000</v>
      </c>
      <c r="O72" s="147">
        <f t="shared" si="6"/>
        <v>0</v>
      </c>
      <c r="P72" s="135">
        <f t="shared" si="7"/>
        <v>296000</v>
      </c>
      <c r="Q72" s="122" t="s">
        <v>309</v>
      </c>
      <c r="R72" s="123">
        <f>SUM(N72:N76)</f>
        <v>574500</v>
      </c>
      <c r="S72" s="123">
        <f>SUM(O72:O76)</f>
        <v>0</v>
      </c>
    </row>
    <row r="73" spans="1:19" ht="27" customHeight="1" x14ac:dyDescent="0.25">
      <c r="A73" s="157" t="s">
        <v>261</v>
      </c>
      <c r="B73" s="129" t="s">
        <v>251</v>
      </c>
      <c r="C73" s="277" t="s">
        <v>262</v>
      </c>
      <c r="D73" s="158">
        <v>18000</v>
      </c>
      <c r="E73" s="158"/>
      <c r="F73" s="158"/>
      <c r="G73" s="158"/>
      <c r="H73" s="158"/>
      <c r="I73" s="158"/>
      <c r="J73" s="158"/>
      <c r="K73" s="158"/>
      <c r="L73" s="158"/>
      <c r="M73" s="158"/>
      <c r="N73" s="136">
        <f t="shared" si="5"/>
        <v>18000</v>
      </c>
      <c r="O73" s="147">
        <f t="shared" si="6"/>
        <v>0</v>
      </c>
      <c r="P73" s="135">
        <f t="shared" si="7"/>
        <v>18000</v>
      </c>
    </row>
    <row r="74" spans="1:19" ht="13.95" customHeight="1" x14ac:dyDescent="0.25">
      <c r="A74" s="157" t="s">
        <v>263</v>
      </c>
      <c r="B74" s="129" t="s">
        <v>251</v>
      </c>
      <c r="C74" s="277" t="s">
        <v>264</v>
      </c>
      <c r="D74" s="158">
        <v>21000</v>
      </c>
      <c r="E74" s="158"/>
      <c r="F74" s="158"/>
      <c r="G74" s="158"/>
      <c r="H74" s="158"/>
      <c r="I74" s="158"/>
      <c r="J74" s="158"/>
      <c r="K74" s="158"/>
      <c r="L74" s="158"/>
      <c r="M74" s="158"/>
      <c r="N74" s="136">
        <f t="shared" si="5"/>
        <v>21000</v>
      </c>
      <c r="O74" s="147">
        <f t="shared" si="6"/>
        <v>0</v>
      </c>
      <c r="P74" s="135">
        <f t="shared" si="7"/>
        <v>21000</v>
      </c>
    </row>
    <row r="75" spans="1:19" ht="24.75" customHeight="1" x14ac:dyDescent="0.25">
      <c r="A75" s="129" t="s">
        <v>271</v>
      </c>
      <c r="B75" s="129" t="s">
        <v>251</v>
      </c>
      <c r="C75" s="278" t="s">
        <v>272</v>
      </c>
      <c r="D75" s="197">
        <v>49375</v>
      </c>
      <c r="E75" s="197"/>
      <c r="F75" s="197">
        <v>37500</v>
      </c>
      <c r="G75" s="197"/>
      <c r="H75" s="197">
        <v>33000</v>
      </c>
      <c r="I75" s="203"/>
      <c r="J75" s="203"/>
      <c r="K75" s="203"/>
      <c r="L75" s="203"/>
      <c r="M75" s="203"/>
      <c r="N75" s="136">
        <f t="shared" si="5"/>
        <v>119875</v>
      </c>
      <c r="O75" s="173">
        <f t="shared" si="6"/>
        <v>0</v>
      </c>
      <c r="P75" s="174">
        <f t="shared" si="7"/>
        <v>119875</v>
      </c>
    </row>
    <row r="76" spans="1:19" s="185" customFormat="1" ht="24.6" thickBot="1" x14ac:dyDescent="0.3">
      <c r="A76" s="240" t="s">
        <v>286</v>
      </c>
      <c r="B76" s="240" t="s">
        <v>251</v>
      </c>
      <c r="C76" s="279" t="s">
        <v>287</v>
      </c>
      <c r="D76" s="246">
        <v>49500</v>
      </c>
      <c r="E76" s="246"/>
      <c r="F76" s="246">
        <v>37125</v>
      </c>
      <c r="G76" s="246"/>
      <c r="H76" s="246">
        <v>33000</v>
      </c>
      <c r="I76" s="246"/>
      <c r="J76" s="246"/>
      <c r="K76" s="247"/>
      <c r="L76" s="247"/>
      <c r="M76" s="247"/>
      <c r="N76" s="226">
        <f t="shared" si="5"/>
        <v>119625</v>
      </c>
      <c r="O76" s="227">
        <f t="shared" si="6"/>
        <v>0</v>
      </c>
      <c r="P76" s="228">
        <f t="shared" si="7"/>
        <v>119625</v>
      </c>
    </row>
    <row r="77" spans="1:19" ht="24" x14ac:dyDescent="0.25">
      <c r="A77" s="218" t="s">
        <v>209</v>
      </c>
      <c r="B77" s="218" t="s">
        <v>210</v>
      </c>
      <c r="C77" s="273" t="s">
        <v>110</v>
      </c>
      <c r="D77" s="230"/>
      <c r="E77" s="231">
        <v>50000</v>
      </c>
      <c r="F77" s="231"/>
      <c r="G77" s="231"/>
      <c r="H77" s="231"/>
      <c r="I77" s="231"/>
      <c r="J77" s="231"/>
      <c r="K77" s="231"/>
      <c r="L77" s="230"/>
      <c r="M77" s="230"/>
      <c r="N77" s="133">
        <f t="shared" si="5"/>
        <v>0</v>
      </c>
      <c r="O77" s="134">
        <f t="shared" si="6"/>
        <v>50000</v>
      </c>
      <c r="P77" s="135">
        <f t="shared" si="7"/>
        <v>50000</v>
      </c>
      <c r="Q77" s="122" t="s">
        <v>310</v>
      </c>
      <c r="R77" s="123">
        <f>SUM(N77:N83)</f>
        <v>1164791.83</v>
      </c>
      <c r="S77" s="123">
        <f>SUM(O77:O83)</f>
        <v>7502519</v>
      </c>
    </row>
    <row r="78" spans="1:19" ht="24.75" customHeight="1" x14ac:dyDescent="0.25">
      <c r="A78" s="129" t="s">
        <v>220</v>
      </c>
      <c r="B78" s="129" t="s">
        <v>210</v>
      </c>
      <c r="C78" s="272" t="s">
        <v>202</v>
      </c>
      <c r="D78" s="131"/>
      <c r="E78" s="131">
        <f>((50000+(400*2500)+500000))</f>
        <v>1550000</v>
      </c>
      <c r="F78" s="131"/>
      <c r="G78" s="131">
        <f>((50000+((5400*600)*0.6)+(400*2500)))</f>
        <v>2994000</v>
      </c>
      <c r="H78" s="131"/>
      <c r="I78" s="131">
        <f>((50000+((5400*600)*0.4)+(400*2500)))</f>
        <v>2346000</v>
      </c>
      <c r="J78" s="131"/>
      <c r="K78" s="131">
        <f>37600+37600</f>
        <v>75200</v>
      </c>
      <c r="L78" s="131"/>
      <c r="M78" s="131"/>
      <c r="N78" s="136">
        <f t="shared" si="5"/>
        <v>0</v>
      </c>
      <c r="O78" s="134">
        <f t="shared" si="6"/>
        <v>6965200</v>
      </c>
      <c r="P78" s="135">
        <f t="shared" si="7"/>
        <v>6965200</v>
      </c>
    </row>
    <row r="79" spans="1:19" x14ac:dyDescent="0.25">
      <c r="A79" s="129" t="s">
        <v>246</v>
      </c>
      <c r="B79" s="129" t="s">
        <v>210</v>
      </c>
      <c r="C79" s="143" t="s">
        <v>247</v>
      </c>
      <c r="D79" s="146">
        <f>4735060*0.06</f>
        <v>284103.59999999998</v>
      </c>
      <c r="E79" s="146"/>
      <c r="F79" s="146">
        <f>5551530*0.06</f>
        <v>333091.8</v>
      </c>
      <c r="G79" s="146"/>
      <c r="H79" s="146">
        <f>5796303.75*0.06</f>
        <v>347778.22499999998</v>
      </c>
      <c r="I79" s="146"/>
      <c r="J79" s="146">
        <f>(3288336.75*0.06)-8047-360</f>
        <v>188893.20499999999</v>
      </c>
      <c r="K79" s="146"/>
      <c r="L79" s="151">
        <v>10925</v>
      </c>
      <c r="M79" s="146"/>
      <c r="N79" s="136">
        <f t="shared" si="5"/>
        <v>1164791.83</v>
      </c>
      <c r="O79" s="147">
        <f t="shared" si="6"/>
        <v>0</v>
      </c>
      <c r="P79" s="135">
        <f t="shared" si="7"/>
        <v>1164791.83</v>
      </c>
    </row>
    <row r="80" spans="1:19" ht="24" x14ac:dyDescent="0.25">
      <c r="A80" s="129" t="s">
        <v>170</v>
      </c>
      <c r="B80" s="129" t="s">
        <v>210</v>
      </c>
      <c r="C80" s="270" t="s">
        <v>115</v>
      </c>
      <c r="D80" s="193"/>
      <c r="E80" s="193">
        <f>5*(200)*10*4</f>
        <v>40000</v>
      </c>
      <c r="F80" s="193"/>
      <c r="G80" s="193">
        <f>5*(200)*10*4</f>
        <v>40000</v>
      </c>
      <c r="H80" s="193"/>
      <c r="I80" s="202">
        <f>5*(200)*10*4</f>
        <v>40000</v>
      </c>
      <c r="J80" s="204"/>
      <c r="K80" s="202"/>
      <c r="L80" s="202"/>
      <c r="M80" s="202"/>
      <c r="N80" s="136">
        <f>+L80+J80+H80+F80+D80</f>
        <v>0</v>
      </c>
      <c r="O80" s="147">
        <f t="shared" si="6"/>
        <v>120000</v>
      </c>
      <c r="P80" s="135">
        <f t="shared" si="7"/>
        <v>120000</v>
      </c>
    </row>
    <row r="81" spans="1:20" ht="24" x14ac:dyDescent="0.25">
      <c r="A81" s="129" t="s">
        <v>198</v>
      </c>
      <c r="B81" s="129" t="s">
        <v>210</v>
      </c>
      <c r="C81" s="270" t="s">
        <v>199</v>
      </c>
      <c r="D81" s="166"/>
      <c r="E81" s="199"/>
      <c r="F81" s="166"/>
      <c r="G81" s="199">
        <f>6*(37182/16)*12</f>
        <v>167319</v>
      </c>
      <c r="H81" s="166"/>
      <c r="I81" s="199"/>
      <c r="J81" s="166"/>
      <c r="K81" s="199"/>
      <c r="L81" s="167"/>
      <c r="M81" s="216"/>
      <c r="N81" s="136">
        <f t="shared" ref="N81" si="8">+L81+J81+H81+F81+D81</f>
        <v>0</v>
      </c>
      <c r="O81" s="147">
        <f t="shared" si="6"/>
        <v>167319</v>
      </c>
      <c r="P81" s="135">
        <f t="shared" si="7"/>
        <v>167319</v>
      </c>
      <c r="Q81" s="123"/>
    </row>
    <row r="82" spans="1:20" x14ac:dyDescent="0.25">
      <c r="A82" s="179" t="s">
        <v>291</v>
      </c>
      <c r="B82" s="179" t="s">
        <v>210</v>
      </c>
      <c r="C82" s="269" t="s">
        <v>292</v>
      </c>
      <c r="D82" s="180"/>
      <c r="E82" s="181">
        <f>(50000/$I$1)*12</f>
        <v>37500</v>
      </c>
      <c r="F82" s="181"/>
      <c r="G82" s="181">
        <f>(50000/$I$1)*12</f>
        <v>37500</v>
      </c>
      <c r="H82" s="181"/>
      <c r="I82" s="181">
        <f>(50000/$I$1)*12</f>
        <v>37500</v>
      </c>
      <c r="J82" s="181"/>
      <c r="K82" s="181">
        <f>(50000/$I$1)*12</f>
        <v>37500</v>
      </c>
      <c r="L82" s="181"/>
      <c r="M82" s="181"/>
      <c r="N82" s="136">
        <f>+L82+J82+H82+F82+D82</f>
        <v>0</v>
      </c>
      <c r="O82" s="147">
        <f t="shared" si="6"/>
        <v>150000</v>
      </c>
      <c r="P82" s="135">
        <f t="shared" si="7"/>
        <v>150000</v>
      </c>
      <c r="T82" s="123"/>
    </row>
    <row r="83" spans="1:20" s="185" customFormat="1" ht="14.4" thickBot="1" x14ac:dyDescent="0.3">
      <c r="A83" s="223" t="s">
        <v>293</v>
      </c>
      <c r="B83" s="223" t="s">
        <v>210</v>
      </c>
      <c r="C83" s="274" t="s">
        <v>294</v>
      </c>
      <c r="D83" s="254"/>
      <c r="E83" s="255">
        <v>50000</v>
      </c>
      <c r="F83" s="253"/>
      <c r="G83" s="256"/>
      <c r="H83" s="256"/>
      <c r="I83" s="255"/>
      <c r="J83" s="255"/>
      <c r="K83" s="255"/>
      <c r="L83" s="255"/>
      <c r="M83" s="255"/>
      <c r="N83" s="226">
        <f>+L83+J83+H83+F83+D83</f>
        <v>0</v>
      </c>
      <c r="O83" s="227">
        <f t="shared" si="6"/>
        <v>50000</v>
      </c>
      <c r="P83" s="228">
        <f t="shared" si="7"/>
        <v>50000</v>
      </c>
    </row>
    <row r="84" spans="1:20" x14ac:dyDescent="0.25">
      <c r="A84" s="218" t="s">
        <v>146</v>
      </c>
      <c r="B84" s="218" t="s">
        <v>210</v>
      </c>
      <c r="C84" s="280" t="s">
        <v>114</v>
      </c>
      <c r="D84" s="248"/>
      <c r="E84" s="249"/>
      <c r="F84" s="250"/>
      <c r="G84" s="250">
        <f>60000</f>
        <v>60000</v>
      </c>
      <c r="H84" s="201"/>
      <c r="I84" s="249">
        <f>+G84</f>
        <v>60000</v>
      </c>
      <c r="J84" s="251"/>
      <c r="K84" s="251"/>
      <c r="L84" s="252"/>
      <c r="M84" s="252"/>
      <c r="N84" s="133">
        <f t="shared" si="5"/>
        <v>0</v>
      </c>
      <c r="O84" s="147">
        <f t="shared" si="6"/>
        <v>120000</v>
      </c>
      <c r="P84" s="135">
        <f t="shared" si="7"/>
        <v>120000</v>
      </c>
      <c r="Q84" s="122" t="s">
        <v>73</v>
      </c>
      <c r="R84" s="123">
        <f>SUM(N84:N88)</f>
        <v>0</v>
      </c>
      <c r="S84" s="123">
        <f>SUM(O84:O88)</f>
        <v>5199280</v>
      </c>
    </row>
    <row r="85" spans="1:20" ht="24" x14ac:dyDescent="0.25">
      <c r="A85" s="157" t="s">
        <v>258</v>
      </c>
      <c r="B85" s="129" t="s">
        <v>210</v>
      </c>
      <c r="C85" s="271" t="s">
        <v>106</v>
      </c>
      <c r="D85" s="158"/>
      <c r="E85" s="158">
        <f>+(1469*30)</f>
        <v>44070</v>
      </c>
      <c r="F85" s="158"/>
      <c r="G85" s="200">
        <f>+(1469+2500)*30</f>
        <v>119070</v>
      </c>
      <c r="H85" s="158"/>
      <c r="I85" s="200">
        <f>+(1469+2500)*30</f>
        <v>119070</v>
      </c>
      <c r="J85" s="158"/>
      <c r="K85" s="200">
        <f>+(1469+2500)*30</f>
        <v>119070</v>
      </c>
      <c r="L85" s="158"/>
      <c r="M85" s="215"/>
      <c r="N85" s="136">
        <f t="shared" si="5"/>
        <v>0</v>
      </c>
      <c r="O85" s="147">
        <f t="shared" si="6"/>
        <v>401280</v>
      </c>
      <c r="P85" s="135">
        <f t="shared" si="7"/>
        <v>401280</v>
      </c>
      <c r="Q85" s="123"/>
    </row>
    <row r="86" spans="1:20" ht="24" x14ac:dyDescent="0.25">
      <c r="A86" s="129" t="s">
        <v>273</v>
      </c>
      <c r="B86" s="129" t="s">
        <v>210</v>
      </c>
      <c r="C86" s="270" t="s">
        <v>274</v>
      </c>
      <c r="D86" s="193"/>
      <c r="E86" s="198">
        <v>704000</v>
      </c>
      <c r="F86" s="193"/>
      <c r="G86" s="193">
        <v>1056000</v>
      </c>
      <c r="H86" s="193"/>
      <c r="I86" s="202">
        <v>1158000</v>
      </c>
      <c r="J86" s="202"/>
      <c r="K86" s="202"/>
      <c r="L86" s="202"/>
      <c r="M86" s="202"/>
      <c r="N86" s="136">
        <f t="shared" si="5"/>
        <v>0</v>
      </c>
      <c r="O86" s="147">
        <f t="shared" si="6"/>
        <v>2918000</v>
      </c>
      <c r="P86" s="135">
        <f t="shared" si="7"/>
        <v>2918000</v>
      </c>
      <c r="R86" s="123"/>
    </row>
    <row r="87" spans="1:20" x14ac:dyDescent="0.25">
      <c r="A87" s="129" t="s">
        <v>278</v>
      </c>
      <c r="B87" s="129" t="s">
        <v>210</v>
      </c>
      <c r="C87" s="270" t="s">
        <v>279</v>
      </c>
      <c r="D87" s="193"/>
      <c r="E87" s="193">
        <v>704000</v>
      </c>
      <c r="F87" s="193"/>
      <c r="G87" s="193"/>
      <c r="H87" s="193"/>
      <c r="I87" s="202"/>
      <c r="J87" s="202"/>
      <c r="K87" s="202"/>
      <c r="L87" s="165"/>
      <c r="M87" s="165"/>
      <c r="N87" s="136">
        <f t="shared" si="5"/>
        <v>0</v>
      </c>
      <c r="O87" s="147">
        <f t="shared" si="6"/>
        <v>704000</v>
      </c>
      <c r="P87" s="135">
        <f t="shared" si="7"/>
        <v>704000</v>
      </c>
    </row>
    <row r="88" spans="1:20" ht="24" x14ac:dyDescent="0.25">
      <c r="A88" s="129" t="s">
        <v>288</v>
      </c>
      <c r="B88" s="129" t="s">
        <v>210</v>
      </c>
      <c r="C88" s="270" t="s">
        <v>289</v>
      </c>
      <c r="D88" s="170"/>
      <c r="E88" s="170"/>
      <c r="F88" s="170"/>
      <c r="G88" s="170">
        <f>1056000</f>
        <v>1056000</v>
      </c>
      <c r="H88" s="170"/>
      <c r="I88" s="170"/>
      <c r="J88" s="170"/>
      <c r="K88" s="171"/>
      <c r="L88" s="171"/>
      <c r="M88" s="171"/>
      <c r="N88" s="136">
        <f t="shared" si="5"/>
        <v>0</v>
      </c>
      <c r="O88" s="147">
        <f t="shared" si="6"/>
        <v>1056000</v>
      </c>
      <c r="P88" s="135">
        <f t="shared" si="7"/>
        <v>1056000</v>
      </c>
    </row>
    <row r="90" spans="1:20" x14ac:dyDescent="0.25">
      <c r="E90" s="186"/>
      <c r="F90" s="186"/>
    </row>
    <row r="92" spans="1:20" x14ac:dyDescent="0.25">
      <c r="E92" s="182"/>
      <c r="F92" s="182"/>
    </row>
    <row r="94" spans="1:20" x14ac:dyDescent="0.25">
      <c r="D94" s="121"/>
      <c r="E94" s="123"/>
      <c r="F94" s="123"/>
    </row>
    <row r="96" spans="1:20" x14ac:dyDescent="0.25">
      <c r="E96" s="123"/>
      <c r="F96" s="123"/>
    </row>
    <row r="98" spans="5:6" x14ac:dyDescent="0.25">
      <c r="E98" s="123"/>
      <c r="F98" s="123"/>
    </row>
  </sheetData>
  <sortState ref="A5:Q91">
    <sortCondition ref="B5:B91"/>
  </sortState>
  <mergeCells count="7">
    <mergeCell ref="N3:P3"/>
    <mergeCell ref="A3:C3"/>
    <mergeCell ref="D3:E3"/>
    <mergeCell ref="F3:G3"/>
    <mergeCell ref="H3:I3"/>
    <mergeCell ref="J3:K3"/>
    <mergeCell ref="L3:M3"/>
  </mergeCells>
  <pageMargins left="0.25" right="0.25" top="0.75" bottom="0.75" header="0.3" footer="0.3"/>
  <pageSetup scale="65" fitToHeight="0"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57"/>
  <sheetViews>
    <sheetView topLeftCell="A30" zoomScale="80" zoomScaleNormal="80" workbookViewId="0">
      <pane xSplit="1" topLeftCell="C1" activePane="topRight" state="frozen"/>
      <selection pane="topRight" activeCell="P46" sqref="P46"/>
    </sheetView>
  </sheetViews>
  <sheetFormatPr defaultColWidth="9.109375" defaultRowHeight="12" x14ac:dyDescent="0.25"/>
  <cols>
    <col min="1" max="1" width="5.88671875" style="109" bestFit="1" customWidth="1"/>
    <col min="2" max="2" width="76" style="108" customWidth="1"/>
    <col min="3" max="3" width="11.6640625" style="108" customWidth="1"/>
    <col min="4" max="4" width="14.109375" style="108" bestFit="1" customWidth="1"/>
    <col min="5" max="5" width="14.33203125" style="108" bestFit="1" customWidth="1"/>
    <col min="6" max="6" width="15.109375" style="108" customWidth="1"/>
    <col min="7" max="7" width="14.109375" style="108" bestFit="1" customWidth="1"/>
    <col min="8" max="8" width="13.109375" style="108" customWidth="1"/>
    <col min="9" max="9" width="11.6640625" style="108" bestFit="1" customWidth="1"/>
    <col min="10" max="10" width="13.44140625" style="108" customWidth="1"/>
    <col min="11" max="11" width="11.6640625" style="108" bestFit="1" customWidth="1"/>
    <col min="12" max="12" width="14.5546875" style="108" customWidth="1"/>
    <col min="13" max="13" width="11.6640625" style="108" bestFit="1" customWidth="1"/>
    <col min="14" max="14" width="13.5546875" style="108" bestFit="1" customWidth="1"/>
    <col min="15" max="15" width="11.33203125" style="108" bestFit="1" customWidth="1"/>
    <col min="16" max="16384" width="9.109375" style="108"/>
  </cols>
  <sheetData>
    <row r="1" spans="1:16" x14ac:dyDescent="0.25">
      <c r="A1" s="111"/>
      <c r="B1" s="112"/>
      <c r="C1" s="112"/>
      <c r="D1" s="112"/>
      <c r="E1" s="112"/>
    </row>
    <row r="2" spans="1:16" x14ac:dyDescent="0.25">
      <c r="A2" s="111"/>
      <c r="B2" s="112"/>
      <c r="C2" s="112"/>
      <c r="D2" s="112"/>
      <c r="E2" s="112"/>
    </row>
    <row r="3" spans="1:16" x14ac:dyDescent="0.25">
      <c r="A3" s="111"/>
      <c r="B3" s="112"/>
      <c r="C3" s="112"/>
      <c r="D3" s="112"/>
      <c r="E3" s="112"/>
    </row>
    <row r="4" spans="1:16" ht="30" customHeight="1" x14ac:dyDescent="0.25">
      <c r="A4" s="369" t="s">
        <v>134</v>
      </c>
      <c r="B4" s="370"/>
      <c r="C4" s="366">
        <v>2018</v>
      </c>
      <c r="D4" s="368"/>
      <c r="E4" s="366">
        <v>2019</v>
      </c>
      <c r="F4" s="368"/>
      <c r="G4" s="366">
        <v>2020</v>
      </c>
      <c r="H4" s="368"/>
      <c r="I4" s="366">
        <v>2021</v>
      </c>
      <c r="J4" s="368"/>
      <c r="K4" s="366">
        <v>2022</v>
      </c>
      <c r="L4" s="368"/>
      <c r="M4" s="366" t="s">
        <v>135</v>
      </c>
      <c r="N4" s="367"/>
      <c r="O4" s="368"/>
    </row>
    <row r="5" spans="1:16" ht="30" customHeight="1" x14ac:dyDescent="0.25">
      <c r="A5" s="110"/>
      <c r="B5" s="110"/>
      <c r="C5" s="126" t="s">
        <v>204</v>
      </c>
      <c r="D5" s="126" t="s">
        <v>206</v>
      </c>
      <c r="E5" s="126" t="s">
        <v>204</v>
      </c>
      <c r="F5" s="126" t="s">
        <v>206</v>
      </c>
      <c r="G5" s="126" t="s">
        <v>204</v>
      </c>
      <c r="H5" s="126" t="s">
        <v>206</v>
      </c>
      <c r="I5" s="126" t="s">
        <v>204</v>
      </c>
      <c r="J5" s="126" t="s">
        <v>206</v>
      </c>
      <c r="K5" s="126" t="s">
        <v>204</v>
      </c>
      <c r="L5" s="126" t="s">
        <v>206</v>
      </c>
      <c r="M5" s="126" t="s">
        <v>204</v>
      </c>
      <c r="N5" s="126" t="s">
        <v>206</v>
      </c>
      <c r="O5" s="127" t="s">
        <v>135</v>
      </c>
    </row>
    <row r="7" spans="1:16" ht="24" customHeight="1" x14ac:dyDescent="0.25">
      <c r="A7" s="129" t="s">
        <v>223</v>
      </c>
      <c r="B7" s="144" t="s">
        <v>225</v>
      </c>
      <c r="C7" s="329"/>
      <c r="D7" s="329">
        <v>450000</v>
      </c>
      <c r="E7" s="329"/>
      <c r="F7" s="329">
        <v>450000</v>
      </c>
      <c r="G7" s="329"/>
      <c r="H7" s="329">
        <v>450000</v>
      </c>
      <c r="I7" s="329"/>
      <c r="J7" s="329">
        <v>450000</v>
      </c>
      <c r="K7" s="180"/>
      <c r="L7" s="333">
        <v>450000</v>
      </c>
      <c r="M7" s="136">
        <f t="shared" ref="M7:M38" si="0">+K7+I7+G7+E7+C7</f>
        <v>0</v>
      </c>
      <c r="N7" s="134">
        <f t="shared" ref="N7:N38" si="1">+D7+F7+H7+J7+L7</f>
        <v>2250000</v>
      </c>
      <c r="O7" s="135">
        <f t="shared" ref="O7:O38" si="2">+N7+M7</f>
        <v>2250000</v>
      </c>
      <c r="P7" s="371">
        <f>SUM(N7:N34)</f>
        <v>7043308.75</v>
      </c>
    </row>
    <row r="8" spans="1:16" ht="27.75" customHeight="1" x14ac:dyDescent="0.25">
      <c r="A8" s="129" t="s">
        <v>226</v>
      </c>
      <c r="B8" s="191" t="s">
        <v>142</v>
      </c>
      <c r="C8" s="302"/>
      <c r="D8" s="302">
        <f>(20235/16)*6</f>
        <v>7588.125</v>
      </c>
      <c r="E8" s="302"/>
      <c r="F8" s="302"/>
      <c r="G8" s="302"/>
      <c r="H8" s="302"/>
      <c r="I8" s="302"/>
      <c r="J8" s="302"/>
      <c r="K8" s="302"/>
      <c r="L8" s="302"/>
      <c r="M8" s="136">
        <f t="shared" si="0"/>
        <v>0</v>
      </c>
      <c r="N8" s="147">
        <f t="shared" si="1"/>
        <v>7588.125</v>
      </c>
      <c r="O8" s="135">
        <f t="shared" si="2"/>
        <v>7588.125</v>
      </c>
    </row>
    <row r="9" spans="1:16" ht="24" x14ac:dyDescent="0.25">
      <c r="A9" s="129" t="s">
        <v>240</v>
      </c>
      <c r="B9" s="143" t="s">
        <v>241</v>
      </c>
      <c r="C9" s="302"/>
      <c r="D9" s="302">
        <f>6*23270*12/16</f>
        <v>104715</v>
      </c>
      <c r="E9" s="302"/>
      <c r="F9" s="302">
        <f>6*23270*12/16</f>
        <v>104715</v>
      </c>
      <c r="G9" s="302"/>
      <c r="H9" s="302">
        <f>6*23270*12/16</f>
        <v>104715</v>
      </c>
      <c r="I9" s="302"/>
      <c r="J9" s="302">
        <f>6*23270*12/16</f>
        <v>104715</v>
      </c>
      <c r="K9" s="302"/>
      <c r="L9" s="302"/>
      <c r="M9" s="136">
        <f t="shared" si="0"/>
        <v>0</v>
      </c>
      <c r="N9" s="147">
        <f t="shared" si="1"/>
        <v>418860</v>
      </c>
      <c r="O9" s="135">
        <f t="shared" si="2"/>
        <v>418860</v>
      </c>
    </row>
    <row r="10" spans="1:16" ht="27.75" customHeight="1" x14ac:dyDescent="0.25">
      <c r="A10" s="129" t="s">
        <v>242</v>
      </c>
      <c r="B10" s="191" t="s">
        <v>243</v>
      </c>
      <c r="C10" s="302">
        <v>18750</v>
      </c>
      <c r="D10" s="302"/>
      <c r="E10" s="302"/>
      <c r="F10" s="302"/>
      <c r="G10" s="302"/>
      <c r="H10" s="302"/>
      <c r="I10" s="302"/>
      <c r="J10" s="302"/>
      <c r="K10" s="302"/>
      <c r="L10" s="302"/>
      <c r="M10" s="136">
        <f t="shared" si="0"/>
        <v>18750</v>
      </c>
      <c r="N10" s="147">
        <f t="shared" si="1"/>
        <v>0</v>
      </c>
      <c r="O10" s="135">
        <f t="shared" si="2"/>
        <v>18750</v>
      </c>
    </row>
    <row r="11" spans="1:16" ht="13.8" x14ac:dyDescent="0.25">
      <c r="A11" s="129" t="s">
        <v>244</v>
      </c>
      <c r="B11" s="191" t="s">
        <v>245</v>
      </c>
      <c r="C11" s="302"/>
      <c r="D11" s="302">
        <f>4*23270*12/16</f>
        <v>69810</v>
      </c>
      <c r="E11" s="302"/>
      <c r="F11" s="302">
        <f>4*23270*12/16</f>
        <v>69810</v>
      </c>
      <c r="G11" s="302"/>
      <c r="H11" s="302">
        <f>4*23270*12/16</f>
        <v>69810</v>
      </c>
      <c r="I11" s="302"/>
      <c r="J11" s="302">
        <f>4*23270*12/16</f>
        <v>69810</v>
      </c>
      <c r="K11" s="302"/>
      <c r="L11" s="302"/>
      <c r="M11" s="136">
        <f t="shared" si="0"/>
        <v>0</v>
      </c>
      <c r="N11" s="147">
        <f t="shared" si="1"/>
        <v>279240</v>
      </c>
      <c r="O11" s="135">
        <f t="shared" si="2"/>
        <v>279240</v>
      </c>
    </row>
    <row r="12" spans="1:16" ht="27.75" customHeight="1" x14ac:dyDescent="0.25">
      <c r="A12" s="129" t="s">
        <v>227</v>
      </c>
      <c r="B12" s="143" t="s">
        <v>228</v>
      </c>
      <c r="C12" s="302"/>
      <c r="D12" s="302">
        <f>(20235/16)*6</f>
        <v>7588.125</v>
      </c>
      <c r="E12" s="302"/>
      <c r="F12" s="302"/>
      <c r="G12" s="302"/>
      <c r="H12" s="302"/>
      <c r="I12" s="302"/>
      <c r="J12" s="302"/>
      <c r="K12" s="302"/>
      <c r="L12" s="302"/>
      <c r="M12" s="136">
        <f t="shared" si="0"/>
        <v>0</v>
      </c>
      <c r="N12" s="147">
        <f t="shared" si="1"/>
        <v>7588.125</v>
      </c>
      <c r="O12" s="135">
        <f t="shared" si="2"/>
        <v>7588.125</v>
      </c>
    </row>
    <row r="13" spans="1:16" ht="27.75" customHeight="1" x14ac:dyDescent="0.25">
      <c r="A13" s="129" t="s">
        <v>229</v>
      </c>
      <c r="B13" s="143" t="s">
        <v>145</v>
      </c>
      <c r="C13" s="302"/>
      <c r="D13" s="302">
        <f>(20235/16)*2*6</f>
        <v>15176.25</v>
      </c>
      <c r="E13" s="302"/>
      <c r="F13" s="302"/>
      <c r="G13" s="302"/>
      <c r="H13" s="302"/>
      <c r="I13" s="302"/>
      <c r="J13" s="302"/>
      <c r="K13" s="302"/>
      <c r="L13" s="302"/>
      <c r="M13" s="136">
        <f t="shared" si="0"/>
        <v>0</v>
      </c>
      <c r="N13" s="147">
        <f t="shared" si="1"/>
        <v>15176.25</v>
      </c>
      <c r="O13" s="135">
        <f t="shared" si="2"/>
        <v>15176.25</v>
      </c>
    </row>
    <row r="14" spans="1:16" ht="24" x14ac:dyDescent="0.25">
      <c r="A14" s="129" t="s">
        <v>230</v>
      </c>
      <c r="B14" s="188" t="s">
        <v>231</v>
      </c>
      <c r="C14" s="302"/>
      <c r="D14" s="302">
        <f>(25294*12/16)+(23270*12/16)</f>
        <v>36423</v>
      </c>
      <c r="E14" s="302"/>
      <c r="F14" s="302"/>
      <c r="G14" s="302"/>
      <c r="H14" s="302"/>
      <c r="I14" s="302"/>
      <c r="J14" s="302"/>
      <c r="K14" s="302"/>
      <c r="L14" s="302"/>
      <c r="M14" s="136">
        <f t="shared" si="0"/>
        <v>0</v>
      </c>
      <c r="N14" s="147">
        <f t="shared" si="1"/>
        <v>36423</v>
      </c>
      <c r="O14" s="135">
        <f t="shared" si="2"/>
        <v>36423</v>
      </c>
    </row>
    <row r="15" spans="1:16" ht="24.6" customHeight="1" x14ac:dyDescent="0.25">
      <c r="A15" s="129" t="s">
        <v>232</v>
      </c>
      <c r="B15" s="149" t="s">
        <v>147</v>
      </c>
      <c r="C15" s="302"/>
      <c r="D15" s="302"/>
      <c r="E15" s="302"/>
      <c r="F15" s="302">
        <f>30*(23270/16)*12</f>
        <v>523575</v>
      </c>
      <c r="G15" s="302"/>
      <c r="H15" s="302">
        <f>30*(23270/16)*12</f>
        <v>523575</v>
      </c>
      <c r="I15" s="302"/>
      <c r="J15" s="302">
        <f>30*(23270/16)*12</f>
        <v>523575</v>
      </c>
      <c r="K15" s="302"/>
      <c r="L15" s="302"/>
      <c r="M15" s="136">
        <f t="shared" si="0"/>
        <v>0</v>
      </c>
      <c r="N15" s="147">
        <f t="shared" si="1"/>
        <v>1570725</v>
      </c>
      <c r="O15" s="135">
        <f t="shared" si="2"/>
        <v>1570725</v>
      </c>
    </row>
    <row r="16" spans="1:16" ht="13.8" x14ac:dyDescent="0.25">
      <c r="A16" s="129" t="s">
        <v>233</v>
      </c>
      <c r="B16" s="188" t="s">
        <v>234</v>
      </c>
      <c r="C16" s="302"/>
      <c r="D16" s="302"/>
      <c r="E16" s="302"/>
      <c r="F16" s="302"/>
      <c r="G16" s="302"/>
      <c r="H16" s="302"/>
      <c r="I16" s="302"/>
      <c r="J16" s="302"/>
      <c r="K16" s="302"/>
      <c r="L16" s="302"/>
      <c r="M16" s="136">
        <f t="shared" si="0"/>
        <v>0</v>
      </c>
      <c r="N16" s="147">
        <f t="shared" si="1"/>
        <v>0</v>
      </c>
      <c r="O16" s="135">
        <f t="shared" si="2"/>
        <v>0</v>
      </c>
    </row>
    <row r="17" spans="1:15" ht="24" x14ac:dyDescent="0.25">
      <c r="A17" s="129" t="s">
        <v>235</v>
      </c>
      <c r="B17" s="300" t="s">
        <v>236</v>
      </c>
      <c r="C17" s="302"/>
      <c r="D17" s="302">
        <f>(25294*12/16)+(3*23270*12/16)</f>
        <v>71328</v>
      </c>
      <c r="E17" s="302"/>
      <c r="F17" s="302">
        <f>(25294*12/16)+(3*23270*12/16)</f>
        <v>71328</v>
      </c>
      <c r="G17" s="302"/>
      <c r="H17" s="302">
        <f>(25294*12/16)+(3*23270*12/16)</f>
        <v>71328</v>
      </c>
      <c r="I17" s="302"/>
      <c r="J17" s="302">
        <f>(25294*12/16)+(3*23270*12/16)</f>
        <v>71328</v>
      </c>
      <c r="K17" s="302"/>
      <c r="L17" s="302"/>
      <c r="M17" s="136">
        <f t="shared" si="0"/>
        <v>0</v>
      </c>
      <c r="N17" s="147">
        <f t="shared" si="1"/>
        <v>285312</v>
      </c>
      <c r="O17" s="135">
        <f t="shared" si="2"/>
        <v>285312</v>
      </c>
    </row>
    <row r="18" spans="1:15" ht="13.8" x14ac:dyDescent="0.25">
      <c r="A18" s="129" t="s">
        <v>238</v>
      </c>
      <c r="B18" s="143" t="s">
        <v>239</v>
      </c>
      <c r="C18" s="302"/>
      <c r="D18" s="302">
        <f>3*30000*12/16</f>
        <v>67500</v>
      </c>
      <c r="E18" s="302"/>
      <c r="F18" s="302">
        <f>3*30000*12/16</f>
        <v>67500</v>
      </c>
      <c r="G18" s="302"/>
      <c r="H18" s="302">
        <f>3*30000*12/16</f>
        <v>67500</v>
      </c>
      <c r="I18" s="302"/>
      <c r="J18" s="302">
        <f>3*30000*12/16</f>
        <v>67500</v>
      </c>
      <c r="K18" s="302"/>
      <c r="L18" s="302"/>
      <c r="M18" s="136">
        <f t="shared" si="0"/>
        <v>0</v>
      </c>
      <c r="N18" s="147">
        <f t="shared" si="1"/>
        <v>270000</v>
      </c>
      <c r="O18" s="135">
        <f t="shared" si="2"/>
        <v>270000</v>
      </c>
    </row>
    <row r="19" spans="1:15" ht="24" x14ac:dyDescent="0.25">
      <c r="A19" s="129" t="s">
        <v>141</v>
      </c>
      <c r="B19" s="149" t="s">
        <v>152</v>
      </c>
      <c r="C19" s="303"/>
      <c r="D19" s="304">
        <f>3*(20235/16)*12</f>
        <v>45528.75</v>
      </c>
      <c r="E19" s="304"/>
      <c r="F19" s="304">
        <f>3*(20235/16)*12</f>
        <v>45528.75</v>
      </c>
      <c r="G19" s="304"/>
      <c r="H19" s="304">
        <f>3*(20235/16)*12</f>
        <v>45528.75</v>
      </c>
      <c r="I19" s="303"/>
      <c r="J19" s="303">
        <f>3*(20235/16)*12</f>
        <v>45528.75</v>
      </c>
      <c r="K19" s="303"/>
      <c r="L19" s="303"/>
      <c r="M19" s="136">
        <f t="shared" si="0"/>
        <v>0</v>
      </c>
      <c r="N19" s="147">
        <f t="shared" si="1"/>
        <v>182115</v>
      </c>
      <c r="O19" s="135">
        <f t="shared" si="2"/>
        <v>182115</v>
      </c>
    </row>
    <row r="20" spans="1:15" ht="24" x14ac:dyDescent="0.25">
      <c r="A20" s="129" t="s">
        <v>150</v>
      </c>
      <c r="B20" s="154" t="s">
        <v>158</v>
      </c>
      <c r="C20" s="306"/>
      <c r="D20" s="306">
        <f>2*(20235/16)*12</f>
        <v>30352.5</v>
      </c>
      <c r="E20" s="306"/>
      <c r="F20" s="306">
        <f>2*(20235/16)*12</f>
        <v>30352.5</v>
      </c>
      <c r="G20" s="306"/>
      <c r="H20" s="306">
        <f>2*(20235/16)*12</f>
        <v>30352.5</v>
      </c>
      <c r="I20" s="306"/>
      <c r="J20" s="306">
        <f>2*(20235/16)*12</f>
        <v>30352.5</v>
      </c>
      <c r="K20" s="303"/>
      <c r="L20" s="303"/>
      <c r="M20" s="136">
        <f t="shared" si="0"/>
        <v>0</v>
      </c>
      <c r="N20" s="147">
        <f t="shared" si="1"/>
        <v>121410</v>
      </c>
      <c r="O20" s="135">
        <f t="shared" si="2"/>
        <v>121410</v>
      </c>
    </row>
    <row r="21" spans="1:15" ht="24" x14ac:dyDescent="0.25">
      <c r="A21" s="129" t="s">
        <v>151</v>
      </c>
      <c r="B21" s="154" t="s">
        <v>159</v>
      </c>
      <c r="C21" s="306"/>
      <c r="D21" s="306">
        <f>2*(20235/16)*12</f>
        <v>30352.5</v>
      </c>
      <c r="E21" s="306"/>
      <c r="F21" s="306">
        <f>2*(20235/16)*12</f>
        <v>30352.5</v>
      </c>
      <c r="G21" s="306"/>
      <c r="H21" s="306">
        <f>2*(20235/16)*12</f>
        <v>30352.5</v>
      </c>
      <c r="I21" s="306"/>
      <c r="J21" s="306">
        <f>2*(20235/16)*12</f>
        <v>30352.5</v>
      </c>
      <c r="K21" s="303"/>
      <c r="L21" s="303"/>
      <c r="M21" s="136">
        <f t="shared" si="0"/>
        <v>0</v>
      </c>
      <c r="N21" s="147">
        <f t="shared" si="1"/>
        <v>121410</v>
      </c>
      <c r="O21" s="135">
        <f t="shared" si="2"/>
        <v>121410</v>
      </c>
    </row>
    <row r="22" spans="1:15" ht="24" x14ac:dyDescent="0.25">
      <c r="A22" s="129" t="s">
        <v>143</v>
      </c>
      <c r="B22" s="149" t="s">
        <v>153</v>
      </c>
      <c r="C22" s="303"/>
      <c r="D22" s="304">
        <f>3*(20235/16)*12</f>
        <v>45528.75</v>
      </c>
      <c r="E22" s="304"/>
      <c r="F22" s="304">
        <f>3*(20235/16)*12</f>
        <v>45528.75</v>
      </c>
      <c r="G22" s="304"/>
      <c r="H22" s="304">
        <f>3*(20235/16)*12</f>
        <v>45528.75</v>
      </c>
      <c r="I22" s="303"/>
      <c r="J22" s="303">
        <f>3*(20235/16)*12</f>
        <v>45528.75</v>
      </c>
      <c r="K22" s="303"/>
      <c r="L22" s="303"/>
      <c r="M22" s="136">
        <f t="shared" si="0"/>
        <v>0</v>
      </c>
      <c r="N22" s="147">
        <f t="shared" si="1"/>
        <v>182115</v>
      </c>
      <c r="O22" s="135">
        <f t="shared" si="2"/>
        <v>182115</v>
      </c>
    </row>
    <row r="23" spans="1:15" ht="13.8" x14ac:dyDescent="0.25">
      <c r="A23" s="129" t="s">
        <v>144</v>
      </c>
      <c r="B23" s="149" t="s">
        <v>154</v>
      </c>
      <c r="C23" s="303"/>
      <c r="D23" s="304">
        <f>3*(20235/16)*12</f>
        <v>45528.75</v>
      </c>
      <c r="E23" s="304"/>
      <c r="F23" s="304">
        <f>3*(20235/16)*12</f>
        <v>45528.75</v>
      </c>
      <c r="G23" s="304"/>
      <c r="H23" s="304">
        <f>3*(20235/16)*12</f>
        <v>45528.75</v>
      </c>
      <c r="I23" s="303"/>
      <c r="J23" s="303">
        <f>3*(20235/16)*12</f>
        <v>45528.75</v>
      </c>
      <c r="K23" s="303"/>
      <c r="L23" s="303"/>
      <c r="M23" s="136">
        <f t="shared" si="0"/>
        <v>0</v>
      </c>
      <c r="N23" s="147">
        <f t="shared" si="1"/>
        <v>182115</v>
      </c>
      <c r="O23" s="135">
        <f t="shared" si="2"/>
        <v>182115</v>
      </c>
    </row>
    <row r="24" spans="1:15" ht="24" x14ac:dyDescent="0.25">
      <c r="A24" s="129" t="s">
        <v>248</v>
      </c>
      <c r="B24" s="149" t="s">
        <v>249</v>
      </c>
      <c r="C24" s="303">
        <v>25000</v>
      </c>
      <c r="D24" s="304"/>
      <c r="E24" s="304"/>
      <c r="F24" s="304"/>
      <c r="G24" s="304"/>
      <c r="H24" s="304"/>
      <c r="I24" s="303"/>
      <c r="J24" s="303"/>
      <c r="K24" s="305"/>
      <c r="L24" s="305"/>
      <c r="M24" s="136">
        <f t="shared" si="0"/>
        <v>25000</v>
      </c>
      <c r="N24" s="147">
        <f t="shared" si="1"/>
        <v>0</v>
      </c>
      <c r="O24" s="135">
        <f t="shared" si="2"/>
        <v>25000</v>
      </c>
    </row>
    <row r="25" spans="1:15" ht="24" x14ac:dyDescent="0.25">
      <c r="A25" s="129" t="s">
        <v>253</v>
      </c>
      <c r="B25" s="154" t="s">
        <v>155</v>
      </c>
      <c r="C25" s="306"/>
      <c r="D25" s="306">
        <f>2*(20235/16)*12</f>
        <v>30352.5</v>
      </c>
      <c r="E25" s="306"/>
      <c r="F25" s="306">
        <f>2*(20235/16)*12</f>
        <v>30352.5</v>
      </c>
      <c r="G25" s="306"/>
      <c r="H25" s="306">
        <f>2*(20235/16)*12</f>
        <v>30352.5</v>
      </c>
      <c r="I25" s="306"/>
      <c r="J25" s="306">
        <f>2*(20235/16)*12</f>
        <v>30352.5</v>
      </c>
      <c r="K25" s="303"/>
      <c r="L25" s="303"/>
      <c r="M25" s="136">
        <f t="shared" si="0"/>
        <v>0</v>
      </c>
      <c r="N25" s="147">
        <f t="shared" si="1"/>
        <v>121410</v>
      </c>
      <c r="O25" s="135">
        <f t="shared" si="2"/>
        <v>121410</v>
      </c>
    </row>
    <row r="26" spans="1:15" ht="24" customHeight="1" x14ac:dyDescent="0.25">
      <c r="A26" s="129" t="s">
        <v>148</v>
      </c>
      <c r="B26" s="154" t="s">
        <v>156</v>
      </c>
      <c r="C26" s="306"/>
      <c r="D26" s="306">
        <f>2*(20235/16)*12</f>
        <v>30352.5</v>
      </c>
      <c r="E26" s="306"/>
      <c r="F26" s="306">
        <f>2*(20235/16)*12</f>
        <v>30352.5</v>
      </c>
      <c r="G26" s="306"/>
      <c r="H26" s="306">
        <f>2*(20235/16)*12</f>
        <v>30352.5</v>
      </c>
      <c r="I26" s="306"/>
      <c r="J26" s="306">
        <f>2*(20235/16)*12</f>
        <v>30352.5</v>
      </c>
      <c r="K26" s="303"/>
      <c r="L26" s="303"/>
      <c r="M26" s="136">
        <f t="shared" si="0"/>
        <v>0</v>
      </c>
      <c r="N26" s="147">
        <f t="shared" si="1"/>
        <v>121410</v>
      </c>
      <c r="O26" s="135">
        <f t="shared" si="2"/>
        <v>121410</v>
      </c>
    </row>
    <row r="27" spans="1:15" ht="24" x14ac:dyDescent="0.25">
      <c r="A27" s="129" t="s">
        <v>149</v>
      </c>
      <c r="B27" s="154" t="s">
        <v>157</v>
      </c>
      <c r="C27" s="306"/>
      <c r="D27" s="306">
        <f>2*(20235/16)*12</f>
        <v>30352.5</v>
      </c>
      <c r="E27" s="306"/>
      <c r="F27" s="306">
        <f>2*(20235/16)*12</f>
        <v>30352.5</v>
      </c>
      <c r="G27" s="306"/>
      <c r="H27" s="306">
        <f>2*(20235/16)*12</f>
        <v>30352.5</v>
      </c>
      <c r="I27" s="306"/>
      <c r="J27" s="306">
        <f>2*(20235/16)*12</f>
        <v>30352.5</v>
      </c>
      <c r="K27" s="303"/>
      <c r="L27" s="303"/>
      <c r="M27" s="136">
        <f t="shared" si="0"/>
        <v>0</v>
      </c>
      <c r="N27" s="147">
        <f t="shared" si="1"/>
        <v>121410</v>
      </c>
      <c r="O27" s="135">
        <f t="shared" si="2"/>
        <v>121410</v>
      </c>
    </row>
    <row r="28" spans="1:15" ht="13.8" x14ac:dyDescent="0.25">
      <c r="A28" s="157" t="s">
        <v>254</v>
      </c>
      <c r="B28" s="154" t="s">
        <v>136</v>
      </c>
      <c r="C28" s="307"/>
      <c r="D28" s="307">
        <v>117000</v>
      </c>
      <c r="E28" s="307"/>
      <c r="F28" s="307">
        <v>63000</v>
      </c>
      <c r="G28" s="307"/>
      <c r="H28" s="307">
        <v>63000</v>
      </c>
      <c r="I28" s="307"/>
      <c r="J28" s="307"/>
      <c r="K28" s="307"/>
      <c r="L28" s="307"/>
      <c r="M28" s="136">
        <f t="shared" si="0"/>
        <v>0</v>
      </c>
      <c r="N28" s="147">
        <f t="shared" si="1"/>
        <v>243000</v>
      </c>
      <c r="O28" s="135">
        <f t="shared" si="2"/>
        <v>243000</v>
      </c>
    </row>
    <row r="29" spans="1:15" ht="31.5" customHeight="1" x14ac:dyDescent="0.25">
      <c r="A29" s="157" t="s">
        <v>267</v>
      </c>
      <c r="B29" s="125" t="s">
        <v>268</v>
      </c>
      <c r="C29" s="307"/>
      <c r="D29" s="307"/>
      <c r="E29" s="307"/>
      <c r="F29" s="307">
        <f>(23270/16)*4</f>
        <v>5817.5</v>
      </c>
      <c r="G29" s="307"/>
      <c r="H29" s="307"/>
      <c r="I29" s="307"/>
      <c r="J29" s="307"/>
      <c r="K29" s="307"/>
      <c r="L29" s="307"/>
      <c r="M29" s="136">
        <f t="shared" si="0"/>
        <v>0</v>
      </c>
      <c r="N29" s="147">
        <f t="shared" si="1"/>
        <v>5817.5</v>
      </c>
      <c r="O29" s="135">
        <f t="shared" si="2"/>
        <v>5817.5</v>
      </c>
    </row>
    <row r="30" spans="1:15" ht="24" x14ac:dyDescent="0.25">
      <c r="A30" s="157" t="s">
        <v>269</v>
      </c>
      <c r="B30" s="125" t="s">
        <v>140</v>
      </c>
      <c r="C30" s="307"/>
      <c r="D30" s="307">
        <f>2*(20235/16)*12</f>
        <v>30352.5</v>
      </c>
      <c r="E30" s="307"/>
      <c r="F30" s="307">
        <f>2*(20235/16)*12</f>
        <v>30352.5</v>
      </c>
      <c r="G30" s="307"/>
      <c r="H30" s="307">
        <f>2*(20235/16)*12</f>
        <v>30352.5</v>
      </c>
      <c r="I30" s="307"/>
      <c r="J30" s="307">
        <f>2*(20235/16)*12</f>
        <v>30352.5</v>
      </c>
      <c r="K30" s="307"/>
      <c r="L30" s="307"/>
      <c r="M30" s="136">
        <f t="shared" si="0"/>
        <v>0</v>
      </c>
      <c r="N30" s="147">
        <f t="shared" si="1"/>
        <v>121410</v>
      </c>
      <c r="O30" s="135">
        <f t="shared" si="2"/>
        <v>121410</v>
      </c>
    </row>
    <row r="31" spans="1:15" ht="13.8" x14ac:dyDescent="0.25">
      <c r="A31" s="157" t="s">
        <v>255</v>
      </c>
      <c r="B31" s="154" t="s">
        <v>137</v>
      </c>
      <c r="C31" s="307"/>
      <c r="D31" s="307">
        <f>2*(20235/16)*12</f>
        <v>30352.5</v>
      </c>
      <c r="E31" s="307"/>
      <c r="F31" s="307">
        <f>2*(20235/16)*12</f>
        <v>30352.5</v>
      </c>
      <c r="G31" s="307"/>
      <c r="H31" s="307">
        <f>2*(20235/16)*12</f>
        <v>30352.5</v>
      </c>
      <c r="I31" s="307"/>
      <c r="J31" s="307">
        <f>2*(20235/16)*12</f>
        <v>30352.5</v>
      </c>
      <c r="K31" s="307"/>
      <c r="L31" s="307"/>
      <c r="M31" s="136">
        <f t="shared" si="0"/>
        <v>0</v>
      </c>
      <c r="N31" s="147">
        <f t="shared" si="1"/>
        <v>121410</v>
      </c>
      <c r="O31" s="135">
        <f t="shared" si="2"/>
        <v>121410</v>
      </c>
    </row>
    <row r="32" spans="1:15" ht="38.25" customHeight="1" x14ac:dyDescent="0.25">
      <c r="A32" s="157" t="s">
        <v>256</v>
      </c>
      <c r="B32" s="125" t="s">
        <v>257</v>
      </c>
      <c r="C32" s="307"/>
      <c r="D32" s="307">
        <f>4*(20235/16)*12</f>
        <v>60705</v>
      </c>
      <c r="E32" s="307"/>
      <c r="F32" s="307">
        <f>4*(20235/16)*12</f>
        <v>60705</v>
      </c>
      <c r="G32" s="307"/>
      <c r="H32" s="307">
        <f>4*(20235/16)*12</f>
        <v>60705</v>
      </c>
      <c r="I32" s="307"/>
      <c r="J32" s="307">
        <f>4*(20235/16)*12</f>
        <v>60705</v>
      </c>
      <c r="K32" s="307"/>
      <c r="L32" s="307"/>
      <c r="M32" s="136">
        <f t="shared" si="0"/>
        <v>0</v>
      </c>
      <c r="N32" s="147">
        <f t="shared" si="1"/>
        <v>242820</v>
      </c>
      <c r="O32" s="135">
        <f t="shared" si="2"/>
        <v>242820</v>
      </c>
    </row>
    <row r="33" spans="1:16" ht="24" x14ac:dyDescent="0.25">
      <c r="A33" s="157" t="s">
        <v>265</v>
      </c>
      <c r="B33" s="161" t="s">
        <v>138</v>
      </c>
      <c r="C33" s="307"/>
      <c r="D33" s="307"/>
      <c r="E33" s="307"/>
      <c r="F33" s="307">
        <f>(23270/16)*6</f>
        <v>8726.25</v>
      </c>
      <c r="G33" s="307"/>
      <c r="H33" s="307"/>
      <c r="I33" s="307"/>
      <c r="J33" s="307"/>
      <c r="K33" s="307"/>
      <c r="L33" s="307"/>
      <c r="M33" s="136">
        <f t="shared" si="0"/>
        <v>0</v>
      </c>
      <c r="N33" s="147">
        <f t="shared" si="1"/>
        <v>8726.25</v>
      </c>
      <c r="O33" s="135">
        <f t="shared" si="2"/>
        <v>8726.25</v>
      </c>
    </row>
    <row r="34" spans="1:16" ht="24" x14ac:dyDescent="0.25">
      <c r="A34" s="157" t="s">
        <v>266</v>
      </c>
      <c r="B34" s="125" t="s">
        <v>139</v>
      </c>
      <c r="C34" s="307"/>
      <c r="D34" s="307">
        <f>(23270/16)*4</f>
        <v>5817.5</v>
      </c>
      <c r="E34" s="307"/>
      <c r="F34" s="307"/>
      <c r="G34" s="307"/>
      <c r="H34" s="307"/>
      <c r="I34" s="307"/>
      <c r="J34" s="307"/>
      <c r="K34" s="307"/>
      <c r="L34" s="307"/>
      <c r="M34" s="136">
        <f t="shared" si="0"/>
        <v>0</v>
      </c>
      <c r="N34" s="147">
        <f t="shared" si="1"/>
        <v>5817.5</v>
      </c>
      <c r="O34" s="135">
        <f t="shared" si="2"/>
        <v>5817.5</v>
      </c>
    </row>
    <row r="35" spans="1:16" ht="13.8" x14ac:dyDescent="0.25">
      <c r="A35" s="129" t="s">
        <v>160</v>
      </c>
      <c r="B35" s="143" t="s">
        <v>161</v>
      </c>
      <c r="C35" s="306"/>
      <c r="D35" s="306"/>
      <c r="E35" s="306"/>
      <c r="F35" s="306"/>
      <c r="G35" s="306"/>
      <c r="H35" s="307"/>
      <c r="I35" s="307"/>
      <c r="J35" s="307"/>
      <c r="K35" s="308"/>
      <c r="L35" s="307"/>
      <c r="M35" s="136">
        <f t="shared" si="0"/>
        <v>0</v>
      </c>
      <c r="N35" s="147">
        <f t="shared" si="1"/>
        <v>0</v>
      </c>
      <c r="O35" s="135">
        <f t="shared" si="2"/>
        <v>0</v>
      </c>
      <c r="P35" s="371">
        <f>SUM(N36:N45)</f>
        <v>6054060.75</v>
      </c>
    </row>
    <row r="36" spans="1:16" ht="13.8" x14ac:dyDescent="0.25">
      <c r="A36" s="129" t="s">
        <v>275</v>
      </c>
      <c r="B36" s="232" t="s">
        <v>172</v>
      </c>
      <c r="C36" s="309"/>
      <c r="D36" s="309">
        <v>134250</v>
      </c>
      <c r="E36" s="309"/>
      <c r="F36" s="309">
        <v>63000</v>
      </c>
      <c r="G36" s="309"/>
      <c r="H36" s="310">
        <v>63000</v>
      </c>
      <c r="I36" s="310"/>
      <c r="J36" s="310"/>
      <c r="K36" s="310"/>
      <c r="L36" s="310"/>
      <c r="M36" s="136">
        <f t="shared" si="0"/>
        <v>0</v>
      </c>
      <c r="N36" s="147">
        <f t="shared" si="1"/>
        <v>260250</v>
      </c>
      <c r="O36" s="135">
        <f t="shared" si="2"/>
        <v>260250</v>
      </c>
    </row>
    <row r="37" spans="1:16" ht="24" x14ac:dyDescent="0.25">
      <c r="A37" s="129" t="s">
        <v>171</v>
      </c>
      <c r="B37" s="143" t="s">
        <v>276</v>
      </c>
      <c r="C37" s="306"/>
      <c r="D37" s="306">
        <f>12*(23270/16)*4</f>
        <v>69810</v>
      </c>
      <c r="E37" s="306"/>
      <c r="F37" s="306">
        <f>12*(23270/16)*4</f>
        <v>69810</v>
      </c>
      <c r="G37" s="306"/>
      <c r="H37" s="307">
        <f>12*(23270/16)*4</f>
        <v>69810</v>
      </c>
      <c r="I37" s="307"/>
      <c r="J37" s="307"/>
      <c r="K37" s="307"/>
      <c r="L37" s="307"/>
      <c r="M37" s="136">
        <f t="shared" si="0"/>
        <v>0</v>
      </c>
      <c r="N37" s="147">
        <f t="shared" si="1"/>
        <v>209430</v>
      </c>
      <c r="O37" s="138">
        <f t="shared" si="2"/>
        <v>209430</v>
      </c>
    </row>
    <row r="38" spans="1:16" ht="24" x14ac:dyDescent="0.25">
      <c r="A38" s="129" t="s">
        <v>162</v>
      </c>
      <c r="B38" s="143" t="s">
        <v>163</v>
      </c>
      <c r="C38" s="306"/>
      <c r="D38" s="306">
        <f>((31364/16)*3*6)+(1*(17454/16)*6)</f>
        <v>41829.75</v>
      </c>
      <c r="E38" s="306"/>
      <c r="F38" s="306"/>
      <c r="G38" s="306"/>
      <c r="H38" s="307"/>
      <c r="I38" s="307"/>
      <c r="J38" s="307"/>
      <c r="K38" s="307"/>
      <c r="L38" s="307"/>
      <c r="M38" s="136">
        <f t="shared" si="0"/>
        <v>0</v>
      </c>
      <c r="N38" s="147">
        <f t="shared" si="1"/>
        <v>41829.75</v>
      </c>
      <c r="O38" s="138">
        <f t="shared" si="2"/>
        <v>41829.75</v>
      </c>
    </row>
    <row r="39" spans="1:16" ht="13.8" x14ac:dyDescent="0.25">
      <c r="A39" s="129" t="s">
        <v>164</v>
      </c>
      <c r="B39" s="143" t="s">
        <v>165</v>
      </c>
      <c r="C39" s="306"/>
      <c r="D39" s="306">
        <f>+(17*(31364/16)*12)+(20*(23270/16)*12)+(1*(17454/16)*12)</f>
        <v>762031.5</v>
      </c>
      <c r="E39" s="306"/>
      <c r="F39" s="306">
        <f>+(18*(31364/16)*12)+(34*(23270/16)*12)</f>
        <v>1016799</v>
      </c>
      <c r="G39" s="306"/>
      <c r="H39" s="307">
        <f>+(31*(31364/16)*12)+(52*(17454/16)*12)</f>
        <v>1409919</v>
      </c>
      <c r="I39" s="307"/>
      <c r="J39" s="307"/>
      <c r="K39" s="307"/>
      <c r="L39" s="307"/>
      <c r="M39" s="136">
        <f t="shared" ref="M39:M55" si="3">+K39+I39+G39+E39+C39</f>
        <v>0</v>
      </c>
      <c r="N39" s="147">
        <f t="shared" ref="N39:N55" si="4">+D39+F39+H39+J39+L39</f>
        <v>3188749.5</v>
      </c>
      <c r="O39" s="138">
        <f t="shared" ref="O39:O70" si="5">+N39+M39</f>
        <v>3188749.5</v>
      </c>
    </row>
    <row r="40" spans="1:16" ht="24" x14ac:dyDescent="0.25">
      <c r="A40" s="129" t="s">
        <v>166</v>
      </c>
      <c r="B40" s="143" t="s">
        <v>167</v>
      </c>
      <c r="C40" s="306"/>
      <c r="D40" s="306">
        <f>12*(20235/16)*2</f>
        <v>30352.5</v>
      </c>
      <c r="E40" s="306"/>
      <c r="F40" s="306">
        <f>12*(20235/16)*2</f>
        <v>30352.5</v>
      </c>
      <c r="G40" s="306"/>
      <c r="H40" s="307">
        <f>12*(20235/16)*2</f>
        <v>30352.5</v>
      </c>
      <c r="I40" s="307"/>
      <c r="J40" s="307">
        <f>12*(20235/16)*2</f>
        <v>30352.5</v>
      </c>
      <c r="K40" s="307"/>
      <c r="L40" s="307"/>
      <c r="M40" s="136">
        <f t="shared" si="3"/>
        <v>0</v>
      </c>
      <c r="N40" s="147">
        <f t="shared" si="4"/>
        <v>121410</v>
      </c>
      <c r="O40" s="138">
        <f t="shared" si="5"/>
        <v>121410</v>
      </c>
    </row>
    <row r="41" spans="1:16" ht="13.8" x14ac:dyDescent="0.25">
      <c r="A41" s="129" t="s">
        <v>168</v>
      </c>
      <c r="B41" s="143" t="s">
        <v>169</v>
      </c>
      <c r="C41" s="309"/>
      <c r="D41" s="309">
        <f>12*(17454/16)*2</f>
        <v>26181</v>
      </c>
      <c r="E41" s="309"/>
      <c r="F41" s="309">
        <f>12*(17454/16)*2</f>
        <v>26181</v>
      </c>
      <c r="G41" s="309"/>
      <c r="H41" s="310">
        <f>12*(17454/16)*2</f>
        <v>26181</v>
      </c>
      <c r="I41" s="310"/>
      <c r="J41" s="310">
        <f>12*(17454/16)*2</f>
        <v>26181</v>
      </c>
      <c r="K41" s="310"/>
      <c r="L41" s="310"/>
      <c r="M41" s="136">
        <f t="shared" si="3"/>
        <v>0</v>
      </c>
      <c r="N41" s="147">
        <f t="shared" si="4"/>
        <v>104724</v>
      </c>
      <c r="O41" s="135">
        <f t="shared" si="5"/>
        <v>104724</v>
      </c>
    </row>
    <row r="42" spans="1:16" ht="33" customHeight="1" x14ac:dyDescent="0.25">
      <c r="A42" s="129" t="s">
        <v>173</v>
      </c>
      <c r="B42" s="143" t="s">
        <v>277</v>
      </c>
      <c r="C42" s="309"/>
      <c r="D42" s="309">
        <f>2*(23270/16)*12</f>
        <v>34905</v>
      </c>
      <c r="E42" s="309"/>
      <c r="F42" s="309">
        <f>2*(23270/16)*12</f>
        <v>34905</v>
      </c>
      <c r="G42" s="309"/>
      <c r="H42" s="310"/>
      <c r="I42" s="310"/>
      <c r="J42" s="310"/>
      <c r="K42" s="311"/>
      <c r="L42" s="311"/>
      <c r="M42" s="136">
        <f t="shared" si="3"/>
        <v>0</v>
      </c>
      <c r="N42" s="147">
        <f t="shared" si="4"/>
        <v>69810</v>
      </c>
      <c r="O42" s="135">
        <f t="shared" si="5"/>
        <v>69810</v>
      </c>
    </row>
    <row r="43" spans="1:16" ht="24" x14ac:dyDescent="0.25">
      <c r="A43" s="129" t="s">
        <v>280</v>
      </c>
      <c r="B43" s="143" t="s">
        <v>175</v>
      </c>
      <c r="C43" s="309"/>
      <c r="D43" s="309">
        <f>19*(23270/16)*12</f>
        <v>331597.5</v>
      </c>
      <c r="E43" s="309"/>
      <c r="F43" s="309">
        <f>40*(23270/16)*12</f>
        <v>698100</v>
      </c>
      <c r="G43" s="309"/>
      <c r="H43" s="310">
        <f>40*(23270/16)*12</f>
        <v>698100</v>
      </c>
      <c r="I43" s="310"/>
      <c r="J43" s="310"/>
      <c r="K43" s="311"/>
      <c r="L43" s="311"/>
      <c r="M43" s="136">
        <f t="shared" si="3"/>
        <v>0</v>
      </c>
      <c r="N43" s="147">
        <f t="shared" si="4"/>
        <v>1727797.5</v>
      </c>
      <c r="O43" s="135">
        <f t="shared" si="5"/>
        <v>1727797.5</v>
      </c>
    </row>
    <row r="44" spans="1:16" ht="36" x14ac:dyDescent="0.25">
      <c r="A44" s="129" t="s">
        <v>174</v>
      </c>
      <c r="B44" s="187" t="s">
        <v>281</v>
      </c>
      <c r="C44" s="309"/>
      <c r="D44" s="309">
        <f>2*(23270/16)*12</f>
        <v>34905</v>
      </c>
      <c r="E44" s="309"/>
      <c r="F44" s="309">
        <f>2*(23270/16)*12</f>
        <v>34905</v>
      </c>
      <c r="G44" s="309"/>
      <c r="H44" s="310"/>
      <c r="I44" s="310"/>
      <c r="J44" s="310"/>
      <c r="K44" s="311"/>
      <c r="L44" s="311"/>
      <c r="M44" s="136">
        <f t="shared" si="3"/>
        <v>0</v>
      </c>
      <c r="N44" s="147">
        <f t="shared" si="4"/>
        <v>69810</v>
      </c>
      <c r="O44" s="135">
        <f t="shared" si="5"/>
        <v>69810</v>
      </c>
    </row>
    <row r="45" spans="1:16" ht="13.8" x14ac:dyDescent="0.25">
      <c r="A45" s="129" t="s">
        <v>176</v>
      </c>
      <c r="B45" s="143" t="s">
        <v>172</v>
      </c>
      <c r="C45" s="309"/>
      <c r="D45" s="309">
        <v>134250</v>
      </c>
      <c r="E45" s="309"/>
      <c r="F45" s="309">
        <v>63000</v>
      </c>
      <c r="G45" s="309"/>
      <c r="H45" s="310">
        <v>63000</v>
      </c>
      <c r="I45" s="310"/>
      <c r="J45" s="310"/>
      <c r="K45" s="311"/>
      <c r="L45" s="311"/>
      <c r="M45" s="136">
        <f t="shared" si="3"/>
        <v>0</v>
      </c>
      <c r="N45" s="147">
        <f t="shared" si="4"/>
        <v>260250</v>
      </c>
      <c r="O45" s="135">
        <f t="shared" si="5"/>
        <v>260250</v>
      </c>
    </row>
    <row r="46" spans="1:16" ht="36" x14ac:dyDescent="0.25">
      <c r="A46" s="129" t="s">
        <v>177</v>
      </c>
      <c r="B46" s="187" t="s">
        <v>283</v>
      </c>
      <c r="C46" s="312"/>
      <c r="D46" s="312">
        <f>6*(23270/16)*12</f>
        <v>104715</v>
      </c>
      <c r="E46" s="312"/>
      <c r="F46" s="312">
        <f>6*(23270/16)*12</f>
        <v>104715</v>
      </c>
      <c r="G46" s="312"/>
      <c r="H46" s="312">
        <f>6*(23270/16)*12</f>
        <v>104715</v>
      </c>
      <c r="I46" s="312"/>
      <c r="J46" s="312">
        <f>6*(23270/16)*12</f>
        <v>104715</v>
      </c>
      <c r="K46" s="313"/>
      <c r="L46" s="314"/>
      <c r="M46" s="136">
        <f t="shared" si="3"/>
        <v>0</v>
      </c>
      <c r="N46" s="147">
        <f t="shared" si="4"/>
        <v>418860</v>
      </c>
      <c r="O46" s="135">
        <f t="shared" si="5"/>
        <v>418860</v>
      </c>
      <c r="P46" s="371">
        <f>SUM(N46:N55)</f>
        <v>8026881.75</v>
      </c>
    </row>
    <row r="47" spans="1:16" ht="33.75" customHeight="1" x14ac:dyDescent="0.25">
      <c r="A47" s="129" t="s">
        <v>178</v>
      </c>
      <c r="B47" s="169" t="s">
        <v>179</v>
      </c>
      <c r="C47" s="312"/>
      <c r="D47" s="312">
        <f>3*(23270/16)*6</f>
        <v>26178.75</v>
      </c>
      <c r="E47" s="312"/>
      <c r="F47" s="312"/>
      <c r="G47" s="312"/>
      <c r="H47" s="312"/>
      <c r="I47" s="312"/>
      <c r="J47" s="312"/>
      <c r="K47" s="315"/>
      <c r="L47" s="315"/>
      <c r="M47" s="136">
        <f t="shared" si="3"/>
        <v>0</v>
      </c>
      <c r="N47" s="147">
        <f t="shared" si="4"/>
        <v>26178.75</v>
      </c>
      <c r="O47" s="135">
        <f t="shared" si="5"/>
        <v>26178.75</v>
      </c>
    </row>
    <row r="48" spans="1:16" ht="33.75" customHeight="1" x14ac:dyDescent="0.25">
      <c r="A48" s="129" t="s">
        <v>180</v>
      </c>
      <c r="B48" s="169" t="s">
        <v>181</v>
      </c>
      <c r="C48" s="312"/>
      <c r="D48" s="312">
        <f>6*(31364/16)*12</f>
        <v>141138</v>
      </c>
      <c r="E48" s="312"/>
      <c r="F48" s="312">
        <f>6*(31364/16)*12</f>
        <v>141138</v>
      </c>
      <c r="G48" s="312"/>
      <c r="H48" s="312">
        <f>6*(31364/16)*12</f>
        <v>141138</v>
      </c>
      <c r="I48" s="312"/>
      <c r="J48" s="314"/>
      <c r="K48" s="316"/>
      <c r="L48" s="314"/>
      <c r="M48" s="136">
        <f t="shared" si="3"/>
        <v>0</v>
      </c>
      <c r="N48" s="147">
        <f t="shared" si="4"/>
        <v>423414</v>
      </c>
      <c r="O48" s="135">
        <f t="shared" si="5"/>
        <v>423414</v>
      </c>
    </row>
    <row r="49" spans="1:21" ht="45" customHeight="1" x14ac:dyDescent="0.25">
      <c r="A49" s="129" t="s">
        <v>182</v>
      </c>
      <c r="B49" s="169" t="s">
        <v>183</v>
      </c>
      <c r="C49" s="312"/>
      <c r="D49" s="312">
        <f>4*(23270/16)*12</f>
        <v>69810</v>
      </c>
      <c r="E49" s="312"/>
      <c r="F49" s="312">
        <f>4*(23270/16)*12</f>
        <v>69810</v>
      </c>
      <c r="G49" s="312"/>
      <c r="H49" s="312">
        <f>4*(23270/16)*12</f>
        <v>69810</v>
      </c>
      <c r="I49" s="312"/>
      <c r="J49" s="312">
        <f>4*(23270/16)*12</f>
        <v>69810</v>
      </c>
      <c r="K49" s="315"/>
      <c r="L49" s="314"/>
      <c r="M49" s="136">
        <f t="shared" si="3"/>
        <v>0</v>
      </c>
      <c r="N49" s="147">
        <f t="shared" si="4"/>
        <v>279240</v>
      </c>
      <c r="O49" s="135">
        <f t="shared" si="5"/>
        <v>279240</v>
      </c>
    </row>
    <row r="50" spans="1:21" ht="27" customHeight="1" x14ac:dyDescent="0.25">
      <c r="A50" s="129" t="s">
        <v>184</v>
      </c>
      <c r="B50" s="187" t="s">
        <v>284</v>
      </c>
      <c r="C50" s="311"/>
      <c r="D50" s="311">
        <f>3*(23270/16)*12</f>
        <v>52357.5</v>
      </c>
      <c r="E50" s="311"/>
      <c r="F50" s="311">
        <f>3*(23270/16)*12</f>
        <v>52357.5</v>
      </c>
      <c r="G50" s="311"/>
      <c r="H50" s="311">
        <f>3*(23270/16)*12</f>
        <v>52357.5</v>
      </c>
      <c r="I50" s="311"/>
      <c r="J50" s="313">
        <f>3*(23270/16)*12</f>
        <v>52357.5</v>
      </c>
      <c r="K50" s="311"/>
      <c r="L50" s="311"/>
      <c r="M50" s="136">
        <f t="shared" si="3"/>
        <v>0</v>
      </c>
      <c r="N50" s="147">
        <f t="shared" si="4"/>
        <v>209430</v>
      </c>
      <c r="O50" s="135">
        <f t="shared" si="5"/>
        <v>209430</v>
      </c>
    </row>
    <row r="51" spans="1:21" ht="13.8" x14ac:dyDescent="0.25">
      <c r="A51" s="129" t="s">
        <v>290</v>
      </c>
      <c r="B51" s="143" t="s">
        <v>185</v>
      </c>
      <c r="C51" s="311"/>
      <c r="D51" s="311">
        <f>(1*37000/16*12)+(4*27317/16*12)</f>
        <v>109701</v>
      </c>
      <c r="E51" s="311"/>
      <c r="F51" s="311">
        <f>(1*37000/16*12)+(4*27317/16*12)</f>
        <v>109701</v>
      </c>
      <c r="G51" s="311"/>
      <c r="H51" s="311">
        <f>(1*37000/16*12)+(4*27317/16*12)</f>
        <v>109701</v>
      </c>
      <c r="I51" s="311"/>
      <c r="J51" s="317"/>
      <c r="K51" s="319"/>
      <c r="L51" s="332"/>
      <c r="M51" s="136">
        <f t="shared" si="3"/>
        <v>0</v>
      </c>
      <c r="N51" s="147">
        <f t="shared" si="4"/>
        <v>329103</v>
      </c>
      <c r="O51" s="135">
        <f t="shared" si="5"/>
        <v>329103</v>
      </c>
    </row>
    <row r="52" spans="1:21" ht="13.95" customHeight="1" x14ac:dyDescent="0.25">
      <c r="A52" s="172" t="s">
        <v>186</v>
      </c>
      <c r="B52" s="143" t="s">
        <v>187</v>
      </c>
      <c r="C52" s="311"/>
      <c r="D52" s="311">
        <v>1338552</v>
      </c>
      <c r="E52" s="311"/>
      <c r="F52" s="311">
        <v>1338552</v>
      </c>
      <c r="G52" s="311"/>
      <c r="H52" s="311">
        <v>1338552</v>
      </c>
      <c r="I52" s="311"/>
      <c r="J52" s="311">
        <v>1338552</v>
      </c>
      <c r="K52" s="302"/>
      <c r="L52" s="302"/>
      <c r="M52" s="136">
        <f t="shared" si="3"/>
        <v>0</v>
      </c>
      <c r="N52" s="147">
        <f t="shared" si="4"/>
        <v>5354208</v>
      </c>
      <c r="O52" s="135">
        <f t="shared" si="5"/>
        <v>5354208</v>
      </c>
    </row>
    <row r="53" spans="1:21" ht="24" x14ac:dyDescent="0.25">
      <c r="A53" s="172" t="s">
        <v>188</v>
      </c>
      <c r="B53" s="169" t="s">
        <v>189</v>
      </c>
      <c r="C53" s="318"/>
      <c r="D53" s="318">
        <f>4*(23270/16)*12</f>
        <v>69810</v>
      </c>
      <c r="E53" s="318"/>
      <c r="F53" s="318">
        <f>4*(23270/16)*12</f>
        <v>69810</v>
      </c>
      <c r="G53" s="318"/>
      <c r="H53" s="318"/>
      <c r="I53" s="318"/>
      <c r="J53" s="318"/>
      <c r="K53" s="319"/>
      <c r="L53" s="319"/>
      <c r="M53" s="136">
        <f t="shared" si="3"/>
        <v>0</v>
      </c>
      <c r="N53" s="147">
        <f t="shared" si="4"/>
        <v>139620</v>
      </c>
      <c r="O53" s="135">
        <f t="shared" si="5"/>
        <v>139620</v>
      </c>
    </row>
    <row r="54" spans="1:21" ht="24" x14ac:dyDescent="0.25">
      <c r="A54" s="321" t="s">
        <v>190</v>
      </c>
      <c r="B54" s="327" t="s">
        <v>191</v>
      </c>
      <c r="C54" s="322"/>
      <c r="D54" s="322">
        <f>6*(31364/16)*12</f>
        <v>141138</v>
      </c>
      <c r="E54" s="318"/>
      <c r="F54" s="318">
        <f>6*(31364/16)*12</f>
        <v>141138</v>
      </c>
      <c r="G54" s="318"/>
      <c r="H54" s="318">
        <f>6*(31364/16)*12</f>
        <v>141138</v>
      </c>
      <c r="I54" s="318"/>
      <c r="J54" s="318">
        <f>6*(31364/16)*12</f>
        <v>141138</v>
      </c>
      <c r="K54" s="319"/>
      <c r="L54" s="320"/>
      <c r="M54" s="136">
        <f t="shared" si="3"/>
        <v>0</v>
      </c>
      <c r="N54" s="147">
        <f t="shared" si="4"/>
        <v>564552</v>
      </c>
      <c r="O54" s="135">
        <f t="shared" si="5"/>
        <v>564552</v>
      </c>
    </row>
    <row r="55" spans="1:21" ht="21" customHeight="1" x14ac:dyDescent="0.25">
      <c r="A55" s="172" t="s">
        <v>192</v>
      </c>
      <c r="B55" s="169" t="s">
        <v>193</v>
      </c>
      <c r="C55" s="328"/>
      <c r="D55" s="328">
        <f>3*(31364/16)*12</f>
        <v>70569</v>
      </c>
      <c r="E55" s="322"/>
      <c r="F55" s="322">
        <f>3*(31364/16)*12</f>
        <v>70569</v>
      </c>
      <c r="G55" s="322"/>
      <c r="H55" s="322">
        <f>3*(31364/16)*12</f>
        <v>70569</v>
      </c>
      <c r="I55" s="322"/>
      <c r="J55" s="322">
        <f>3*(31364/16)*12</f>
        <v>70569</v>
      </c>
      <c r="K55" s="330"/>
      <c r="L55" s="331"/>
      <c r="M55" s="128">
        <f t="shared" si="3"/>
        <v>0</v>
      </c>
      <c r="N55" s="173">
        <f t="shared" si="4"/>
        <v>282276</v>
      </c>
      <c r="O55" s="174">
        <f t="shared" si="5"/>
        <v>282276</v>
      </c>
    </row>
    <row r="56" spans="1:21" x14ac:dyDescent="0.25">
      <c r="A56" s="323">
        <v>4.9000000000000004</v>
      </c>
      <c r="B56" s="324" t="s">
        <v>321</v>
      </c>
      <c r="C56" s="325"/>
      <c r="D56" s="326">
        <v>452000</v>
      </c>
      <c r="E56" s="301"/>
      <c r="F56" s="301"/>
      <c r="G56" s="301"/>
      <c r="H56" s="301"/>
      <c r="I56" s="301"/>
      <c r="J56" s="301"/>
      <c r="K56" s="301"/>
      <c r="L56" s="301"/>
      <c r="M56" s="301"/>
      <c r="N56" s="301"/>
      <c r="O56" s="301"/>
    </row>
    <row r="57" spans="1:21" ht="28.2" customHeight="1" x14ac:dyDescent="0.25">
      <c r="A57" s="298" t="s">
        <v>305</v>
      </c>
      <c r="B57" s="299" t="s">
        <v>194</v>
      </c>
      <c r="C57" s="192"/>
      <c r="D57" s="192">
        <f>452000</f>
        <v>452000</v>
      </c>
      <c r="E57" s="192"/>
      <c r="F57" s="192">
        <f>452000</f>
        <v>452000</v>
      </c>
      <c r="G57" s="192"/>
      <c r="H57" s="192">
        <f>452000</f>
        <v>452000</v>
      </c>
      <c r="I57" s="192"/>
      <c r="J57" s="192">
        <f>452000</f>
        <v>452000</v>
      </c>
      <c r="K57" s="192"/>
      <c r="L57" s="192"/>
      <c r="M57" s="133">
        <f>+K57+I57+G57+E57+C57</f>
        <v>0</v>
      </c>
      <c r="N57" s="147">
        <f>+D57+F57+H57+J57+L57</f>
        <v>1808000</v>
      </c>
      <c r="O57" s="135">
        <f>+N57+M57</f>
        <v>1808000</v>
      </c>
      <c r="S57" s="133"/>
      <c r="T57" s="134"/>
      <c r="U57" s="135"/>
    </row>
  </sheetData>
  <sortState ref="A6:O55">
    <sortCondition ref="A6:A55"/>
  </sortState>
  <mergeCells count="7">
    <mergeCell ref="A4:B4"/>
    <mergeCell ref="C4:D4"/>
    <mergeCell ref="E4:F4"/>
    <mergeCell ref="G4:H4"/>
    <mergeCell ref="I4:J4"/>
    <mergeCell ref="K4:L4"/>
    <mergeCell ref="M4:O4"/>
  </mergeCells>
  <pageMargins left="0.25" right="0.25" top="0.75" bottom="0.75" header="0.3" footer="0.3"/>
  <pageSetup scale="65"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 - Simultaneous Disclosure</Access_x0020_to_x0020_Information_x00a0_Policy>
    <SISCOR_x0020_Number xmlns="cdc7663a-08f0-4737-9e8c-148ce897a09c" xsi:nil="true"/>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Argentina</TermName>
          <TermId xmlns="http://schemas.microsoft.com/office/infopath/2007/PartnerControls">eb1b705c-195f-4c3b-9661-b201f2fee3c5</TermId>
        </TermInfo>
      </Terms>
    </ic46d7e087fd4a108fb86518ca413cc6>
    <IDBDocs_x0020_Number xmlns="cdc7663a-08f0-4737-9e8c-148ce897a09c" xsi:nil="true"/>
    <Division_x0020_or_x0020_Unit xmlns="cdc7663a-08f0-4737-9e8c-148ce897a09c">IFD/ICS</Division_x0020_or_x0020_Unit>
    <Fiscal_x0020_Year_x0020_IDB xmlns="cdc7663a-08f0-4737-9e8c-148ce897a09c">2017</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Monitoring and Reporting</TermName>
          <TermId xmlns="http://schemas.microsoft.com/office/infopath/2007/PartnerControls">df3c2aa1-d63e-41aa-b1f5-bb15dee691ca</TermId>
        </TermInfo>
      </Terms>
    </e46fe2894295491da65140ffd2369f49>
    <Other_x0020_Author xmlns="cdc7663a-08f0-4737-9e8c-148ce897a09c">Rojas Gonzalez, Sonia Amalia</Other_x0020_Author>
    <Migration_x0020_Info xmlns="cdc7663a-08f0-4737-9e8c-148ce897a09c" xsi:nil="true"/>
    <Approval_x0020_Number xmlns="cdc7663a-08f0-4737-9e8c-148ce897a09c" xsi:nil="true"/>
    <Phase xmlns="cdc7663a-08f0-4737-9e8c-148ce897a09c">ACTIVE</Phase>
    <Document_x0020_Author xmlns="cdc7663a-08f0-4737-9e8c-148ce897a09c">de Michele, Roberto</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NATIONAL STATISTICS SYSTEMS AND CENSUSES</TermName>
          <TermId xmlns="http://schemas.microsoft.com/office/infopath/2007/PartnerControls">360cfdd5-25a5-4528-aaed-eba3c6aa70b0</TermId>
        </TermInfo>
      </Terms>
    </b2ec7cfb18674cb8803df6b262e8b107>
    <Business_x0020_Area xmlns="cdc7663a-08f0-4737-9e8c-148ce897a09c">Life Cycle</Business_x0020_Area>
    <Key_x0020_Document xmlns="cdc7663a-08f0-4737-9e8c-148ce897a09c">false</Key_x0020_Document>
    <Document_x0020_Language_x0020_IDB xmlns="cdc7663a-08f0-4737-9e8c-148ce897a09c">Spanish</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ORC</TermName>
          <TermId xmlns="http://schemas.microsoft.com/office/infopath/2007/PartnerControls">c028a4b2-ad8b-4cf4-9cac-a2ae6a778e23</TermId>
        </TermInfo>
      </Terms>
    </g511464f9e53401d84b16fa9b379a574>
    <TaxCatchAll xmlns="cdc7663a-08f0-4737-9e8c-148ce897a09c">
      <Value>40</Value>
      <Value>4</Value>
      <Value>36</Value>
      <Value>8</Value>
      <Value>5</Value>
    </TaxCatchAll>
    <Operation_x0020_Type xmlns="cdc7663a-08f0-4737-9e8c-148ce897a09c">Loan Operation</Operation_x0020_Type>
    <Package_x0020_Code xmlns="cdc7663a-08f0-4737-9e8c-148ce897a09c" xsi:nil="true"/>
    <Identifier xmlns="cdc7663a-08f0-4737-9e8c-148ce897a09c" xsi:nil="true"/>
    <Project_x0020_Number xmlns="cdc7663a-08f0-4737-9e8c-148ce897a09c">AR-L1266</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REFORM / MODERNIZATION OF THE STATE</TermName>
          <TermId xmlns="http://schemas.microsoft.com/office/infopath/2007/PartnerControls">c8fda4a7-691a-4c65-b227-9825197b5cd2</TermId>
        </TermInfo>
      </Terms>
    </nddeef1749674d76abdbe4b239a70bc6>
    <Record_x0020_Number xmlns="cdc7663a-08f0-4737-9e8c-148ce897a09c">R0000467746</Record_x0020_Number>
    <_dlc_DocId xmlns="cdc7663a-08f0-4737-9e8c-148ce897a09c">EZSHARE-676894069-16</_dlc_DocId>
    <_dlc_DocIdUrl xmlns="cdc7663a-08f0-4737-9e8c-148ce897a09c">
      <Url>https://idbg.sharepoint.com/teams/EZ-AR-LON/AR-L1266/_layouts/15/DocIdRedir.aspx?ID=EZSHARE-676894069-16</Url>
      <Description>EZSHARE-676894069-16</Description>
    </_dlc_DocIdUrl>
    <Disclosure_x0020_Activity xmlns="cdc7663a-08f0-4737-9e8c-148ce897a09c">Loan Proposal</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2.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325CE81CFE684D41A78BB94A26B6A455" ma:contentTypeVersion="20" ma:contentTypeDescription="A content type to manage public (operations) IDB documents" ma:contentTypeScope="" ma:versionID="d2c7b9ef528ae76d0dc4d14a6072e617">
  <xsd:schema xmlns:xsd="http://www.w3.org/2001/XMLSchema" xmlns:xs="http://www.w3.org/2001/XMLSchema" xmlns:p="http://schemas.microsoft.com/office/2006/metadata/properties" xmlns:ns2="cdc7663a-08f0-4737-9e8c-148ce897a09c" targetNamespace="http://schemas.microsoft.com/office/2006/metadata/properties" ma:root="true" ma:fieldsID="52f75a97534f73305059e4ad7324dd19"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maxLength value="255"/>
        </xsd:restriction>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FormUrls xmlns="http://schemas.microsoft.com/sharepoint/v3/contenttype/forms/url">
  <Display>_catalogs/masterpage/ECMForms/DisclosureOperationsCT/View.aspx</Display>
  <Edit>_catalogs/masterpage/ECMForms/DisclosureOperationsCT/Edit.aspx</Edit>
</FormUrls>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6.xml><?xml version="1.0" encoding="utf-8"?>
<?mso-contentType ?>
<SharedContentType xmlns="Microsoft.SharePoint.Taxonomy.ContentTypeSync" SourceId="ae61f9b1-e23d-4f49-b3d7-56b991556c4b" ContentTypeId="0x0101001A458A224826124E8B45B1D613300CFC" PreviousValue="false"/>
</file>

<file path=customXml/itemProps1.xml><?xml version="1.0" encoding="utf-8"?>
<ds:datastoreItem xmlns:ds="http://schemas.openxmlformats.org/officeDocument/2006/customXml" ds:itemID="{9B823F2F-1F6C-4676-B294-5AF864F9F05F}">
  <ds:schemaRefs>
    <ds:schemaRef ds:uri="http://schemas.microsoft.com/sharepoint/v3"/>
    <ds:schemaRef ds:uri="http://purl.org/dc/dcmitype/"/>
    <ds:schemaRef ds:uri="http://www.w3.org/XML/1998/namespace"/>
    <ds:schemaRef ds:uri="http://purl.org/dc/elements/1.1/"/>
    <ds:schemaRef ds:uri="http://purl.org/dc/terms/"/>
    <ds:schemaRef ds:uri="http://schemas.microsoft.com/office/2006/documentManagement/types"/>
    <ds:schemaRef ds:uri="http://schemas.microsoft.com/office/infopath/2007/PartnerControls"/>
    <ds:schemaRef ds:uri="http://schemas.openxmlformats.org/package/2006/metadata/core-properties"/>
    <ds:schemaRef ds:uri="http://schemas.microsoft.com/office/2006/metadata/properties"/>
  </ds:schemaRefs>
</ds:datastoreItem>
</file>

<file path=customXml/itemProps2.xml><?xml version="1.0" encoding="utf-8"?>
<ds:datastoreItem xmlns:ds="http://schemas.openxmlformats.org/officeDocument/2006/customXml" ds:itemID="{48076D75-57C4-4443-94FB-3DDF45BC9100}"/>
</file>

<file path=customXml/itemProps3.xml><?xml version="1.0" encoding="utf-8"?>
<ds:datastoreItem xmlns:ds="http://schemas.openxmlformats.org/officeDocument/2006/customXml" ds:itemID="{D43DB4B7-F973-4C43-9F33-22FA1158DBA7}">
  <ds:schemaRefs>
    <ds:schemaRef ds:uri="http://schemas.microsoft.com/sharepoint/v3/contenttype/forms"/>
  </ds:schemaRefs>
</ds:datastoreItem>
</file>

<file path=customXml/itemProps4.xml><?xml version="1.0" encoding="utf-8"?>
<ds:datastoreItem xmlns:ds="http://schemas.openxmlformats.org/officeDocument/2006/customXml" ds:itemID="{891254CF-9D95-4711-AD20-21BA01ADD754}"/>
</file>

<file path=customXml/itemProps5.xml><?xml version="1.0" encoding="utf-8"?>
<ds:datastoreItem xmlns:ds="http://schemas.openxmlformats.org/officeDocument/2006/customXml" ds:itemID="{F736C287-47E6-4A97-9841-7B89DBAD7F24}"/>
</file>

<file path=customXml/itemProps6.xml><?xml version="1.0" encoding="utf-8"?>
<ds:datastoreItem xmlns:ds="http://schemas.openxmlformats.org/officeDocument/2006/customXml" ds:itemID="{FDE4BA78-6342-40B8-B706-69448D4261C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Estructura del Proyecto</vt:lpstr>
      <vt:lpstr>Plan de Adquisiciones</vt:lpstr>
      <vt:lpstr>Detalle Plan de Adquisiciones</vt:lpstr>
      <vt:lpstr>Adquisiciones principales</vt:lpstr>
      <vt:lpstr>ACTIVIDADES ANEXOS POD</vt:lpstr>
      <vt:lpstr> Profesionales PROSIP</vt:lpstr>
      <vt:lpstr>'Adquisiciones principales'!_ftn1</vt:lpstr>
      <vt:lpstr>'Adquisiciones principales'!_ftnref1</vt:lpstr>
      <vt:lpstr>' Profesionales PROSIP'!Print_Area</vt:lpstr>
      <vt:lpstr>'ACTIVIDADES ANEXOS POD'!Print_Area</vt:lpstr>
    </vt:vector>
  </TitlesOfParts>
  <Company>Inter-American Development 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Bruno Costa</dc:creator>
  <cp:keywords/>
  <cp:lastModifiedBy>Reyes, Javier Ramiro</cp:lastModifiedBy>
  <dcterms:created xsi:type="dcterms:W3CDTF">2011-03-30T14:45:37Z</dcterms:created>
  <dcterms:modified xsi:type="dcterms:W3CDTF">2017-06-14T02:00:02Z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3" name="Function Operations IDB">
    <vt:lpwstr>8;#Monitoring and Reporting|df3c2aa1-d63e-41aa-b1f5-bb15dee691ca</vt:lpwstr>
  </property>
  <property fmtid="{D5CDD505-2E9C-101B-9397-08002B2CF9AE}" pid="4" name="TaxKeyword">
    <vt:lpwstr/>
  </property>
  <property fmtid="{D5CDD505-2E9C-101B-9397-08002B2CF9AE}" pid="5" name="TaxKeywordTaxHTField">
    <vt:lpwstr/>
  </property>
  <property fmtid="{D5CDD505-2E9C-101B-9397-08002B2CF9AE}" pid="6" name="Series Operations IDB">
    <vt:lpwstr/>
  </property>
  <property fmtid="{D5CDD505-2E9C-101B-9397-08002B2CF9AE}" pid="7" name="Sub-Sector">
    <vt:lpwstr>40;#NATIONAL STATISTICS SYSTEMS AND CENSUSES|360cfdd5-25a5-4528-aaed-eba3c6aa70b0</vt:lpwstr>
  </property>
  <property fmtid="{D5CDD505-2E9C-101B-9397-08002B2CF9AE}" pid="8" name="Fund IDB">
    <vt:lpwstr>4;#ORC|c028a4b2-ad8b-4cf4-9cac-a2ae6a778e23</vt:lpwstr>
  </property>
  <property fmtid="{D5CDD505-2E9C-101B-9397-08002B2CF9AE}" pid="9" name="Country">
    <vt:lpwstr>5;#Argentina|eb1b705c-195f-4c3b-9661-b201f2fee3c5</vt:lpwstr>
  </property>
  <property fmtid="{D5CDD505-2E9C-101B-9397-08002B2CF9AE}" pid="10" name="Sector IDB">
    <vt:lpwstr>36;#REFORM / MODERNIZATION OF THE STATE|c8fda4a7-691a-4c65-b227-9825197b5cd2</vt:lpwstr>
  </property>
  <property fmtid="{D5CDD505-2E9C-101B-9397-08002B2CF9AE}" pid="11" name="_dlc_DocIdItemGuid">
    <vt:lpwstr>90122e86-dd6d-44be-af4d-2d29d819aa22</vt:lpwstr>
  </property>
  <property fmtid="{D5CDD505-2E9C-101B-9397-08002B2CF9AE}" pid="12" name="Disclosure Activity">
    <vt:lpwstr>Loan Proposal</vt:lpwstr>
  </property>
  <property fmtid="{D5CDD505-2E9C-101B-9397-08002B2CF9AE}" pid="13" name="ContentTypeId">
    <vt:lpwstr>0x0101001A458A224826124E8B45B1D613300CFC00325CE81CFE684D41A78BB94A26B6A455</vt:lpwstr>
  </property>
</Properties>
</file>