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HO-LON/HO-L1188/15 LifeCycle Milestones/Draft Area/Enlaces POD Plan B/"/>
    </mc:Choice>
  </mc:AlternateContent>
  <xr:revisionPtr revIDLastSave="33" documentId="BD35997FD5FA3D27A1824119308811EA39351E91" xr6:coauthVersionLast="23" xr6:coauthVersionMax="23" xr10:uidLastSave="{FF505358-94B5-44A6-B6A3-39A395E55923}"/>
  <bookViews>
    <workbookView xWindow="0" yWindow="0" windowWidth="23040" windowHeight="8490" tabRatio="792" firstSheet="1" activeTab="1" xr2:uid="{00000000-000D-0000-FFFF-FFFF00000000}"/>
  </bookViews>
  <sheets>
    <sheet name="Tabla de Costos" sheetId="8" r:id="rId1"/>
    <sheet name="Costeo detallado" sheetId="1" r:id="rId2"/>
    <sheet name="Plan de Adq." sheetId="6" r:id="rId3"/>
    <sheet name="Calendario de desembolsos" sheetId="5" r:id="rId4"/>
    <sheet name="Supuestos y Calculos" sheetId="10" r:id="rId5"/>
  </sheets>
  <externalReferences>
    <externalReference r:id="rId6"/>
  </externalReferences>
  <calcPr calcId="171026"/>
</workbook>
</file>

<file path=xl/calcChain.xml><?xml version="1.0" encoding="utf-8"?>
<calcChain xmlns="http://schemas.openxmlformats.org/spreadsheetml/2006/main">
  <c r="R97" i="1" l="1"/>
  <c r="P97" i="1"/>
  <c r="N97" i="1"/>
  <c r="L97" i="1"/>
  <c r="J99" i="1"/>
  <c r="R98" i="1"/>
  <c r="E37" i="6"/>
  <c r="E20" i="6"/>
  <c r="J21" i="1"/>
  <c r="O12" i="1"/>
  <c r="M12" i="1"/>
  <c r="K12" i="1"/>
  <c r="C35" i="10"/>
  <c r="C34" i="10"/>
  <c r="C33" i="10"/>
  <c r="C32" i="10"/>
  <c r="J5" i="10"/>
  <c r="D9" i="10"/>
  <c r="I5" i="10"/>
  <c r="I4" i="10"/>
  <c r="K5" i="10"/>
  <c r="G5" i="10"/>
  <c r="O14" i="1"/>
  <c r="P14" i="1"/>
  <c r="K13" i="1"/>
  <c r="L13" i="1"/>
  <c r="P12" i="1"/>
  <c r="O13" i="1"/>
  <c r="P13" i="1"/>
  <c r="P11" i="1"/>
  <c r="P10" i="1"/>
  <c r="M34" i="6"/>
  <c r="M24" i="6"/>
  <c r="M11" i="6"/>
  <c r="C15" i="8"/>
  <c r="C14" i="8"/>
  <c r="C17" i="8"/>
  <c r="C13" i="8"/>
  <c r="C8" i="8"/>
  <c r="C11" i="8"/>
  <c r="C10" i="8"/>
  <c r="C9" i="8"/>
  <c r="E4" i="8"/>
  <c r="C6" i="8"/>
  <c r="C5" i="8"/>
  <c r="C4" i="8"/>
  <c r="K4" i="10"/>
  <c r="K12" i="10"/>
  <c r="G7" i="10"/>
  <c r="G10" i="10"/>
  <c r="K44" i="1"/>
  <c r="M44" i="1"/>
  <c r="O44" i="1"/>
  <c r="Q44" i="1"/>
  <c r="M50" i="6"/>
  <c r="F50" i="6"/>
  <c r="E50" i="6"/>
  <c r="M53" i="6"/>
  <c r="M52" i="6"/>
  <c r="M51" i="6"/>
  <c r="M49" i="6"/>
  <c r="M48" i="6"/>
  <c r="F52" i="6"/>
  <c r="F53" i="6"/>
  <c r="E53" i="6"/>
  <c r="E52" i="6"/>
  <c r="T64" i="1"/>
  <c r="R64" i="1"/>
  <c r="P64" i="1"/>
  <c r="N64" i="1"/>
  <c r="L64" i="1"/>
  <c r="J64" i="1"/>
  <c r="H64" i="1"/>
  <c r="T63" i="1"/>
  <c r="R63" i="1"/>
  <c r="P63" i="1"/>
  <c r="N63" i="1"/>
  <c r="L63" i="1"/>
  <c r="J63" i="1"/>
  <c r="H63" i="1"/>
  <c r="N60" i="1"/>
  <c r="J62" i="1"/>
  <c r="T60" i="1"/>
  <c r="R60" i="1"/>
  <c r="P60" i="1"/>
  <c r="L60" i="1"/>
  <c r="J60" i="1"/>
  <c r="H60" i="1"/>
  <c r="L68" i="1"/>
  <c r="E8" i="8"/>
  <c r="M37" i="6"/>
  <c r="F37" i="6"/>
  <c r="T34" i="1"/>
  <c r="R34" i="1"/>
  <c r="P34" i="1"/>
  <c r="N34" i="1"/>
  <c r="L34" i="1"/>
  <c r="J34" i="1"/>
  <c r="H34" i="1"/>
  <c r="E23" i="10"/>
  <c r="I20" i="10"/>
  <c r="H19" i="10"/>
  <c r="I19" i="10"/>
  <c r="G18" i="10"/>
  <c r="H18" i="10"/>
  <c r="I18" i="10"/>
  <c r="F23" i="10"/>
  <c r="F27" i="10"/>
  <c r="G23" i="10"/>
  <c r="G27" i="10"/>
  <c r="V63" i="1"/>
  <c r="I52" i="6"/>
  <c r="V60" i="1"/>
  <c r="I50" i="6"/>
  <c r="V64" i="1"/>
  <c r="I53" i="6"/>
  <c r="V34" i="1"/>
  <c r="I23" i="10"/>
  <c r="H23" i="10"/>
  <c r="M55" i="6"/>
  <c r="F55" i="6"/>
  <c r="E55" i="6"/>
  <c r="M41" i="6"/>
  <c r="M54" i="6"/>
  <c r="F41" i="6"/>
  <c r="E41" i="6"/>
  <c r="E24" i="6"/>
  <c r="E54" i="6"/>
  <c r="F51" i="6"/>
  <c r="E51" i="6"/>
  <c r="F49" i="6"/>
  <c r="E49" i="6"/>
  <c r="E40" i="6"/>
  <c r="M40" i="6"/>
  <c r="F40" i="6"/>
  <c r="M39" i="6"/>
  <c r="F39" i="6"/>
  <c r="E39" i="6"/>
  <c r="F48" i="6"/>
  <c r="E48" i="6"/>
  <c r="M29" i="6"/>
  <c r="F29" i="6"/>
  <c r="E29" i="6"/>
  <c r="M23" i="6"/>
  <c r="F23" i="6"/>
  <c r="E23" i="6"/>
  <c r="M28" i="6"/>
  <c r="F28" i="6"/>
  <c r="E28" i="6"/>
  <c r="M22" i="6"/>
  <c r="I37" i="6"/>
  <c r="J27" i="10"/>
  <c r="I27" i="10"/>
  <c r="H27" i="10"/>
  <c r="F22" i="6"/>
  <c r="E22" i="6"/>
  <c r="M38" i="6"/>
  <c r="F67" i="1"/>
  <c r="F38" i="6"/>
  <c r="E38" i="6"/>
  <c r="M36" i="6"/>
  <c r="M35" i="6"/>
  <c r="F36" i="6"/>
  <c r="E36" i="6"/>
  <c r="F35" i="6"/>
  <c r="E35" i="6"/>
  <c r="F34" i="6"/>
  <c r="E34" i="6"/>
  <c r="M21" i="6"/>
  <c r="F36" i="1"/>
  <c r="R36" i="1"/>
  <c r="M33" i="6"/>
  <c r="F33" i="6"/>
  <c r="E33" i="6"/>
  <c r="T99" i="1"/>
  <c r="R99" i="1"/>
  <c r="P99" i="1"/>
  <c r="N99" i="1"/>
  <c r="L99" i="1"/>
  <c r="H99" i="1"/>
  <c r="M20" i="6"/>
  <c r="M19" i="6"/>
  <c r="F19" i="6"/>
  <c r="E19" i="6"/>
  <c r="M32" i="6"/>
  <c r="E32" i="6"/>
  <c r="M18" i="6"/>
  <c r="M17" i="6"/>
  <c r="K14" i="1"/>
  <c r="F18" i="6"/>
  <c r="E18" i="6"/>
  <c r="F17" i="6"/>
  <c r="E17" i="6"/>
  <c r="F47" i="6"/>
  <c r="E47" i="6"/>
  <c r="M47" i="6"/>
  <c r="M46" i="6"/>
  <c r="F46" i="6"/>
  <c r="E46" i="6"/>
  <c r="F11" i="6"/>
  <c r="E11" i="6"/>
  <c r="T57" i="1"/>
  <c r="R57" i="1"/>
  <c r="P57" i="1"/>
  <c r="N57" i="1"/>
  <c r="L57" i="1"/>
  <c r="J57" i="1"/>
  <c r="H57" i="1"/>
  <c r="H10" i="1"/>
  <c r="T46" i="1"/>
  <c r="R46" i="1"/>
  <c r="P46" i="1"/>
  <c r="N46" i="1"/>
  <c r="L46" i="1"/>
  <c r="J46" i="1"/>
  <c r="H46" i="1"/>
  <c r="T48" i="1"/>
  <c r="R48" i="1"/>
  <c r="P48" i="1"/>
  <c r="N48" i="1"/>
  <c r="L48" i="1"/>
  <c r="J48" i="1"/>
  <c r="H48" i="1"/>
  <c r="V99" i="1"/>
  <c r="V48" i="1"/>
  <c r="V46" i="1"/>
  <c r="I36" i="6"/>
  <c r="V57" i="1"/>
  <c r="I39" i="6"/>
  <c r="M14" i="1"/>
  <c r="N11" i="1"/>
  <c r="N10" i="1"/>
  <c r="T62" i="1"/>
  <c r="K62" i="1"/>
  <c r="L62" i="1"/>
  <c r="T61" i="1"/>
  <c r="K61" i="1"/>
  <c r="L61" i="1"/>
  <c r="J61" i="1"/>
  <c r="H39" i="1"/>
  <c r="L39" i="1"/>
  <c r="E13" i="8"/>
  <c r="T59" i="1"/>
  <c r="K59" i="1"/>
  <c r="L59" i="1"/>
  <c r="J59" i="1"/>
  <c r="P38" i="1"/>
  <c r="L37" i="1"/>
  <c r="H38" i="1"/>
  <c r="H37" i="1"/>
  <c r="G46" i="10"/>
  <c r="F46" i="10"/>
  <c r="E46" i="10"/>
  <c r="T70" i="1"/>
  <c r="R70" i="1"/>
  <c r="P70" i="1"/>
  <c r="N70" i="1"/>
  <c r="L70" i="1"/>
  <c r="J70" i="1"/>
  <c r="H70" i="1"/>
  <c r="H46" i="10"/>
  <c r="J46" i="10"/>
  <c r="L46" i="10"/>
  <c r="I35" i="6"/>
  <c r="W47" i="1"/>
  <c r="D11" i="8"/>
  <c r="I34" i="6"/>
  <c r="M62" i="1"/>
  <c r="M61" i="1"/>
  <c r="O61" i="1"/>
  <c r="P61" i="1"/>
  <c r="P39" i="1"/>
  <c r="N39" i="1"/>
  <c r="J39" i="1"/>
  <c r="T39" i="1"/>
  <c r="M59" i="1"/>
  <c r="N59" i="1"/>
  <c r="T37" i="1"/>
  <c r="N37" i="1"/>
  <c r="T38" i="1"/>
  <c r="P37" i="1"/>
  <c r="J37" i="1"/>
  <c r="J38" i="1"/>
  <c r="N38" i="1"/>
  <c r="L38" i="1"/>
  <c r="L36" i="1"/>
  <c r="N58" i="1"/>
  <c r="T58" i="1"/>
  <c r="L58" i="1"/>
  <c r="J58" i="1"/>
  <c r="J36" i="1"/>
  <c r="P36" i="1"/>
  <c r="T36" i="1"/>
  <c r="N61" i="1"/>
  <c r="Q61" i="1"/>
  <c r="R61" i="1"/>
  <c r="O59" i="1"/>
  <c r="Q59" i="1"/>
  <c r="R59" i="1"/>
  <c r="O62" i="1"/>
  <c r="N62" i="1"/>
  <c r="N36" i="1"/>
  <c r="H61" i="1"/>
  <c r="V39" i="1"/>
  <c r="V37" i="1"/>
  <c r="V38" i="1"/>
  <c r="P58" i="1"/>
  <c r="R58" i="1"/>
  <c r="G45" i="10"/>
  <c r="F45" i="10"/>
  <c r="E45" i="10"/>
  <c r="H45" i="10"/>
  <c r="J45" i="10"/>
  <c r="L45" i="10"/>
  <c r="L47" i="10"/>
  <c r="F39" i="10"/>
  <c r="V29" i="1"/>
  <c r="V28" i="1"/>
  <c r="V61" i="1"/>
  <c r="I51" i="6"/>
  <c r="V36" i="1"/>
  <c r="P59" i="1"/>
  <c r="V59" i="1"/>
  <c r="I49" i="6"/>
  <c r="P62" i="1"/>
  <c r="Q62" i="1"/>
  <c r="R62" i="1"/>
  <c r="H59" i="1"/>
  <c r="V58" i="1"/>
  <c r="I40" i="6"/>
  <c r="H58" i="1"/>
  <c r="H62" i="1"/>
  <c r="V62" i="1"/>
  <c r="I61" i="6"/>
  <c r="T30" i="1"/>
  <c r="R30" i="1"/>
  <c r="P30" i="1"/>
  <c r="N30" i="1"/>
  <c r="L30" i="1"/>
  <c r="J30" i="1"/>
  <c r="H30" i="1"/>
  <c r="N14" i="1"/>
  <c r="H23" i="1"/>
  <c r="T20" i="1"/>
  <c r="R20" i="1"/>
  <c r="P20" i="1"/>
  <c r="N20" i="1"/>
  <c r="L20" i="1"/>
  <c r="J20" i="1"/>
  <c r="H20" i="1"/>
  <c r="T21" i="1"/>
  <c r="R21" i="1"/>
  <c r="P21" i="1"/>
  <c r="N21" i="1"/>
  <c r="L21" i="1"/>
  <c r="H21" i="1"/>
  <c r="T19" i="1"/>
  <c r="R19" i="1"/>
  <c r="P19" i="1"/>
  <c r="N19" i="1"/>
  <c r="L19" i="1"/>
  <c r="J19" i="1"/>
  <c r="H19" i="1"/>
  <c r="T44" i="1"/>
  <c r="J44" i="1"/>
  <c r="V20" i="1"/>
  <c r="V21" i="1"/>
  <c r="V30" i="1"/>
  <c r="V19" i="1"/>
  <c r="L14" i="1"/>
  <c r="J14" i="1"/>
  <c r="M13" i="1"/>
  <c r="N13" i="1"/>
  <c r="J13" i="1"/>
  <c r="N12" i="1"/>
  <c r="J12" i="1"/>
  <c r="T27" i="1"/>
  <c r="R27" i="1"/>
  <c r="J27" i="1"/>
  <c r="T33" i="1"/>
  <c r="R33" i="1"/>
  <c r="P33" i="1"/>
  <c r="N33" i="1"/>
  <c r="J33" i="1"/>
  <c r="L26" i="1"/>
  <c r="T26" i="1"/>
  <c r="R26" i="1"/>
  <c r="J26" i="1"/>
  <c r="R25" i="1"/>
  <c r="T25" i="1"/>
  <c r="J25" i="1"/>
  <c r="K7" i="10"/>
  <c r="E15" i="10"/>
  <c r="I7" i="10"/>
  <c r="G4" i="10"/>
  <c r="H11" i="1"/>
  <c r="L11" i="1"/>
  <c r="J11" i="1"/>
  <c r="Q8" i="1"/>
  <c r="R8" i="1"/>
  <c r="F14" i="10"/>
  <c r="G14" i="10"/>
  <c r="F13" i="10"/>
  <c r="G13" i="10"/>
  <c r="G15" i="10"/>
  <c r="G8" i="10"/>
  <c r="H8" i="10"/>
  <c r="I8" i="10"/>
  <c r="I9" i="10"/>
  <c r="E26" i="10"/>
  <c r="F26" i="10"/>
  <c r="K8" i="1"/>
  <c r="O8" i="1"/>
  <c r="P8" i="1"/>
  <c r="M8" i="1"/>
  <c r="F29" i="10"/>
  <c r="I29" i="10"/>
  <c r="H29" i="10"/>
  <c r="G29" i="10"/>
  <c r="F42" i="10"/>
  <c r="G42" i="10"/>
  <c r="K9" i="10"/>
  <c r="L12" i="1"/>
  <c r="V14" i="1"/>
  <c r="I18" i="6"/>
  <c r="H14" i="1"/>
  <c r="H12" i="1"/>
  <c r="H13" i="1"/>
  <c r="V13" i="1"/>
  <c r="I17" i="6"/>
  <c r="V11" i="1"/>
  <c r="I46" i="6"/>
  <c r="K10" i="10"/>
  <c r="K33" i="1"/>
  <c r="F28" i="10"/>
  <c r="G26" i="10"/>
  <c r="G9" i="10"/>
  <c r="I10" i="10"/>
  <c r="P23" i="1"/>
  <c r="L23" i="1"/>
  <c r="R23" i="1"/>
  <c r="N23" i="1"/>
  <c r="T23" i="1"/>
  <c r="J23" i="1"/>
  <c r="K25" i="1"/>
  <c r="M25" i="1"/>
  <c r="M27" i="1"/>
  <c r="N27" i="1"/>
  <c r="V12" i="1"/>
  <c r="I47" i="6"/>
  <c r="L44" i="1"/>
  <c r="N26" i="1"/>
  <c r="P26" i="1"/>
  <c r="L33" i="1"/>
  <c r="V33" i="1"/>
  <c r="I19" i="6"/>
  <c r="H33" i="1"/>
  <c r="G28" i="10"/>
  <c r="H26" i="10"/>
  <c r="F40" i="10"/>
  <c r="G40" i="10"/>
  <c r="V23" i="1"/>
  <c r="O25" i="1"/>
  <c r="P25" i="1"/>
  <c r="L25" i="1"/>
  <c r="N25" i="1"/>
  <c r="K27" i="1"/>
  <c r="L27" i="1"/>
  <c r="N44" i="1"/>
  <c r="V26" i="1"/>
  <c r="I26" i="10"/>
  <c r="H28" i="10"/>
  <c r="H25" i="1"/>
  <c r="O27" i="1"/>
  <c r="P27" i="1"/>
  <c r="V27" i="1"/>
  <c r="V25" i="1"/>
  <c r="R44" i="1"/>
  <c r="P44" i="1"/>
  <c r="I28" i="10"/>
  <c r="H27" i="1"/>
  <c r="V44" i="1"/>
  <c r="I20" i="6"/>
  <c r="H44" i="1"/>
  <c r="K54" i="1"/>
  <c r="M54" i="1"/>
  <c r="T81" i="1"/>
  <c r="I80" i="1"/>
  <c r="K80" i="1"/>
  <c r="T80" i="1"/>
  <c r="T79" i="1"/>
  <c r="R79" i="1"/>
  <c r="P79" i="1"/>
  <c r="N79" i="1"/>
  <c r="L79" i="1"/>
  <c r="J79" i="1"/>
  <c r="H79" i="1"/>
  <c r="J78" i="1"/>
  <c r="L78" i="1"/>
  <c r="L77" i="1"/>
  <c r="T78" i="1"/>
  <c r="T77" i="1"/>
  <c r="R78" i="1"/>
  <c r="P78" i="1"/>
  <c r="N78" i="1"/>
  <c r="H78" i="1"/>
  <c r="J75" i="1"/>
  <c r="T75" i="1"/>
  <c r="R75" i="1"/>
  <c r="P75" i="1"/>
  <c r="N75" i="1"/>
  <c r="L75" i="1"/>
  <c r="H75" i="1"/>
  <c r="I76" i="1"/>
  <c r="T74" i="1"/>
  <c r="R74" i="1"/>
  <c r="P74" i="1"/>
  <c r="N74" i="1"/>
  <c r="L74" i="1"/>
  <c r="J74" i="1"/>
  <c r="H74" i="1"/>
  <c r="J77" i="1"/>
  <c r="N77" i="1"/>
  <c r="P77" i="1"/>
  <c r="S76" i="1"/>
  <c r="F76" i="1"/>
  <c r="J76" i="1"/>
  <c r="R77" i="1"/>
  <c r="O76" i="1"/>
  <c r="M76" i="1"/>
  <c r="L80" i="1"/>
  <c r="M80" i="1"/>
  <c r="Q76" i="1"/>
  <c r="K76" i="1"/>
  <c r="J80" i="1"/>
  <c r="V77" i="1"/>
  <c r="I23" i="6"/>
  <c r="H76" i="1"/>
  <c r="N80" i="1"/>
  <c r="O80" i="1"/>
  <c r="T76" i="1"/>
  <c r="V96" i="1"/>
  <c r="P76" i="1"/>
  <c r="L76" i="1"/>
  <c r="R76" i="1"/>
  <c r="N76" i="1"/>
  <c r="P80" i="1"/>
  <c r="Q80" i="1"/>
  <c r="T32" i="1"/>
  <c r="T17" i="1"/>
  <c r="I33" i="6"/>
  <c r="R32" i="1"/>
  <c r="R17" i="1"/>
  <c r="P32" i="1"/>
  <c r="P17" i="1"/>
  <c r="N32" i="1"/>
  <c r="N17" i="1"/>
  <c r="L32" i="1"/>
  <c r="L17" i="1"/>
  <c r="J32" i="1"/>
  <c r="J17" i="1"/>
  <c r="H32" i="1"/>
  <c r="L10" i="1"/>
  <c r="J10" i="1"/>
  <c r="V17" i="1"/>
  <c r="V76" i="1"/>
  <c r="I28" i="6"/>
  <c r="V32" i="1"/>
  <c r="R80" i="1"/>
  <c r="V80" i="1"/>
  <c r="I29" i="6"/>
  <c r="H80" i="1"/>
  <c r="V10" i="1"/>
  <c r="T95" i="1"/>
  <c r="R95" i="1"/>
  <c r="P95" i="1"/>
  <c r="N95" i="1"/>
  <c r="L95" i="1"/>
  <c r="J95" i="1"/>
  <c r="H95" i="1"/>
  <c r="T94" i="1"/>
  <c r="R94" i="1"/>
  <c r="P94" i="1"/>
  <c r="N94" i="1"/>
  <c r="L94" i="1"/>
  <c r="J94" i="1"/>
  <c r="H94" i="1"/>
  <c r="T101" i="1"/>
  <c r="R101" i="1"/>
  <c r="P101" i="1"/>
  <c r="N101" i="1"/>
  <c r="L101" i="1"/>
  <c r="J101" i="1"/>
  <c r="H101" i="1"/>
  <c r="J54" i="1"/>
  <c r="I17" i="1"/>
  <c r="Q17" i="1"/>
  <c r="S17" i="1"/>
  <c r="M17" i="1"/>
  <c r="O17" i="1"/>
  <c r="W17" i="1"/>
  <c r="K17" i="1"/>
  <c r="I11" i="6"/>
  <c r="I32" i="6"/>
  <c r="V95" i="1"/>
  <c r="I63" i="6"/>
  <c r="V94" i="1"/>
  <c r="I24" i="6"/>
  <c r="V101" i="1"/>
  <c r="T54" i="1"/>
  <c r="L54" i="1"/>
  <c r="E17" i="8"/>
  <c r="W101" i="1"/>
  <c r="I62" i="6"/>
  <c r="E23" i="8"/>
  <c r="N54" i="1"/>
  <c r="T87" i="1"/>
  <c r="R87" i="1"/>
  <c r="P87" i="1"/>
  <c r="N87" i="1"/>
  <c r="L87" i="1"/>
  <c r="J87" i="1"/>
  <c r="H87" i="1"/>
  <c r="T92" i="1"/>
  <c r="R92" i="1"/>
  <c r="P92" i="1"/>
  <c r="N92" i="1"/>
  <c r="L92" i="1"/>
  <c r="J92" i="1"/>
  <c r="H92" i="1"/>
  <c r="T93" i="1"/>
  <c r="R93" i="1"/>
  <c r="P93" i="1"/>
  <c r="N93" i="1"/>
  <c r="L93" i="1"/>
  <c r="J93" i="1"/>
  <c r="H93" i="1"/>
  <c r="T91" i="1"/>
  <c r="R91" i="1"/>
  <c r="P91" i="1"/>
  <c r="N91" i="1"/>
  <c r="L91" i="1"/>
  <c r="J91" i="1"/>
  <c r="H91" i="1"/>
  <c r="T90" i="1"/>
  <c r="R90" i="1"/>
  <c r="P90" i="1"/>
  <c r="N90" i="1"/>
  <c r="L90" i="1"/>
  <c r="J90" i="1"/>
  <c r="H90" i="1"/>
  <c r="T89" i="1"/>
  <c r="R89" i="1"/>
  <c r="P89" i="1"/>
  <c r="N89" i="1"/>
  <c r="L89" i="1"/>
  <c r="J89" i="1"/>
  <c r="H89" i="1"/>
  <c r="T88" i="1"/>
  <c r="R88" i="1"/>
  <c r="P88" i="1"/>
  <c r="N88" i="1"/>
  <c r="L88" i="1"/>
  <c r="J88" i="1"/>
  <c r="H88" i="1"/>
  <c r="T86" i="1"/>
  <c r="R86" i="1"/>
  <c r="P86" i="1"/>
  <c r="N86" i="1"/>
  <c r="L86" i="1"/>
  <c r="J86" i="1"/>
  <c r="H86" i="1"/>
  <c r="T85" i="1"/>
  <c r="R85" i="1"/>
  <c r="P85" i="1"/>
  <c r="N85" i="1"/>
  <c r="L85" i="1"/>
  <c r="J85" i="1"/>
  <c r="H85" i="1"/>
  <c r="V84" i="1"/>
  <c r="L72" i="1"/>
  <c r="L71" i="1"/>
  <c r="P72" i="1"/>
  <c r="P71" i="1"/>
  <c r="N72" i="1"/>
  <c r="N71" i="1"/>
  <c r="T55" i="1"/>
  <c r="V55" i="1"/>
  <c r="T72" i="1"/>
  <c r="T71" i="1"/>
  <c r="R68" i="1"/>
  <c r="T69" i="1"/>
  <c r="T68" i="1"/>
  <c r="R72" i="1"/>
  <c r="R71" i="1"/>
  <c r="R69" i="1"/>
  <c r="H72" i="1"/>
  <c r="H68" i="1"/>
  <c r="H98" i="1"/>
  <c r="J72" i="1"/>
  <c r="J71" i="1"/>
  <c r="V71" i="1"/>
  <c r="T67" i="1"/>
  <c r="I22" i="6"/>
  <c r="R67" i="1"/>
  <c r="V85" i="1"/>
  <c r="V90" i="1"/>
  <c r="V87" i="1"/>
  <c r="V89" i="1"/>
  <c r="V92" i="1"/>
  <c r="V88" i="1"/>
  <c r="V93" i="1"/>
  <c r="V86" i="1"/>
  <c r="V91" i="1"/>
  <c r="O54" i="1"/>
  <c r="P54" i="1"/>
  <c r="T98" i="1"/>
  <c r="P98" i="1"/>
  <c r="N98" i="1"/>
  <c r="L98" i="1"/>
  <c r="J98" i="1"/>
  <c r="W84" i="1"/>
  <c r="D18" i="8"/>
  <c r="H97" i="1"/>
  <c r="I54" i="6"/>
  <c r="V98" i="1"/>
  <c r="Q54" i="1"/>
  <c r="F18" i="8"/>
  <c r="I55" i="6"/>
  <c r="R54" i="1"/>
  <c r="V54" i="1"/>
  <c r="W53" i="1"/>
  <c r="H54" i="1"/>
  <c r="D14" i="8"/>
  <c r="I48" i="6"/>
  <c r="H43" i="1"/>
  <c r="T43" i="1"/>
  <c r="R43" i="1"/>
  <c r="P43" i="1"/>
  <c r="N43" i="1"/>
  <c r="L43" i="1"/>
  <c r="J43" i="1"/>
  <c r="T51" i="1"/>
  <c r="R51" i="1"/>
  <c r="P51" i="1"/>
  <c r="N51" i="1"/>
  <c r="L51" i="1"/>
  <c r="J51" i="1"/>
  <c r="H51" i="1"/>
  <c r="V43" i="1"/>
  <c r="I21" i="6"/>
  <c r="F11" i="8"/>
  <c r="L8" i="1"/>
  <c r="N8" i="1"/>
  <c r="I60" i="6"/>
  <c r="T8" i="1"/>
  <c r="T107" i="1"/>
  <c r="H8" i="1"/>
  <c r="K15" i="1"/>
  <c r="J15" i="1"/>
  <c r="W35" i="1"/>
  <c r="X17" i="1"/>
  <c r="M15" i="1"/>
  <c r="L15" i="1"/>
  <c r="K66" i="1"/>
  <c r="J69" i="1"/>
  <c r="G8" i="5"/>
  <c r="O8" i="5"/>
  <c r="D10" i="8"/>
  <c r="F10" i="8"/>
  <c r="H15" i="1"/>
  <c r="M66" i="1"/>
  <c r="O66" i="1"/>
  <c r="Q66" i="1"/>
  <c r="T66" i="1"/>
  <c r="T104" i="1"/>
  <c r="L69" i="1"/>
  <c r="V15" i="1"/>
  <c r="W9" i="1"/>
  <c r="D6" i="8"/>
  <c r="F6" i="8"/>
  <c r="H66" i="1"/>
  <c r="N69" i="1"/>
  <c r="J8" i="1"/>
  <c r="J66" i="1"/>
  <c r="N66" i="1"/>
  <c r="P66" i="1"/>
  <c r="L66" i="1"/>
  <c r="V8" i="1"/>
  <c r="V66" i="1"/>
  <c r="D9" i="8"/>
  <c r="D8" i="8"/>
  <c r="P69" i="1"/>
  <c r="H69" i="1"/>
  <c r="L67" i="1"/>
  <c r="P68" i="1"/>
  <c r="J68" i="1"/>
  <c r="J67" i="1"/>
  <c r="N68" i="1"/>
  <c r="N67" i="1"/>
  <c r="D5" i="8"/>
  <c r="I58" i="6"/>
  <c r="W8" i="1"/>
  <c r="P67" i="1"/>
  <c r="V67" i="1"/>
  <c r="W66" i="1"/>
  <c r="F9" i="8"/>
  <c r="F8" i="8"/>
  <c r="D15" i="8"/>
  <c r="F15" i="8"/>
  <c r="X53" i="1"/>
  <c r="F5" i="8"/>
  <c r="D4" i="8"/>
  <c r="X8" i="1"/>
  <c r="I38" i="6"/>
  <c r="Q67" i="1"/>
  <c r="X101" i="1"/>
  <c r="F4" i="8"/>
  <c r="F14" i="8"/>
  <c r="F13" i="8"/>
  <c r="D13" i="8"/>
  <c r="D21" i="8"/>
  <c r="F21" i="8"/>
  <c r="J104" i="1"/>
  <c r="J97" i="1"/>
  <c r="J107" i="1"/>
  <c r="C7" i="5"/>
  <c r="L104" i="1"/>
  <c r="L107" i="1"/>
  <c r="C9" i="5"/>
  <c r="N107" i="1"/>
  <c r="N104" i="1"/>
  <c r="E7" i="5"/>
  <c r="P104" i="1"/>
  <c r="P107" i="1"/>
  <c r="V97" i="1"/>
  <c r="E9" i="5"/>
  <c r="G7" i="5"/>
  <c r="I7" i="5"/>
  <c r="R104" i="1"/>
  <c r="V105" i="1"/>
  <c r="R107" i="1"/>
  <c r="V107" i="1"/>
  <c r="G9" i="5"/>
  <c r="W97" i="1"/>
  <c r="I41" i="6"/>
  <c r="V104" i="1"/>
  <c r="I57" i="6"/>
  <c r="I64" i="6"/>
  <c r="I65" i="6"/>
  <c r="T105" i="1"/>
  <c r="J105" i="1"/>
  <c r="L105" i="1"/>
  <c r="N105" i="1"/>
  <c r="P105" i="1"/>
  <c r="W104" i="1"/>
  <c r="W106" i="1"/>
  <c r="X84" i="1"/>
  <c r="X104" i="1"/>
  <c r="X107" i="1"/>
  <c r="D19" i="8"/>
  <c r="R105" i="1"/>
  <c r="K7" i="5"/>
  <c r="O7" i="5"/>
  <c r="I9" i="5"/>
  <c r="O9" i="5"/>
  <c r="P7" i="5"/>
  <c r="K9" i="5"/>
  <c r="D17" i="8"/>
  <c r="F19" i="8"/>
  <c r="L7" i="5"/>
  <c r="J9" i="5"/>
  <c r="L9" i="5"/>
  <c r="D23" i="8"/>
  <c r="F17" i="8"/>
  <c r="P9" i="5"/>
  <c r="P8" i="5"/>
  <c r="J8" i="5"/>
  <c r="H8" i="5"/>
  <c r="L8" i="5"/>
  <c r="D8" i="5"/>
  <c r="F8" i="5"/>
  <c r="D7" i="5"/>
  <c r="D9" i="5"/>
  <c r="F7" i="5"/>
  <c r="H7" i="5"/>
  <c r="F9" i="5"/>
  <c r="H9" i="5"/>
  <c r="J7" i="5"/>
  <c r="F23" i="8"/>
  <c r="G17" i="8"/>
  <c r="G14" i="8"/>
  <c r="G11" i="8"/>
  <c r="G8" i="8"/>
  <c r="G4" i="8"/>
  <c r="G5" i="8"/>
  <c r="G10" i="8"/>
  <c r="G9" i="8"/>
  <c r="G21" i="8"/>
  <c r="G15" i="8"/>
  <c r="G6" i="8"/>
  <c r="G23" i="8"/>
  <c r="G18" i="8"/>
  <c r="G13" i="8"/>
  <c r="G19" i="8"/>
</calcChain>
</file>

<file path=xl/sharedStrings.xml><?xml version="1.0" encoding="utf-8"?>
<sst xmlns="http://schemas.openxmlformats.org/spreadsheetml/2006/main" count="736" uniqueCount="372">
  <si>
    <t>US$ 000</t>
  </si>
  <si>
    <t>Divisor</t>
  </si>
  <si>
    <t>Componente</t>
  </si>
  <si>
    <t>BID</t>
  </si>
  <si>
    <t>Local</t>
  </si>
  <si>
    <t>Total</t>
  </si>
  <si>
    <t>%</t>
  </si>
  <si>
    <t>Administración de Proyecto</t>
  </si>
  <si>
    <t>Auditoría y evaluación</t>
  </si>
  <si>
    <t>Contingencia</t>
  </si>
  <si>
    <t>Detailed Cost Table</t>
  </si>
  <si>
    <t>Subcomponente</t>
  </si>
  <si>
    <t>Actividades</t>
  </si>
  <si>
    <t>Descripción</t>
  </si>
  <si>
    <t>Tipo de Adquisición</t>
  </si>
  <si>
    <t>Costo por unidad US$</t>
  </si>
  <si>
    <t>Descripción costo por unidad</t>
  </si>
  <si>
    <t>No. De unidades</t>
  </si>
  <si>
    <t>Año 1</t>
  </si>
  <si>
    <t>Año 2</t>
  </si>
  <si>
    <t>Año 3</t>
  </si>
  <si>
    <t>Año 4</t>
  </si>
  <si>
    <t>Año 5</t>
  </si>
  <si>
    <t>Total $$$</t>
  </si>
  <si>
    <t>Tot Sub Comp</t>
  </si>
  <si>
    <t>Total Component</t>
  </si>
  <si>
    <t>Units</t>
  </si>
  <si>
    <t>$</t>
  </si>
  <si>
    <t>Componente I:  Cobertura de servicios del tercer ciclo de educación básica con énfasis en zonas rurales del occidente del país</t>
  </si>
  <si>
    <t xml:space="preserve">1.1 Provisión de servicios educativos de tercer ciclo basado en modalidades flexibles </t>
  </si>
  <si>
    <t xml:space="preserve">i) Ampliación de cobertura del 3er ciclo a través de programas de modalidad flexible y a distancia, en áreas rurales y periurbanas, tales como: SAT, Educatodos y Telebásica..A través de ONGs que reciben  un per cápita (45 alumnos promedio por escuela en zona rural, por 267 escuelas)        y       ii) Recuperación de estudiantes vía estrategias de Retención y Transición Estudiantil 15 a 17 años fuera de la escuela Financiamiento con reducción gradual: Año 2, 100%; Año 3, 75%; Año 4; 50%;año 5, 25%. </t>
  </si>
  <si>
    <t>Transferencia</t>
  </si>
  <si>
    <t>per cápita</t>
  </si>
  <si>
    <t xml:space="preserve">Para atender al tercer ciclo de secundaria en zonas rurales de baja cobertura en el occidente del país.  Este componente beneficiará especialmente a municipios de occidente del país con las tasas más bajas de cobertura en el tercer ciclo. </t>
  </si>
  <si>
    <t>1.2.1 Construción de escuelas de modalidad alternativa</t>
  </si>
  <si>
    <t>Módulos de 3 aulas -7o, 8o y 9o, y dos sanitarios.</t>
  </si>
  <si>
    <t>Obras</t>
  </si>
  <si>
    <t>por escuela construida y equipada</t>
  </si>
  <si>
    <t>1.2.2 Gestores Legales</t>
  </si>
  <si>
    <t>Contratación de 2 gestores legales para gestionar la legalidad de la construcción de los centros</t>
  </si>
  <si>
    <t>Individual</t>
  </si>
  <si>
    <t>por gestor por mes</t>
  </si>
  <si>
    <t>1.2.3 Diseño y supervisión de obra</t>
  </si>
  <si>
    <t>1 supervisor por cada 5 centros. Estos supervisores son responsables también del diseño, esta ha sido la práctica</t>
  </si>
  <si>
    <t>por supervisor por año</t>
  </si>
  <si>
    <t>1.2.4 Mobiliario</t>
  </si>
  <si>
    <t>Sillas, mesas y libreros</t>
  </si>
  <si>
    <t>bienes</t>
  </si>
  <si>
    <t>por centro</t>
  </si>
  <si>
    <t>1.2.5 Equipo</t>
  </si>
  <si>
    <t>Computadoras tipo laptop, básicas, 1 por cada 3 alumnos</t>
  </si>
  <si>
    <t>por laptop</t>
  </si>
  <si>
    <t>Componente II:  Aumento de competencias para el trabajo y la vida en el tercer ciclo de educación básica</t>
  </si>
  <si>
    <t>2.1 Formación docente</t>
  </si>
  <si>
    <t>NOTA: Se incluyen actividades  de la 2.1.1 a 2.1.8 en  un sólo contrato de consultoria.</t>
  </si>
  <si>
    <t>Consultoría Firma</t>
  </si>
  <si>
    <t>Formación inicial de docentes</t>
  </si>
  <si>
    <t>.----------</t>
  </si>
  <si>
    <t>2.1.1 Fortalecimiento de los planes de estudio</t>
  </si>
  <si>
    <t xml:space="preserve">Se mejorarán los planes de estudio de las carreras de formación inicial docente que incluyen formación y práctica en pedagogías activas para el tercer ciclo de educación básica. </t>
  </si>
  <si>
    <t>Suma alzada</t>
  </si>
  <si>
    <t>2.1.2 Diseño curricular del 3er ciclo de EB</t>
  </si>
  <si>
    <t>Diseño  e implementación del un nuevo curriculo del 3er ciclo de básica.</t>
  </si>
  <si>
    <t>2.1.3  Capacitación y seguimiento de los formadores</t>
  </si>
  <si>
    <t>Se capacitarán formadores de candidatos a docentes para la implementación de los nuevos planes de estudios y curriculo en las instituciones que ofrecer carreras docentes.y se les dará un acompañamiento</t>
  </si>
  <si>
    <t xml:space="preserve">Formación y acompañamiento contextualizado a equipos de docentes, facilitadores y directores del tercer ciclo </t>
  </si>
  <si>
    <t>2.1.4 Formación del docente en servicio</t>
  </si>
  <si>
    <r>
      <t xml:space="preserve">Capacitación del docente en servicio en el nuevo curriculo, la implementación de nuevos modelos pedagógicos y </t>
    </r>
    <r>
      <rPr>
        <sz val="11"/>
        <rFont val="Calibri"/>
        <family val="2"/>
        <scheme val="minor"/>
      </rPr>
      <t>combate a la violencia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(se estiman 1,908 docentes)</t>
    </r>
  </si>
  <si>
    <t>2.1.6 Acompañamiento Técnico Pedagógico (ATP)</t>
  </si>
  <si>
    <t>Reclutamiento, selección y contratación de supervisores, y capacitación para el apoyo al docente en la aplicación de nuevos modelos pedagógicos, entre otros.  (se espera que eventualmente los nuevos supervisiores sean contrados por la SEDUC para dar continuidad y sostenibilidad a los beneficios generados por la operación).</t>
  </si>
  <si>
    <t>Contratación de supervisores para acompañar a los docentes a lo largo de la ejecución del proyecto</t>
  </si>
  <si>
    <t>por acompañante por año</t>
  </si>
  <si>
    <t>Transporte</t>
  </si>
  <si>
    <t>Transporte zonas urbanas (US$100 por mes por acompañante)</t>
  </si>
  <si>
    <t>por año por acompañante</t>
  </si>
  <si>
    <t xml:space="preserve">Zonas rurales  </t>
  </si>
  <si>
    <t>Actividades transversales</t>
  </si>
  <si>
    <t>2.1.7 Desarrollo de contenidos y diseño de guías y materiales didácticos para la formación inicial y en servicio.</t>
  </si>
  <si>
    <t>Se incluirán los  materiales para los formadores y candidatos en formación inicial, así como para la capacitación y práctica del docente en servicio.</t>
  </si>
  <si>
    <t>Plataforma interactiva de calidad docente con recursos didácticos para el aprendizaje activo</t>
  </si>
  <si>
    <t>2.1.8 Desarrollo de apoyos tecnológicos para la formación permanente</t>
  </si>
  <si>
    <t xml:space="preserve">Desarrollo de una plataforma virtual para la formación permanente, la capacitación y selección y adaptación de contenidos educativos. Se buscará que los contenidos sean de acceso libre. </t>
  </si>
  <si>
    <t xml:space="preserve">2.1.9 Transporte de acompañantes en zonas rurales, incluyendo seguros y paquetes de mantenimiento. </t>
  </si>
  <si>
    <t>Motocicleta p/zonas rurales, una por supervisor/acompañante (el tipo de medio de transporte podría variar de acuerdo a las necesdidades)</t>
  </si>
  <si>
    <t>por unidad</t>
  </si>
  <si>
    <t>2.1.10 Comunicación Social para el Cambio</t>
  </si>
  <si>
    <t>Para la elaboración de una estrategia de comunicación y campaña para promover las intervenciones del proyecto y el cambio de paradígma en la educación, e incentivar a los docentes.</t>
  </si>
  <si>
    <t>Firma</t>
  </si>
  <si>
    <t>2.2 Mejora de las condiciones para el aprendizaje en la escuela</t>
  </si>
  <si>
    <t>Programas de atención al riesgo social</t>
  </si>
  <si>
    <t>ACTIVIDADES GENERALES: La consultoría deberá desarrollar e implementar una estrategia para el nivel básico  i) un programa de mejoramiento de clima escolar y prevencion de violencia; ii) desarrollo de guías y materiales necesarios para implementar las acciones de retención y transición estudiantil; iii) capacitación a directores en gestión escolar, y liderazgo pedagógico; iv) desarrollo de una propuesta para eliminar la barreras a la asistencia escolar vía una solución de transporte.</t>
  </si>
  <si>
    <t>2.2.1 Implementación de acciones conducentes  a  incrementar la transición estudiantil</t>
  </si>
  <si>
    <t>TRANSICIÓN: Como parte de la estrategia a consultoría deberá desarrollar e implementar medidas de trancisión escolar  -6o a 7o y 9o a 10o-  que incluya entre otros: i) un mecanismo de alerta temprana; ii)  campañas de comunicación; iii) apoyo a estudiantes con rezago educativo; y iv) la ejecución de un programa de acompañamiento administrativo y técnico-pedagógico a administrativos y docentes; entre otros</t>
  </si>
  <si>
    <t>2.2.2 Implementación de acciones conducentes  a  incrementar la retención en el 3er ciclo de educación básica</t>
  </si>
  <si>
    <t>RETENCIÓN: Como parte de la estrategia a consultoría deberá desarrollar e implementar medidas de retención escolar para el 3er ciclo, que incluya entre otros: i) un mecanismo de seguimiento a jóvenes con baja asistencia; ii) un mecanismo de alerta para evitar la deserción; y iii) la ejecución de un programa de acompañamiento administrativo y técnico-pedagógico a administrativos y docentes; entre otros</t>
  </si>
  <si>
    <t>2.2.3 Prevención de la violencia y reinserción de jóevenes retornados  en las escuelas</t>
  </si>
  <si>
    <r>
      <rPr>
        <b/>
        <sz val="11"/>
        <color theme="1"/>
        <rFont val="Calibri"/>
        <family val="2"/>
        <scheme val="minor"/>
      </rPr>
      <t>PREVENCION DE VIOLECIA:</t>
    </r>
    <r>
      <rPr>
        <sz val="11"/>
        <color theme="1"/>
        <rFont val="Calibri"/>
        <family val="2"/>
        <scheme val="minor"/>
      </rPr>
      <t xml:space="preserve"> Diseño y aplicación de una propuesta de apoyo a la prevención de la violencia escolar.</t>
    </r>
  </si>
  <si>
    <t xml:space="preserve">Desarrollo y provisión de materiales pedagógicos de apoyo a la implementación del currículo por competencias para docentes y alumnos; </t>
  </si>
  <si>
    <t>2.2.4 Materiales didácticos para mejorar la calidad educativa</t>
  </si>
  <si>
    <t>Impresión y distribución de materiales didácticos para alumnos, administrativos, directores y docentes del 3er ciclo de básica. Considerando entre otros los diseños y contenidos recomendados por la consultoría, y aprobados por la SEDUC, se imprimirán y distribuirán los  materiales a los formadores y candidatos en formación inicial, así como para la capacitación y práctica del docente en servicio.y alumnos</t>
  </si>
  <si>
    <t>Materiales para formadores y candidatos en formación inicial, así como para la capacitación y práctica del docente en servicio</t>
  </si>
  <si>
    <t>No Consultoría</t>
  </si>
  <si>
    <t>Alumnos</t>
  </si>
  <si>
    <t>por alumno</t>
  </si>
  <si>
    <t>Programas de aprendizaje asistidos por computadora</t>
  </si>
  <si>
    <t>2.2.5 Piloto para la incorporación de programas de aprendizaje asistidos por computadora</t>
  </si>
  <si>
    <t>Asistencia técnica y acompañamiento</t>
  </si>
  <si>
    <t>2.3 Evaluación de la calidad educativa</t>
  </si>
  <si>
    <t>2.3.2 Fortalecimiento en el diseño y aplicación de pruebas estandarizadas -habilidades de aprestamiento para el trabajo para su aplicación, análisis, diseminación y uso de la información, a nivel muestral</t>
  </si>
  <si>
    <t>Componente III:  Fortalecimiento de la capacidad de gestión administrativa y pedagógica.</t>
  </si>
  <si>
    <t>3.1 Capacidades tecnicas para mejorar la calidad educativa</t>
  </si>
  <si>
    <t>3.1.1 Fortalecimiento de la Unidad de Sistemas d Información de la SEDUC</t>
  </si>
  <si>
    <r>
      <rPr>
        <b/>
        <sz val="11"/>
        <color theme="1"/>
        <rFont val="Calibri"/>
        <family val="2"/>
        <scheme val="minor"/>
      </rPr>
      <t>Personal de apoyo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Financiamiento con reducción gradual: Año 1, 100%; Año 2, 75%; Año 3; 50%; Año 4, 25%; y Año 5, 0%</t>
    </r>
  </si>
  <si>
    <t>per cápita por año</t>
  </si>
  <si>
    <t>3.1.2 Fortalecimiento del área de desarrollo profesional (Subdirección General de Formación Permanente)</t>
  </si>
  <si>
    <r>
      <rPr>
        <b/>
        <sz val="11"/>
        <color theme="1"/>
        <rFont val="Calibri"/>
        <family val="2"/>
        <scheme val="minor"/>
      </rPr>
      <t>Asistencia técnica al área de desarrollo profesional (Subdirección General de Formación Permanente)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(Incluido VER SUBCOMPONENTE 2.1 DE Mejora de aprendizajes en tercer ciclo. )</t>
    </r>
  </si>
  <si>
    <t>3.1.3 Fortalecimiento del área de 3er ciclo (Subdirección Genral de Educación Básica)</t>
  </si>
  <si>
    <r>
      <rPr>
        <b/>
        <sz val="11"/>
        <color theme="1"/>
        <rFont val="Calibri"/>
        <family val="2"/>
        <scheme val="minor"/>
      </rPr>
      <t>Asistencia técnica al área de 3er ciclo (Subdirección General de Educación Básica)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(Incluido VER SUBCOMPONENTE 2.1 DE Mejora de aprendizajes en tercer ciclo. )</t>
    </r>
  </si>
  <si>
    <t>3.1.4 Fortalecimiento de las áreas técnicas de la SEDU</t>
  </si>
  <si>
    <t>Asistencia ténica para el fortalecimiento de la SEDU</t>
  </si>
  <si>
    <t>lump sum</t>
  </si>
  <si>
    <t>3.1.5 Fortalecimiento a la Dirección General de Modalidades Educativas. Subdirección General de Jóvenes y Adultos</t>
  </si>
  <si>
    <t xml:space="preserve">3.2.5.1 Asistencia Técnica al área de modalidades alternativas (Subdirección General de Jóvenes y Adultos) </t>
  </si>
  <si>
    <t>3.2.5.2 Personal de apoyo Financiamiento con reducción gradual: Año 1 y 2, 100%; Año 3, 75%; Año 4; 50%; Año 5, 25%</t>
  </si>
  <si>
    <t>3.12.6 Innovación educativa</t>
  </si>
  <si>
    <t>3.2.6.1 Asistencia Técnica para innovación educativa</t>
  </si>
  <si>
    <t>3.2.6.2 Lider de innovación educativa Financiamiento con reducción gradual: Año 1 y 2, 100%; Año 3, 75%; Año 4; 50%; Año 5, 25%; </t>
  </si>
  <si>
    <t>Visitas internacionales de estudio para titular de innovación</t>
  </si>
  <si>
    <t>3.1.7 Fortalecimiento de la Subdirección General de Educación Básica</t>
  </si>
  <si>
    <t>3.2.7.1 Asdistencia Técnica para la SGEB</t>
  </si>
  <si>
    <t>3.1.8 Fortalecimiento del área de infraestructura educativa</t>
  </si>
  <si>
    <t>3.2.8.1 Asistencia Técnica para infraestructura</t>
  </si>
  <si>
    <t xml:space="preserve"> 3.2 Impulso a la transformación digital de la SEDUC</t>
  </si>
  <si>
    <t>3.2.1 Sistema de Información Educativa (con paquete de mantenimiento y garantías)</t>
  </si>
  <si>
    <t xml:space="preserve">Apoyo a la automatización de procesos transaccionales estableciendo comunicación y articulación entre las diferentes bases de datos para contar con un sistema integrado de información educativa que permita gestionar y tomar decisiones relacionadas con el aseguramiento de la calidad educativa. </t>
  </si>
  <si>
    <t>i) Desarrollo de módulos y sistemas: (a) Módulo  de Plantas Funcionales por centro educativo; (b) interfase con el SIPLIE; (d) Sistema de Gestión de RRHH; (e) Ventanilla Única de Trámites Administrativos en los Niveles Central y Departamental; (f) Gestión Administrativa, Financiera, Adquisiciones, Gestión de Bienes Muebles e Inmuebles y gestión digital de documentos; (g) Sistema de Acompañamiento Pedagógico</t>
  </si>
  <si>
    <t>Suma Alzada</t>
  </si>
  <si>
    <t xml:space="preserve">ii) Adquisición de licencia perpetua de BPMS (Bussiness Process Management System) para el desarrollo e integración de sistemas de Recursos Humanos, Infraestructura, Ventanilla Única, Gestión Administrativa y Financiera, Adquisiciones, Gestión de Bienes Muebles e Inmuebles, Auditoría Interna y Gestión Documental. </t>
  </si>
  <si>
    <t>Bienes</t>
  </si>
  <si>
    <t>iii) Adquisición de Plataforma Tecnológica de Análisis, Gestión, Diseño y Distribución de Información para la producción de Estadísticas Educativas y toma de decisiones de la SEDUC. Business Intelligence</t>
  </si>
  <si>
    <t>3.2.2 Adquisición y distribución de Equipamiento Informático de para permitir la  conectividad.</t>
  </si>
  <si>
    <t xml:space="preserve">Equipamiento necesario para operar el sistema de información educativa, incluyendo paquete de mantenimiento y garantías. </t>
  </si>
  <si>
    <t>Servidores (2 tipo torre y 3 tipo rack)</t>
  </si>
  <si>
    <t>por servidor</t>
  </si>
  <si>
    <t>Computadoras</t>
  </si>
  <si>
    <t>Laptop</t>
  </si>
  <si>
    <t>por computadora</t>
  </si>
  <si>
    <t>De escritorio</t>
  </si>
  <si>
    <t>3.2.3 Distribución de Equipo</t>
  </si>
  <si>
    <t>Distribución de equipo 10% del costo total del equipo (incluye seguro)</t>
  </si>
  <si>
    <t>Servicios de no consultoría</t>
  </si>
  <si>
    <t>suma alzada</t>
  </si>
  <si>
    <t>3.2.4 Equipo de Red</t>
  </si>
  <si>
    <t>Equipo para Red del Sistema de Información Educativa (incluyendo paquete de mantenimiento y garantías)</t>
  </si>
  <si>
    <t>Switches</t>
  </si>
  <si>
    <t>Puntos</t>
  </si>
  <si>
    <t>3.2.5 Conectividad para uso de sistemas de información durante la vida del proyecto</t>
  </si>
  <si>
    <t>Conectividad para las oficinas de la SEDU en los departamentos beneficiados por la operación (contingencia mientras los asume la SEDUC)</t>
  </si>
  <si>
    <t>por mes por departamento</t>
  </si>
  <si>
    <t>Administración, monitoreo y evaluación del proyecto</t>
  </si>
  <si>
    <t>4.1 Unidad Ejecutora</t>
  </si>
  <si>
    <t>4.1.1 Salarios del personal de la unidad</t>
  </si>
  <si>
    <t>Coordinador General</t>
  </si>
  <si>
    <t>Individal consultoría</t>
  </si>
  <si>
    <t xml:space="preserve">per cápita por mes </t>
  </si>
  <si>
    <t>Especialista Sr. de Adquisiciones</t>
  </si>
  <si>
    <t>Especialista de Adquisiciones</t>
  </si>
  <si>
    <t>Especialista Fiduciario</t>
  </si>
  <si>
    <t>Especialista en Monitoreo y Evaluación</t>
  </si>
  <si>
    <t>Coordinador Técnico Componente I</t>
  </si>
  <si>
    <t>Coordinador Técnico Componente II</t>
  </si>
  <si>
    <t>Coordinador Técnico Componente III</t>
  </si>
  <si>
    <t>Oficial Administrativo</t>
  </si>
  <si>
    <t>4.1.2 Equipamiento de unidad</t>
  </si>
  <si>
    <t>estimado total</t>
  </si>
  <si>
    <t>4.1.2 Gastos admvos</t>
  </si>
  <si>
    <t>por mes</t>
  </si>
  <si>
    <t>4.2 Rendición de cuentas</t>
  </si>
  <si>
    <t>4.2.1 Auditoría</t>
  </si>
  <si>
    <t>Auditoría financiera del proyecto</t>
  </si>
  <si>
    <t>Contratación directa</t>
  </si>
  <si>
    <t>4.2.2 Informes de medio término y fiinal incluyendo el PCR</t>
  </si>
  <si>
    <t>Informes de medio término y final del proyecto</t>
  </si>
  <si>
    <t>4.2.3 Evaluación de impacto</t>
  </si>
  <si>
    <t>Evaluación de los efectos directos del proyecto, incluyendo la aplicación de  un instrumento para la observación y evaluación de las prácticas docentes</t>
  </si>
  <si>
    <t>dddw</t>
  </si>
  <si>
    <t>Plan de Adquisiciones</t>
  </si>
  <si>
    <t>Agencia Ejecutora (AE)</t>
  </si>
  <si>
    <t>SEDU</t>
  </si>
  <si>
    <r>
      <t xml:space="preserve">Sector Público o Privado: </t>
    </r>
    <r>
      <rPr>
        <b/>
        <sz val="10"/>
        <rFont val="Calibri"/>
        <family val="2"/>
        <scheme val="minor"/>
      </rPr>
      <t>(indicar lo que corresponda)</t>
    </r>
  </si>
  <si>
    <t>Público</t>
  </si>
  <si>
    <t>Número del Proyecto:</t>
  </si>
  <si>
    <t>HO-L1188</t>
  </si>
  <si>
    <t>Nombre del Proyecto:</t>
  </si>
  <si>
    <t>Mejora de la calidad educativa para el desarrollo de habilidades para el empleo</t>
  </si>
  <si>
    <t>Fecha:</t>
  </si>
  <si>
    <t>Agosto  31, 2017</t>
  </si>
  <si>
    <t>Preparado por:</t>
  </si>
  <si>
    <t>SEDUC</t>
  </si>
  <si>
    <t>Período del Plan:</t>
  </si>
  <si>
    <t>XXXX 2017 a XXXX 2021</t>
  </si>
  <si>
    <t>Nº Ref.</t>
  </si>
  <si>
    <t>No del proceso de Adq. (1)</t>
  </si>
  <si>
    <t>Ref. POA (Si corresponde)</t>
  </si>
  <si>
    <t>Agencia ejecutora</t>
  </si>
  <si>
    <t>Actividad</t>
  </si>
  <si>
    <t>Descripción de las adquisiciones (2)</t>
  </si>
  <si>
    <t>Método de Adquisición (3):</t>
  </si>
  <si>
    <t>Revisión técnica del JEP (Si - No)  (5)</t>
  </si>
  <si>
    <t>Montos:</t>
  </si>
  <si>
    <t>Componente Correspondiente:</t>
  </si>
  <si>
    <t>Revisión  de adquisiciones 
(Ex-ante o 
Ex-Post)   (4)</t>
  </si>
  <si>
    <t>Fechas</t>
  </si>
  <si>
    <t>Nombre del o los contratistas  (1)</t>
  </si>
  <si>
    <t>Status  (pendiente, en proceso, adjudicado, cancelado)</t>
  </si>
  <si>
    <t>Comentarios</t>
  </si>
  <si>
    <t>Ex-Post</t>
  </si>
  <si>
    <t>Costo estimado de la Adquisición         (US$)</t>
  </si>
  <si>
    <t>Monto Estimado,  BID %:</t>
  </si>
  <si>
    <t>Monto Estimado,  Contraparte %:</t>
  </si>
  <si>
    <t>Costo del contrato firmado (US$)      (1)</t>
  </si>
  <si>
    <t>Fecha publicacion Aviso de Adquisición (o) del inicio del proceso de contratación (o) de No Objeción para consultores individuales  (1)</t>
  </si>
  <si>
    <t>Fecha firma del contrato  (1)</t>
  </si>
  <si>
    <t>Ex-Ante</t>
  </si>
  <si>
    <t>1,2,1</t>
  </si>
  <si>
    <t>UCP</t>
  </si>
  <si>
    <t>Licitación Pública Internacional</t>
  </si>
  <si>
    <t>Pendiente</t>
  </si>
  <si>
    <t>Estará por determinarse el número de adjudicaciones</t>
  </si>
  <si>
    <t>N/A</t>
  </si>
  <si>
    <t>Contract Concluded</t>
  </si>
  <si>
    <t>Contract in Execution</t>
  </si>
  <si>
    <t>Contract Terminated</t>
  </si>
  <si>
    <t>Null and Void</t>
  </si>
  <si>
    <t>Ongoing</t>
  </si>
  <si>
    <t>1.2.4</t>
  </si>
  <si>
    <t>Comparación de Precios</t>
  </si>
  <si>
    <t>Equipamiento de las aulas construidas</t>
  </si>
  <si>
    <t>Planned</t>
  </si>
  <si>
    <t>1.2.5</t>
  </si>
  <si>
    <t>Rejection of all Bids</t>
  </si>
  <si>
    <t>2.1.9</t>
  </si>
  <si>
    <t>Licitación Pública Nacional</t>
  </si>
  <si>
    <t>Contratación Directa</t>
  </si>
  <si>
    <t>2.2.4</t>
  </si>
  <si>
    <t xml:space="preserve">Impresión y distribución de materiales didácticos para administrativos, directores y docentes del 3er ciclo de básica. </t>
  </si>
  <si>
    <t>Precalificación</t>
  </si>
  <si>
    <t xml:space="preserve">Impresión y distribución de materiales didácticos para alumnos, </t>
  </si>
  <si>
    <t>3.2.2</t>
  </si>
  <si>
    <t>3.2.4</t>
  </si>
  <si>
    <t>4.1.2</t>
  </si>
  <si>
    <t>Equipamiento UCP</t>
  </si>
  <si>
    <t>Re-Tendering</t>
  </si>
  <si>
    <t>3.2.3</t>
  </si>
  <si>
    <t>3.2.5</t>
  </si>
  <si>
    <t>Firmas Consultoras</t>
  </si>
  <si>
    <t>Programa de formación inicial y continua del 3er ciclo de educación básica</t>
  </si>
  <si>
    <t>Selección Basada en la Calidad y el Costo (SBCC)</t>
  </si>
  <si>
    <t>4.2.3</t>
  </si>
  <si>
    <t>2.3.2</t>
  </si>
  <si>
    <t>2.2.5</t>
  </si>
  <si>
    <t>2.1.10</t>
  </si>
  <si>
    <t>3.2.1</t>
  </si>
  <si>
    <t>3.1.4</t>
  </si>
  <si>
    <t>3.1.5</t>
  </si>
  <si>
    <t>4.2.1</t>
  </si>
  <si>
    <t>Selección Basada en las Calificaciones de los Consultores (SCC)</t>
  </si>
  <si>
    <t>Selección Basada en el Menor Costo (SBMC)</t>
  </si>
  <si>
    <t>Consultores individuales</t>
  </si>
  <si>
    <t>Selección Basada en Presupuesto Fijo (SBPF)</t>
  </si>
  <si>
    <t>INIFED</t>
  </si>
  <si>
    <t>1.2.2</t>
  </si>
  <si>
    <t>Se contratarán dos personas que proporcionen dichos servicios legales</t>
  </si>
  <si>
    <t>1.2.3</t>
  </si>
  <si>
    <t>Se contratará 1 supervisor por cada 10 centros.</t>
  </si>
  <si>
    <t>3.1.1</t>
  </si>
  <si>
    <t>Se contratarán a 10 técnicos</t>
  </si>
  <si>
    <t>Se contratarán a 2 técnicos de apoyo</t>
  </si>
  <si>
    <t>3.2.6.1</t>
  </si>
  <si>
    <t>Se contratarán asistencia técnica Internacional</t>
  </si>
  <si>
    <t>3.2.6.2</t>
  </si>
  <si>
    <t>3.1.7</t>
  </si>
  <si>
    <t>3.1.8</t>
  </si>
  <si>
    <t>4.1.1</t>
  </si>
  <si>
    <t>Personal UCP</t>
  </si>
  <si>
    <t xml:space="preserve">Conratación del siguiente personal por la vida del proyecto: Coordinador General, Especialista Sr. de Adquisiciones, Especialista de Adquisiciones, Especialista Fiduciario, Especialista en Monitoreo y Evaluación, Coordinador Técnico Componente I, Coordinador Técnico Componente II, Coordinador Técnico Componente III, Oficial Administrativo
</t>
  </si>
  <si>
    <t>4.2.2</t>
  </si>
  <si>
    <t xml:space="preserve">(1) Estas columnas deberan completarse en la medida que se vayan produciendo los eventos o datos alli indicados. </t>
  </si>
  <si>
    <t>Total PAC</t>
  </si>
  <si>
    <t>(2)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</si>
  <si>
    <t>Subcomp 1.1</t>
  </si>
  <si>
    <t>Selección Basada en la Calidad (SBC)</t>
  </si>
  <si>
    <t xml:space="preserve">(3) Bienes y Obras:  LPI: Licitación Pública Internacional; LPN: Licitacion Publica Nacional; CP: Comparación de Precios;  CD: Contratación Directa.    </t>
  </si>
  <si>
    <t>(3) Firmas de consultoria:  SCC: Selección Basada en la Calificación de los Consultores; SBCC: Selección Basada en Calidad y Costo; SBMC: Selección Basada en el Menor Costo; SBPF: Selección Basada en Presupuesto Fijo. SD: Selección Directa; SBC: Selección Basada en Calidad</t>
  </si>
  <si>
    <t xml:space="preserve">(3) Consultores Individuales: CCIN: Selección basada en la Comparación de Calificaciones Consultor Individual ; SD: Selección Directa. </t>
  </si>
  <si>
    <t>Gtos de viaje</t>
  </si>
  <si>
    <t>(4) Revisión ex-ante/ ex-post. En general, dependiendo de la capacidad institucional y el nivel de riesgo asociados a las adquisiciones la modalidad estándar es revisión ex-post. Para procesos críticos o complejos podrá establecerse la revisión ex-ante.</t>
  </si>
  <si>
    <t>(5) Revisión técnica: Esta columna será utilizada por el JEP para definir aquellas adquisiciones que considere "críticas" o "complejas" que requieran la revisión ex ante por parte del JEP de los términos de referencia, especificaciones técnicas, informes, productos, u otros.</t>
  </si>
  <si>
    <t>Gtos advos</t>
  </si>
  <si>
    <t>Turnkey</t>
  </si>
  <si>
    <t>Goods</t>
  </si>
  <si>
    <t>Unit Prices</t>
  </si>
  <si>
    <t>Lump-Sum</t>
  </si>
  <si>
    <t>Comments</t>
  </si>
  <si>
    <t>Works</t>
  </si>
  <si>
    <t>Lump-Sum + Reimbursable Expenses</t>
  </si>
  <si>
    <t>Consulting Firms</t>
  </si>
  <si>
    <t>Time-Based</t>
  </si>
  <si>
    <t>Individual Consultants</t>
  </si>
  <si>
    <t>Price Comparison for Goods</t>
  </si>
  <si>
    <t>Technical Specifications</t>
  </si>
  <si>
    <t>Procurement of plant Design , Supply and Installation</t>
  </si>
  <si>
    <t>Procurement of IT Products and/or Services</t>
  </si>
  <si>
    <t>Price Comparison for Works</t>
  </si>
  <si>
    <t>Procurement for Works</t>
  </si>
  <si>
    <t>Procurement for Smaller Works</t>
  </si>
  <si>
    <t>Prequalification for Procurement of Works</t>
  </si>
  <si>
    <t>Price Comparison</t>
  </si>
  <si>
    <t>Non-Consulting Services</t>
  </si>
  <si>
    <t>Terms of Reference</t>
  </si>
  <si>
    <t>Procurement of Non-Consulting Services</t>
  </si>
  <si>
    <t>Request for Proposals and Terms of Reference</t>
  </si>
  <si>
    <t>Selección Directa</t>
  </si>
  <si>
    <t>Comparación de Calificaciones - Consultor Individual Nacional</t>
  </si>
  <si>
    <t>Comparación de Calificaciones - Consultor Individual Internacional</t>
  </si>
  <si>
    <t>Terna</t>
  </si>
  <si>
    <t>Miles</t>
  </si>
  <si>
    <t>Calendario de Desembolsos</t>
  </si>
  <si>
    <t>(US$ 000)</t>
  </si>
  <si>
    <t>Año 6</t>
  </si>
  <si>
    <t>A</t>
  </si>
  <si>
    <t>Beneficiarios</t>
  </si>
  <si>
    <t>Escuelas</t>
  </si>
  <si>
    <t>Zona</t>
  </si>
  <si>
    <t>Alumnos promedio</t>
  </si>
  <si>
    <t>Total de alumnos</t>
  </si>
  <si>
    <t>Docentes promedio (incluye director)</t>
  </si>
  <si>
    <t>Total de docentes (incluye director)</t>
  </si>
  <si>
    <t>Proporción de Escuelas por Acompañante</t>
  </si>
  <si>
    <t>Total de Acompañantes</t>
  </si>
  <si>
    <t>Alternativo presencial</t>
  </si>
  <si>
    <t>Alternativas</t>
  </si>
  <si>
    <t>Rurales</t>
  </si>
  <si>
    <t>Tradicionales</t>
  </si>
  <si>
    <t>Parte de las 267</t>
  </si>
  <si>
    <t>Urbanas</t>
  </si>
  <si>
    <t>Alternativas Flexibles</t>
  </si>
  <si>
    <t>Total de niños</t>
  </si>
  <si>
    <t>% Distribución por zona</t>
  </si>
  <si>
    <t>Beneficiarios estimado</t>
  </si>
  <si>
    <t>Promedio de Alumnos por cada 1 Docente</t>
  </si>
  <si>
    <r>
      <t xml:space="preserve">Alternativas Flexibles </t>
    </r>
    <r>
      <rPr>
        <b/>
        <sz val="11"/>
        <color theme="1"/>
        <rFont val="Calibri"/>
        <family val="2"/>
        <scheme val="minor"/>
      </rPr>
      <t>(No presenciales)</t>
    </r>
  </si>
  <si>
    <t>Distrito Central</t>
  </si>
  <si>
    <t>San Pedro</t>
  </si>
  <si>
    <t>Fliujos (No presenciales)</t>
  </si>
  <si>
    <t>Flujos totales</t>
  </si>
  <si>
    <t>Presenciales</t>
  </si>
  <si>
    <t>No presenciales</t>
  </si>
  <si>
    <t>B</t>
  </si>
  <si>
    <t>Construcción</t>
  </si>
  <si>
    <t>C</t>
  </si>
  <si>
    <t>Formación del docente en servicio</t>
  </si>
  <si>
    <t>Costo por docente</t>
  </si>
  <si>
    <t>Costo total</t>
  </si>
  <si>
    <t>Costo de Capacitación del docente en servicio en el nuevo curriculo, la implementación de nuevos modelos pedagógicos y combate a la violencia.</t>
  </si>
  <si>
    <t>Costo de la mentoría</t>
  </si>
  <si>
    <t>% estimado afectado por transición</t>
  </si>
  <si>
    <t>No. de Alumnos Afectados</t>
  </si>
  <si>
    <t>Costo por Alumno por año</t>
  </si>
  <si>
    <t>Costo acciones conducentes  a  incrementar la transición estudiantil</t>
  </si>
  <si>
    <t>Costo acciones conducentes  a  incrementar la permanencia</t>
  </si>
  <si>
    <t>1.2 Ampliación de infraestructura educativa, mobiliario y equipamiento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</si>
</sst>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  <numFmt numFmtId="168" formatCode="_(* #,##0.0_);_(* \(#,##0.0\);_(* &quot;-&quot;??_);_(@_)"/>
    <numFmt numFmtId="169" formatCode="_(* #,##0.00000_);_(* \(#,##0.00000\);_(* &quot;-&quot;??_);_(@_)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Calibri"/>
      <family val="2"/>
      <scheme val="minor"/>
    </font>
    <font>
      <sz val="9"/>
      <color rgb="FF000000"/>
      <name val="Calibri"/>
      <family val="2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FF0000"/>
      <name val="Calibri"/>
      <family val="2"/>
      <scheme val="minor"/>
    </font>
    <font>
      <b/>
      <sz val="8"/>
      <color indexed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u/>
      <sz val="8"/>
      <name val="Arial Narrow"/>
      <family val="2"/>
    </font>
    <font>
      <b/>
      <sz val="14"/>
      <color rgb="FFFF0000"/>
      <name val="Arial Narrow"/>
      <family val="2"/>
    </font>
    <font>
      <b/>
      <sz val="18"/>
      <color indexed="9"/>
      <name val="Arial Narrow"/>
      <family val="2"/>
    </font>
    <font>
      <b/>
      <sz val="1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Calibri"/>
      <family val="2"/>
      <scheme val="minor"/>
    </font>
    <font>
      <b/>
      <u val="singleAccounting"/>
      <sz val="12"/>
      <name val="Arial Narrow"/>
      <family val="2"/>
    </font>
    <font>
      <b/>
      <u val="singleAccounting"/>
      <sz val="16"/>
      <name val="Arial Narrow"/>
      <family val="2"/>
    </font>
    <font>
      <b/>
      <sz val="9"/>
      <name val="Arial Narrow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10"/>
      <name val="Arial Narrow"/>
      <family val="2"/>
    </font>
    <font>
      <b/>
      <sz val="11"/>
      <color theme="1"/>
      <name val="Arial Narrow"/>
      <family val="2"/>
    </font>
    <font>
      <b/>
      <u val="singleAccounting"/>
      <sz val="16"/>
      <color theme="1"/>
      <name val="Calibri"/>
      <family val="2"/>
      <scheme val="minor"/>
    </font>
    <font>
      <b/>
      <sz val="10"/>
      <color rgb="FFFF0000"/>
      <name val="Arial Narrow"/>
      <family val="2"/>
    </font>
    <font>
      <sz val="8"/>
      <color theme="0" tint="-0.499984740745262"/>
      <name val="Arial Narrow"/>
      <family val="2"/>
    </font>
    <font>
      <sz val="9"/>
      <name val="Arial Narrow"/>
      <family val="2"/>
    </font>
    <font>
      <b/>
      <u/>
      <sz val="12"/>
      <name val="Arial Narrow"/>
      <family val="2"/>
    </font>
    <font>
      <b/>
      <sz val="9"/>
      <color rgb="FFFF0000"/>
      <name val="Calibri"/>
      <family val="2"/>
      <scheme val="minor"/>
    </font>
    <font>
      <b/>
      <sz val="16"/>
      <name val="Arial Narrow"/>
      <family val="2"/>
    </font>
    <font>
      <b/>
      <sz val="14"/>
      <color theme="3" tint="0.3999755851924192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521">
    <xf numFmtId="0" fontId="0" fillId="0" borderId="0" xfId="0"/>
    <xf numFmtId="44" fontId="0" fillId="0" borderId="0" xfId="0" applyNumberFormat="1"/>
    <xf numFmtId="0" fontId="0" fillId="0" borderId="4" xfId="0" applyBorder="1"/>
    <xf numFmtId="0" fontId="5" fillId="0" borderId="10" xfId="5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3" fontId="5" fillId="0" borderId="4" xfId="1" applyFont="1" applyFill="1" applyBorder="1" applyAlignment="1">
      <alignment vertical="center" wrapText="1"/>
    </xf>
    <xf numFmtId="9" fontId="5" fillId="0" borderId="4" xfId="5" applyNumberFormat="1" applyFont="1" applyFill="1" applyBorder="1" applyAlignment="1">
      <alignment vertical="center" wrapText="1"/>
    </xf>
    <xf numFmtId="17" fontId="5" fillId="0" borderId="4" xfId="5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17" fontId="5" fillId="0" borderId="13" xfId="5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15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vertical="center" wrapText="1"/>
    </xf>
    <xf numFmtId="17" fontId="5" fillId="0" borderId="11" xfId="5" applyNumberFormat="1" applyFont="1" applyFill="1" applyBorder="1" applyAlignment="1">
      <alignment vertical="center" wrapText="1"/>
    </xf>
    <xf numFmtId="44" fontId="5" fillId="0" borderId="5" xfId="5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wrapText="1"/>
    </xf>
    <xf numFmtId="0" fontId="9" fillId="6" borderId="0" xfId="4" applyFont="1" applyFill="1" applyBorder="1" applyAlignment="1">
      <alignment vertical="center" wrapText="1"/>
    </xf>
    <xf numFmtId="0" fontId="3" fillId="6" borderId="9" xfId="4" applyFont="1" applyFill="1" applyBorder="1" applyAlignment="1">
      <alignment vertical="center" wrapText="1"/>
    </xf>
    <xf numFmtId="0" fontId="3" fillId="6" borderId="7" xfId="4" applyFont="1" applyFill="1" applyBorder="1" applyAlignment="1">
      <alignment vertical="center" wrapText="1"/>
    </xf>
    <xf numFmtId="0" fontId="0" fillId="6" borderId="0" xfId="0" applyFill="1"/>
    <xf numFmtId="0" fontId="3" fillId="6" borderId="21" xfId="4" applyFont="1" applyFill="1" applyBorder="1" applyAlignment="1">
      <alignment vertical="center" wrapText="1"/>
    </xf>
    <xf numFmtId="0" fontId="3" fillId="6" borderId="0" xfId="4" applyFont="1" applyFill="1" applyBorder="1" applyAlignment="1">
      <alignment vertical="center" wrapText="1"/>
    </xf>
    <xf numFmtId="0" fontId="10" fillId="6" borderId="11" xfId="0" applyFont="1" applyFill="1" applyBorder="1" applyAlignment="1"/>
    <xf numFmtId="0" fontId="0" fillId="6" borderId="3" xfId="0" applyFill="1" applyBorder="1" applyAlignment="1">
      <alignment wrapText="1"/>
    </xf>
    <xf numFmtId="0" fontId="10" fillId="6" borderId="12" xfId="0" applyFont="1" applyFill="1" applyBorder="1" applyAlignment="1"/>
    <xf numFmtId="0" fontId="8" fillId="6" borderId="12" xfId="0" applyFont="1" applyFill="1" applyBorder="1" applyAlignment="1"/>
    <xf numFmtId="0" fontId="8" fillId="6" borderId="3" xfId="0" applyFont="1" applyFill="1" applyBorder="1" applyAlignment="1"/>
    <xf numFmtId="0" fontId="8" fillId="6" borderId="6" xfId="0" applyFont="1" applyFill="1" applyBorder="1" applyAlignment="1">
      <alignment wrapText="1"/>
    </xf>
    <xf numFmtId="0" fontId="8" fillId="6" borderId="9" xfId="0" applyFont="1" applyFill="1" applyBorder="1" applyAlignment="1">
      <alignment wrapText="1"/>
    </xf>
    <xf numFmtId="0" fontId="8" fillId="6" borderId="7" xfId="0" applyFont="1" applyFill="1" applyBorder="1" applyAlignment="1">
      <alignment wrapText="1"/>
    </xf>
    <xf numFmtId="0" fontId="8" fillId="6" borderId="0" xfId="0" applyFont="1" applyFill="1" applyBorder="1" applyAlignment="1">
      <alignment wrapText="1"/>
    </xf>
    <xf numFmtId="0" fontId="8" fillId="6" borderId="9" xfId="0" applyFont="1" applyFill="1" applyBorder="1" applyAlignment="1"/>
    <xf numFmtId="0" fontId="8" fillId="6" borderId="7" xfId="0" applyFont="1" applyFill="1" applyBorder="1" applyAlignment="1"/>
    <xf numFmtId="0" fontId="8" fillId="6" borderId="0" xfId="0" applyFont="1" applyFill="1" applyBorder="1" applyAlignment="1"/>
    <xf numFmtId="0" fontId="10" fillId="6" borderId="9" xfId="0" applyFont="1" applyFill="1" applyBorder="1" applyAlignment="1"/>
    <xf numFmtId="0" fontId="8" fillId="6" borderId="11" xfId="0" applyFont="1" applyFill="1" applyBorder="1" applyAlignment="1"/>
    <xf numFmtId="0" fontId="10" fillId="7" borderId="0" xfId="0" applyFont="1" applyFill="1" applyBorder="1" applyAlignment="1">
      <alignment vertical="center"/>
    </xf>
    <xf numFmtId="0" fontId="10" fillId="6" borderId="0" xfId="0" applyFont="1" applyFill="1" applyBorder="1" applyAlignment="1">
      <alignment vertical="center"/>
    </xf>
    <xf numFmtId="0" fontId="3" fillId="6" borderId="0" xfId="5" applyFont="1" applyFill="1" applyBorder="1" applyAlignment="1">
      <alignment vertical="center" wrapText="1"/>
    </xf>
    <xf numFmtId="0" fontId="13" fillId="6" borderId="0" xfId="5" applyFont="1" applyFill="1"/>
    <xf numFmtId="0" fontId="13" fillId="6" borderId="0" xfId="4" applyFont="1" applyFill="1"/>
    <xf numFmtId="0" fontId="10" fillId="6" borderId="0" xfId="0" applyFont="1" applyFill="1"/>
    <xf numFmtId="0" fontId="10" fillId="8" borderId="0" xfId="0" applyFont="1" applyFill="1"/>
    <xf numFmtId="0" fontId="13" fillId="6" borderId="0" xfId="5" applyFont="1" applyFill="1" applyBorder="1"/>
    <xf numFmtId="0" fontId="11" fillId="6" borderId="0" xfId="4" applyFont="1" applyFill="1" applyAlignment="1">
      <alignment vertical="center" wrapText="1"/>
    </xf>
    <xf numFmtId="0" fontId="5" fillId="0" borderId="23" xfId="5" applyFont="1" applyFill="1" applyBorder="1" applyAlignment="1">
      <alignment horizontal="center" vertical="center" wrapText="1"/>
    </xf>
    <xf numFmtId="0" fontId="0" fillId="0" borderId="2" xfId="0" applyBorder="1"/>
    <xf numFmtId="0" fontId="5" fillId="0" borderId="2" xfId="5" applyFont="1" applyFill="1" applyBorder="1" applyAlignment="1">
      <alignment vertical="center" wrapText="1"/>
    </xf>
    <xf numFmtId="43" fontId="5" fillId="0" borderId="2" xfId="5" applyNumberFormat="1" applyFont="1" applyFill="1" applyBorder="1" applyAlignment="1">
      <alignment vertical="center" wrapText="1"/>
    </xf>
    <xf numFmtId="0" fontId="5" fillId="0" borderId="8" xfId="5" applyFont="1" applyFill="1" applyBorder="1" applyAlignment="1">
      <alignment vertical="center" wrapText="1"/>
    </xf>
    <xf numFmtId="0" fontId="2" fillId="6" borderId="0" xfId="5" applyFill="1" applyBorder="1"/>
    <xf numFmtId="0" fontId="2" fillId="6" borderId="0" xfId="5" applyFill="1"/>
    <xf numFmtId="0" fontId="5" fillId="6" borderId="11" xfId="4" applyFont="1" applyFill="1" applyBorder="1" applyAlignment="1">
      <alignment vertical="center" wrapText="1"/>
    </xf>
    <xf numFmtId="0" fontId="5" fillId="0" borderId="11" xfId="5" applyFont="1" applyFill="1" applyBorder="1" applyAlignment="1">
      <alignment vertical="center" wrapText="1"/>
    </xf>
    <xf numFmtId="0" fontId="5" fillId="0" borderId="6" xfId="5" applyFont="1" applyFill="1" applyBorder="1" applyAlignment="1">
      <alignment vertical="center" wrapText="1"/>
    </xf>
    <xf numFmtId="0" fontId="0" fillId="6" borderId="0" xfId="0" applyFill="1" applyBorder="1"/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 wrapText="1"/>
    </xf>
    <xf numFmtId="44" fontId="5" fillId="0" borderId="2" xfId="5" applyNumberFormat="1" applyFont="1" applyFill="1" applyBorder="1" applyAlignment="1">
      <alignment vertical="center" wrapText="1"/>
    </xf>
    <xf numFmtId="9" fontId="5" fillId="0" borderId="2" xfId="5" applyNumberFormat="1" applyFont="1" applyFill="1" applyBorder="1" applyAlignment="1">
      <alignment vertical="center" wrapText="1"/>
    </xf>
    <xf numFmtId="17" fontId="5" fillId="0" borderId="2" xfId="5" applyNumberFormat="1" applyFont="1" applyFill="1" applyBorder="1" applyAlignment="1">
      <alignment vertical="center" wrapText="1"/>
    </xf>
    <xf numFmtId="17" fontId="5" fillId="0" borderId="8" xfId="5" applyNumberFormat="1" applyFont="1" applyFill="1" applyBorder="1" applyAlignment="1">
      <alignment vertical="center" wrapText="1"/>
    </xf>
    <xf numFmtId="0" fontId="5" fillId="0" borderId="3" xfId="5" applyFont="1" applyFill="1" applyBorder="1" applyAlignment="1">
      <alignment horizontal="center" vertical="center" wrapText="1"/>
    </xf>
    <xf numFmtId="0" fontId="0" fillId="6" borderId="4" xfId="0" applyFill="1" applyBorder="1"/>
    <xf numFmtId="0" fontId="0" fillId="6" borderId="4" xfId="0" applyFill="1" applyBorder="1" applyAlignment="1">
      <alignment horizontal="center" vertical="center"/>
    </xf>
    <xf numFmtId="0" fontId="2" fillId="6" borderId="0" xfId="4" applyFill="1"/>
    <xf numFmtId="0" fontId="5" fillId="6" borderId="0" xfId="4" applyFont="1" applyFill="1" applyAlignment="1">
      <alignment vertical="center" wrapText="1"/>
    </xf>
    <xf numFmtId="0" fontId="5" fillId="0" borderId="4" xfId="5" applyFont="1" applyFill="1" applyBorder="1" applyAlignment="1">
      <alignment horizontal="left" vertical="center" wrapText="1" indent="2"/>
    </xf>
    <xf numFmtId="0" fontId="5" fillId="0" borderId="7" xfId="5" applyFont="1" applyFill="1" applyBorder="1" applyAlignment="1">
      <alignment horizontal="center" vertical="center" wrapText="1"/>
    </xf>
    <xf numFmtId="0" fontId="5" fillId="6" borderId="7" xfId="5" applyFont="1" applyFill="1" applyBorder="1" applyAlignment="1">
      <alignment horizontal="center" vertical="center" wrapText="1"/>
    </xf>
    <xf numFmtId="0" fontId="5" fillId="6" borderId="5" xfId="5" applyFont="1" applyFill="1" applyBorder="1" applyAlignment="1">
      <alignment vertical="center" wrapText="1"/>
    </xf>
    <xf numFmtId="43" fontId="5" fillId="6" borderId="5" xfId="1" applyFont="1" applyFill="1" applyBorder="1" applyAlignment="1">
      <alignment vertical="center" wrapText="1"/>
    </xf>
    <xf numFmtId="9" fontId="5" fillId="6" borderId="4" xfId="5" applyNumberFormat="1" applyFont="1" applyFill="1" applyBorder="1" applyAlignment="1">
      <alignment vertical="center" wrapText="1"/>
    </xf>
    <xf numFmtId="17" fontId="5" fillId="6" borderId="4" xfId="5" applyNumberFormat="1" applyFont="1" applyFill="1" applyBorder="1" applyAlignment="1">
      <alignment vertical="center" wrapText="1"/>
    </xf>
    <xf numFmtId="17" fontId="5" fillId="6" borderId="6" xfId="5" applyNumberFormat="1" applyFont="1" applyFill="1" applyBorder="1" applyAlignment="1">
      <alignment vertical="center" wrapText="1"/>
    </xf>
    <xf numFmtId="0" fontId="5" fillId="6" borderId="4" xfId="5" applyFont="1" applyFill="1" applyBorder="1" applyAlignment="1">
      <alignment vertical="center" wrapText="1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9" fontId="5" fillId="0" borderId="5" xfId="5" applyNumberFormat="1" applyFont="1" applyFill="1" applyBorder="1" applyAlignment="1">
      <alignment vertical="center" wrapText="1"/>
    </xf>
    <xf numFmtId="17" fontId="5" fillId="0" borderId="5" xfId="5" applyNumberFormat="1" applyFont="1" applyFill="1" applyBorder="1" applyAlignment="1">
      <alignment vertical="center" wrapText="1"/>
    </xf>
    <xf numFmtId="17" fontId="5" fillId="0" borderId="6" xfId="5" applyNumberFormat="1" applyFont="1" applyFill="1" applyBorder="1" applyAlignment="1">
      <alignment vertical="center" wrapText="1"/>
    </xf>
    <xf numFmtId="0" fontId="5" fillId="6" borderId="11" xfId="4" applyFont="1" applyFill="1" applyBorder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0" fontId="5" fillId="6" borderId="4" xfId="5" applyFont="1" applyFill="1" applyBorder="1" applyAlignment="1">
      <alignment horizontal="center" vertical="center" wrapText="1"/>
    </xf>
    <xf numFmtId="43" fontId="5" fillId="6" borderId="4" xfId="1" applyFont="1" applyFill="1" applyBorder="1" applyAlignment="1">
      <alignment vertical="center" wrapText="1"/>
    </xf>
    <xf numFmtId="0" fontId="5" fillId="6" borderId="3" xfId="4" applyFont="1" applyFill="1" applyBorder="1" applyAlignment="1">
      <alignment vertical="center" wrapText="1"/>
    </xf>
    <xf numFmtId="0" fontId="5" fillId="6" borderId="3" xfId="4" applyFont="1" applyFill="1" applyBorder="1" applyAlignment="1">
      <alignment horizontal="left" vertical="center" wrapText="1"/>
    </xf>
    <xf numFmtId="0" fontId="5" fillId="6" borderId="4" xfId="4" applyFont="1" applyFill="1" applyBorder="1" applyAlignment="1">
      <alignment horizontal="left" vertical="center" wrapText="1"/>
    </xf>
    <xf numFmtId="0" fontId="4" fillId="6" borderId="14" xfId="5" applyFont="1" applyFill="1" applyBorder="1" applyAlignment="1">
      <alignment horizontal="center" vertical="center" wrapText="1"/>
    </xf>
    <xf numFmtId="0" fontId="5" fillId="6" borderId="14" xfId="5" applyFont="1" applyFill="1" applyBorder="1" applyAlignment="1">
      <alignment vertical="center" wrapText="1"/>
    </xf>
    <xf numFmtId="0" fontId="5" fillId="6" borderId="16" xfId="5" applyFont="1" applyFill="1" applyBorder="1" applyAlignment="1">
      <alignment vertical="center" wrapText="1"/>
    </xf>
    <xf numFmtId="0" fontId="5" fillId="6" borderId="5" xfId="4" applyFont="1" applyFill="1" applyBorder="1" applyAlignment="1">
      <alignment horizontal="left" vertical="center" wrapText="1"/>
    </xf>
    <xf numFmtId="0" fontId="5" fillId="6" borderId="17" xfId="4" applyFont="1" applyFill="1" applyBorder="1" applyAlignment="1">
      <alignment vertical="center" wrapText="1"/>
    </xf>
    <xf numFmtId="0" fontId="5" fillId="6" borderId="18" xfId="4" applyFont="1" applyFill="1" applyBorder="1" applyAlignment="1">
      <alignment vertical="center" wrapText="1"/>
    </xf>
    <xf numFmtId="0" fontId="5" fillId="6" borderId="19" xfId="4" applyFont="1" applyFill="1" applyBorder="1" applyAlignment="1">
      <alignment horizontal="left" vertical="center" wrapText="1"/>
    </xf>
    <xf numFmtId="0" fontId="5" fillId="6" borderId="20" xfId="4" applyFont="1" applyFill="1" applyBorder="1" applyAlignment="1">
      <alignment vertical="center" wrapText="1"/>
    </xf>
    <xf numFmtId="0" fontId="5" fillId="6" borderId="2" xfId="4" applyFont="1" applyFill="1" applyBorder="1" applyAlignment="1">
      <alignment horizontal="left" vertical="center" wrapText="1"/>
    </xf>
    <xf numFmtId="0" fontId="5" fillId="6" borderId="4" xfId="4" applyFont="1" applyFill="1" applyBorder="1" applyAlignment="1">
      <alignment vertical="center" wrapText="1"/>
    </xf>
    <xf numFmtId="43" fontId="5" fillId="5" borderId="4" xfId="0" applyNumberFormat="1" applyFont="1" applyFill="1" applyBorder="1" applyAlignment="1">
      <alignment vertical="center" wrapText="1"/>
    </xf>
    <xf numFmtId="0" fontId="0" fillId="0" borderId="24" xfId="0" applyBorder="1" applyAlignment="1">
      <alignment horizontal="right" vertical="center"/>
    </xf>
    <xf numFmtId="0" fontId="0" fillId="0" borderId="25" xfId="0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65" fontId="0" fillId="0" borderId="4" xfId="1" applyNumberFormat="1" applyFont="1" applyBorder="1" applyAlignment="1">
      <alignment horizontal="center" vertical="center"/>
    </xf>
    <xf numFmtId="167" fontId="0" fillId="0" borderId="4" xfId="3" applyNumberFormat="1" applyFont="1" applyBorder="1" applyAlignment="1">
      <alignment horizontal="center" vertical="center"/>
    </xf>
    <xf numFmtId="165" fontId="7" fillId="9" borderId="4" xfId="1" applyNumberFormat="1" applyFont="1" applyFill="1" applyBorder="1" applyAlignment="1">
      <alignment horizontal="center" vertical="center"/>
    </xf>
    <xf numFmtId="167" fontId="7" fillId="9" borderId="4" xfId="3" applyNumberFormat="1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165" fontId="7" fillId="9" borderId="4" xfId="0" applyNumberFormat="1" applyFont="1" applyFill="1" applyBorder="1" applyAlignment="1">
      <alignment horizontal="center" vertical="center"/>
    </xf>
    <xf numFmtId="167" fontId="14" fillId="9" borderId="4" xfId="3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11" fillId="5" borderId="4" xfId="0" applyNumberFormat="1" applyFont="1" applyFill="1" applyBorder="1" applyAlignment="1">
      <alignment vertical="center" wrapText="1"/>
    </xf>
    <xf numFmtId="0" fontId="15" fillId="6" borderId="0" xfId="0" applyFont="1" applyFill="1" applyAlignment="1">
      <alignment vertical="center" wrapText="1"/>
    </xf>
    <xf numFmtId="0" fontId="16" fillId="6" borderId="0" xfId="0" applyFont="1" applyFill="1" applyAlignment="1">
      <alignment vertical="center" wrapText="1"/>
    </xf>
    <xf numFmtId="0" fontId="15" fillId="6" borderId="0" xfId="0" applyFont="1" applyFill="1" applyAlignment="1">
      <alignment horizontal="left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165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6" fontId="15" fillId="6" borderId="4" xfId="2" applyNumberFormat="1" applyFont="1" applyFill="1" applyBorder="1" applyAlignment="1">
      <alignment vertical="center" wrapText="1"/>
    </xf>
    <xf numFmtId="166" fontId="15" fillId="6" borderId="0" xfId="2" applyNumberFormat="1" applyFont="1" applyFill="1" applyAlignment="1">
      <alignment vertical="center" wrapText="1"/>
    </xf>
    <xf numFmtId="166" fontId="16" fillId="6" borderId="4" xfId="2" applyNumberFormat="1" applyFont="1" applyFill="1" applyBorder="1" applyAlignment="1">
      <alignment vertical="center" wrapText="1"/>
    </xf>
    <xf numFmtId="0" fontId="15" fillId="6" borderId="4" xfId="0" applyFont="1" applyFill="1" applyBorder="1" applyAlignment="1">
      <alignment horizontal="left" vertical="center" wrapText="1" indent="1"/>
    </xf>
    <xf numFmtId="167" fontId="15" fillId="6" borderId="4" xfId="3" applyNumberFormat="1" applyFont="1" applyFill="1" applyBorder="1" applyAlignment="1">
      <alignment vertical="center" wrapText="1"/>
    </xf>
    <xf numFmtId="0" fontId="15" fillId="6" borderId="0" xfId="0" applyFont="1" applyFill="1" applyBorder="1" applyAlignment="1">
      <alignment horizontal="left" vertical="center" wrapText="1" indent="1"/>
    </xf>
    <xf numFmtId="166" fontId="15" fillId="6" borderId="0" xfId="2" applyNumberFormat="1" applyFont="1" applyFill="1" applyBorder="1" applyAlignment="1">
      <alignment vertical="center" wrapText="1"/>
    </xf>
    <xf numFmtId="166" fontId="16" fillId="6" borderId="0" xfId="2" applyNumberFormat="1" applyFont="1" applyFill="1" applyBorder="1" applyAlignment="1">
      <alignment vertical="center" wrapText="1"/>
    </xf>
    <xf numFmtId="167" fontId="15" fillId="6" borderId="0" xfId="3" applyNumberFormat="1" applyFont="1" applyFill="1" applyBorder="1" applyAlignment="1">
      <alignment vertical="center" wrapText="1"/>
    </xf>
    <xf numFmtId="167" fontId="15" fillId="6" borderId="0" xfId="0" applyNumberFormat="1" applyFont="1" applyFill="1" applyAlignment="1">
      <alignment vertical="center" wrapText="1"/>
    </xf>
    <xf numFmtId="0" fontId="15" fillId="6" borderId="4" xfId="0" applyFont="1" applyFill="1" applyBorder="1" applyAlignment="1">
      <alignment vertical="center" wrapText="1"/>
    </xf>
    <xf numFmtId="0" fontId="0" fillId="6" borderId="0" xfId="0" applyFill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6" borderId="0" xfId="0" applyFill="1" applyAlignment="1">
      <alignment vertical="center"/>
    </xf>
    <xf numFmtId="0" fontId="0" fillId="6" borderId="0" xfId="0" applyFill="1" applyAlignment="1">
      <alignment vertical="center" wrapText="1"/>
    </xf>
    <xf numFmtId="0" fontId="0" fillId="6" borderId="4" xfId="0" applyFill="1" applyBorder="1" applyAlignment="1">
      <alignment vertical="center"/>
    </xf>
    <xf numFmtId="0" fontId="0" fillId="6" borderId="4" xfId="0" applyFill="1" applyBorder="1" applyAlignment="1">
      <alignment horizontal="left" vertical="center"/>
    </xf>
    <xf numFmtId="165" fontId="0" fillId="6" borderId="4" xfId="1" applyNumberFormat="1" applyFont="1" applyFill="1" applyBorder="1" applyAlignment="1">
      <alignment vertical="center"/>
    </xf>
    <xf numFmtId="165" fontId="0" fillId="6" borderId="0" xfId="0" applyNumberFormat="1" applyFill="1" applyAlignment="1">
      <alignment vertical="center" wrapText="1"/>
    </xf>
    <xf numFmtId="165" fontId="0" fillId="6" borderId="0" xfId="0" applyNumberFormat="1" applyFill="1" applyAlignment="1">
      <alignment vertical="center"/>
    </xf>
    <xf numFmtId="165" fontId="0" fillId="6" borderId="4" xfId="0" applyNumberFormat="1" applyFill="1" applyBorder="1" applyAlignment="1">
      <alignment vertical="center"/>
    </xf>
    <xf numFmtId="9" fontId="0" fillId="6" borderId="4" xfId="0" applyNumberFormat="1" applyFill="1" applyBorder="1" applyAlignment="1">
      <alignment vertical="center" wrapText="1"/>
    </xf>
    <xf numFmtId="0" fontId="0" fillId="6" borderId="4" xfId="0" applyFill="1" applyBorder="1" applyAlignment="1">
      <alignment horizontal="left" vertical="center" wrapText="1"/>
    </xf>
    <xf numFmtId="165" fontId="0" fillId="6" borderId="4" xfId="0" applyNumberFormat="1" applyFill="1" applyBorder="1" applyAlignment="1">
      <alignment vertical="center" wrapText="1"/>
    </xf>
    <xf numFmtId="165" fontId="0" fillId="6" borderId="4" xfId="1" applyNumberFormat="1" applyFont="1" applyFill="1" applyBorder="1" applyAlignment="1">
      <alignment horizontal="center" vertical="center"/>
    </xf>
    <xf numFmtId="0" fontId="18" fillId="15" borderId="0" xfId="0" applyFont="1" applyFill="1" applyAlignment="1">
      <alignment horizontal="center" vertical="center"/>
    </xf>
    <xf numFmtId="0" fontId="18" fillId="15" borderId="0" xfId="0" applyFont="1" applyFill="1" applyAlignment="1">
      <alignment vertical="center"/>
    </xf>
    <xf numFmtId="0" fontId="0" fillId="15" borderId="0" xfId="0" applyFill="1" applyAlignment="1">
      <alignment vertical="center"/>
    </xf>
    <xf numFmtId="0" fontId="0" fillId="15" borderId="0" xfId="0" applyFill="1" applyAlignment="1">
      <alignment vertical="center" wrapText="1"/>
    </xf>
    <xf numFmtId="44" fontId="0" fillId="6" borderId="4" xfId="2" applyFont="1" applyFill="1" applyBorder="1" applyAlignment="1">
      <alignment vertical="center"/>
    </xf>
    <xf numFmtId="0" fontId="0" fillId="6" borderId="0" xfId="0" applyFill="1" applyBorder="1" applyAlignment="1">
      <alignment horizontal="left" vertical="center"/>
    </xf>
    <xf numFmtId="44" fontId="0" fillId="6" borderId="0" xfId="2" applyFont="1" applyFill="1" applyBorder="1" applyAlignment="1">
      <alignment vertical="center"/>
    </xf>
    <xf numFmtId="0" fontId="0" fillId="6" borderId="0" xfId="0" applyFill="1" applyBorder="1" applyAlignment="1">
      <alignment vertical="center"/>
    </xf>
    <xf numFmtId="165" fontId="0" fillId="6" borderId="0" xfId="0" applyNumberFormat="1" applyFill="1" applyBorder="1" applyAlignment="1">
      <alignment vertical="center"/>
    </xf>
    <xf numFmtId="0" fontId="18" fillId="6" borderId="5" xfId="0" applyFont="1" applyFill="1" applyBorder="1" applyAlignment="1">
      <alignment horizontal="center" vertical="center"/>
    </xf>
    <xf numFmtId="0" fontId="18" fillId="6" borderId="5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9" fontId="0" fillId="6" borderId="4" xfId="0" applyNumberFormat="1" applyFill="1" applyBorder="1" applyAlignment="1">
      <alignment vertical="center"/>
    </xf>
    <xf numFmtId="0" fontId="16" fillId="14" borderId="4" xfId="0" applyFont="1" applyFill="1" applyBorder="1" applyAlignment="1">
      <alignment vertical="center" wrapText="1"/>
    </xf>
    <xf numFmtId="166" fontId="16" fillId="14" borderId="4" xfId="2" applyNumberFormat="1" applyFont="1" applyFill="1" applyBorder="1" applyAlignment="1">
      <alignment vertical="center" wrapText="1"/>
    </xf>
    <xf numFmtId="167" fontId="16" fillId="14" borderId="4" xfId="3" applyNumberFormat="1" applyFont="1" applyFill="1" applyBorder="1" applyAlignment="1">
      <alignment vertical="center" wrapText="1"/>
    </xf>
    <xf numFmtId="166" fontId="15" fillId="14" borderId="4" xfId="2" applyNumberFormat="1" applyFont="1" applyFill="1" applyBorder="1" applyAlignment="1">
      <alignment vertical="center" wrapText="1"/>
    </xf>
    <xf numFmtId="167" fontId="15" fillId="14" borderId="4" xfId="3" applyNumberFormat="1" applyFont="1" applyFill="1" applyBorder="1" applyAlignment="1">
      <alignment vertical="center" wrapText="1"/>
    </xf>
    <xf numFmtId="0" fontId="16" fillId="14" borderId="4" xfId="0" applyFont="1" applyFill="1" applyBorder="1" applyAlignment="1">
      <alignment horizontal="center" vertical="center" wrapText="1"/>
    </xf>
    <xf numFmtId="166" fontId="17" fillId="14" borderId="4" xfId="2" applyNumberFormat="1" applyFont="1" applyFill="1" applyBorder="1" applyAlignment="1">
      <alignment vertical="center" wrapText="1"/>
    </xf>
    <xf numFmtId="167" fontId="17" fillId="14" borderId="4" xfId="3" applyNumberFormat="1" applyFont="1" applyFill="1" applyBorder="1" applyAlignment="1">
      <alignment vertical="center" wrapText="1"/>
    </xf>
    <xf numFmtId="44" fontId="11" fillId="6" borderId="2" xfId="0" applyNumberFormat="1" applyFont="1" applyFill="1" applyBorder="1" applyAlignment="1">
      <alignment vertical="center" wrapText="1"/>
    </xf>
    <xf numFmtId="9" fontId="5" fillId="6" borderId="4" xfId="5" applyNumberFormat="1" applyFont="1" applyFill="1" applyBorder="1" applyAlignment="1">
      <alignment horizontal="center" vertical="center" wrapText="1"/>
    </xf>
    <xf numFmtId="44" fontId="5" fillId="0" borderId="4" xfId="2" applyFont="1" applyFill="1" applyBorder="1" applyAlignment="1">
      <alignment vertical="center" wrapText="1"/>
    </xf>
    <xf numFmtId="17" fontId="5" fillId="0" borderId="14" xfId="5" applyNumberFormat="1" applyFont="1" applyFill="1" applyBorder="1" applyAlignment="1">
      <alignment vertical="center" wrapText="1"/>
    </xf>
    <xf numFmtId="0" fontId="0" fillId="0" borderId="4" xfId="0" quotePrefix="1" applyBorder="1" applyAlignment="1">
      <alignment horizontal="left" vertical="center"/>
    </xf>
    <xf numFmtId="0" fontId="5" fillId="6" borderId="3" xfId="5" applyFont="1" applyFill="1" applyBorder="1" applyAlignment="1">
      <alignment horizontal="center" vertical="center" wrapText="1"/>
    </xf>
    <xf numFmtId="44" fontId="5" fillId="6" borderId="4" xfId="2" applyFont="1" applyFill="1" applyBorder="1" applyAlignment="1">
      <alignment vertical="center" wrapText="1"/>
    </xf>
    <xf numFmtId="0" fontId="5" fillId="6" borderId="4" xfId="5" applyFont="1" applyFill="1" applyBorder="1" applyAlignment="1">
      <alignment horizontal="left" vertical="center" wrapText="1"/>
    </xf>
    <xf numFmtId="0" fontId="5" fillId="6" borderId="4" xfId="5" applyFont="1" applyFill="1" applyBorder="1" applyAlignment="1">
      <alignment horizontal="left" vertical="center" wrapText="1" indent="2"/>
    </xf>
    <xf numFmtId="43" fontId="5" fillId="5" borderId="5" xfId="0" applyNumberFormat="1" applyFont="1" applyFill="1" applyBorder="1" applyAlignment="1">
      <alignment vertical="center" wrapText="1"/>
    </xf>
    <xf numFmtId="0" fontId="0" fillId="0" borderId="5" xfId="0" applyBorder="1" applyAlignment="1">
      <alignment wrapText="1"/>
    </xf>
    <xf numFmtId="44" fontId="5" fillId="0" borderId="5" xfId="2" applyFont="1" applyFill="1" applyBorder="1" applyAlignment="1">
      <alignment vertical="center" wrapText="1"/>
    </xf>
    <xf numFmtId="0" fontId="0" fillId="0" borderId="0" xfId="0" applyBorder="1"/>
    <xf numFmtId="0" fontId="5" fillId="0" borderId="4" xfId="5" applyFont="1" applyFill="1" applyBorder="1" applyAlignment="1">
      <alignment horizontal="left" vertical="center" wrapText="1"/>
    </xf>
    <xf numFmtId="44" fontId="0" fillId="0" borderId="4" xfId="2" applyFont="1" applyBorder="1" applyAlignment="1">
      <alignment horizontal="center" vertical="center"/>
    </xf>
    <xf numFmtId="17" fontId="5" fillId="0" borderId="4" xfId="5" applyNumberFormat="1" applyFont="1" applyFill="1" applyBorder="1" applyAlignment="1">
      <alignment horizontal="center" vertical="center" wrapText="1"/>
    </xf>
    <xf numFmtId="44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 wrapText="1"/>
    </xf>
    <xf numFmtId="44" fontId="5" fillId="6" borderId="5" xfId="2" applyFont="1" applyFill="1" applyBorder="1" applyAlignment="1">
      <alignment vertical="center" wrapText="1"/>
    </xf>
    <xf numFmtId="44" fontId="0" fillId="0" borderId="4" xfId="0" applyNumberFormat="1" applyBorder="1" applyAlignment="1">
      <alignment horizontal="center" vertical="center"/>
    </xf>
    <xf numFmtId="165" fontId="7" fillId="6" borderId="4" xfId="0" applyNumberFormat="1" applyFont="1" applyFill="1" applyBorder="1" applyAlignment="1">
      <alignment horizontal="center" vertical="center"/>
    </xf>
    <xf numFmtId="165" fontId="7" fillId="6" borderId="4" xfId="0" applyNumberFormat="1" applyFont="1" applyFill="1" applyBorder="1" applyAlignment="1">
      <alignment horizontal="center" vertical="center" wrapText="1"/>
    </xf>
    <xf numFmtId="10" fontId="0" fillId="6" borderId="4" xfId="3" applyNumberFormat="1" applyFont="1" applyFill="1" applyBorder="1" applyAlignment="1">
      <alignment vertical="center" wrapText="1"/>
    </xf>
    <xf numFmtId="0" fontId="0" fillId="6" borderId="2" xfId="0" applyFill="1" applyBorder="1" applyAlignment="1">
      <alignment vertical="center"/>
    </xf>
    <xf numFmtId="165" fontId="0" fillId="6" borderId="2" xfId="0" applyNumberFormat="1" applyFill="1" applyBorder="1" applyAlignment="1">
      <alignment vertical="center" wrapText="1"/>
    </xf>
    <xf numFmtId="0" fontId="8" fillId="0" borderId="23" xfId="5" applyFont="1" applyFill="1" applyBorder="1" applyAlignment="1">
      <alignment horizontal="center" vertical="center" wrapText="1"/>
    </xf>
    <xf numFmtId="166" fontId="15" fillId="6" borderId="0" xfId="0" applyNumberFormat="1" applyFont="1" applyFill="1" applyAlignment="1">
      <alignment vertical="center" wrapText="1"/>
    </xf>
    <xf numFmtId="0" fontId="19" fillId="0" borderId="27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2" fillId="6" borderId="4" xfId="0" applyFont="1" applyFill="1" applyBorder="1" applyAlignment="1">
      <alignment horizontal="left" vertical="center" wrapText="1" indent="2"/>
    </xf>
    <xf numFmtId="0" fontId="21" fillId="0" borderId="4" xfId="0" applyFont="1" applyBorder="1" applyAlignment="1">
      <alignment vertical="center" wrapText="1"/>
    </xf>
    <xf numFmtId="0" fontId="0" fillId="6" borderId="11" xfId="0" applyFill="1" applyBorder="1" applyAlignment="1">
      <alignment vertical="center"/>
    </xf>
    <xf numFmtId="0" fontId="0" fillId="6" borderId="3" xfId="0" applyFill="1" applyBorder="1" applyAlignment="1">
      <alignment vertical="center"/>
    </xf>
    <xf numFmtId="0" fontId="0" fillId="12" borderId="0" xfId="0" applyFill="1" applyAlignment="1">
      <alignment vertical="center"/>
    </xf>
    <xf numFmtId="0" fontId="0" fillId="12" borderId="4" xfId="0" applyFill="1" applyBorder="1" applyAlignment="1">
      <alignment vertical="center"/>
    </xf>
    <xf numFmtId="44" fontId="0" fillId="15" borderId="29" xfId="0" applyNumberFormat="1" applyFill="1" applyBorder="1"/>
    <xf numFmtId="0" fontId="0" fillId="15" borderId="30" xfId="0" applyFill="1" applyBorder="1"/>
    <xf numFmtId="44" fontId="0" fillId="15" borderId="31" xfId="0" applyNumberFormat="1" applyFill="1" applyBorder="1"/>
    <xf numFmtId="0" fontId="0" fillId="15" borderId="32" xfId="0" applyFill="1" applyBorder="1"/>
    <xf numFmtId="44" fontId="0" fillId="15" borderId="32" xfId="0" applyNumberFormat="1" applyFill="1" applyBorder="1"/>
    <xf numFmtId="44" fontId="0" fillId="15" borderId="33" xfId="0" applyNumberFormat="1" applyFill="1" applyBorder="1"/>
    <xf numFmtId="0" fontId="0" fillId="15" borderId="28" xfId="0" applyFill="1" applyBorder="1"/>
    <xf numFmtId="0" fontId="11" fillId="8" borderId="4" xfId="0" applyFont="1" applyFill="1" applyBorder="1" applyAlignment="1">
      <alignment horizontal="center" vertical="center" wrapText="1"/>
    </xf>
    <xf numFmtId="0" fontId="11" fillId="8" borderId="4" xfId="5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right" vertical="center" wrapText="1"/>
    </xf>
    <xf numFmtId="0" fontId="0" fillId="6" borderId="4" xfId="0" applyFill="1" applyBorder="1" applyAlignment="1">
      <alignment horizontal="center" vertical="center" wrapText="1"/>
    </xf>
    <xf numFmtId="0" fontId="25" fillId="11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6" borderId="0" xfId="0" applyFont="1" applyFill="1" applyBorder="1" applyAlignment="1">
      <alignment vertical="center" wrapText="1"/>
    </xf>
    <xf numFmtId="0" fontId="25" fillId="11" borderId="4" xfId="0" applyFont="1" applyFill="1" applyBorder="1" applyAlignment="1">
      <alignment vertical="center" wrapText="1"/>
    </xf>
    <xf numFmtId="0" fontId="25" fillId="0" borderId="4" xfId="0" applyFont="1" applyBorder="1" applyAlignment="1">
      <alignment vertical="center" wrapText="1"/>
    </xf>
    <xf numFmtId="0" fontId="26" fillId="4" borderId="3" xfId="0" applyFont="1" applyFill="1" applyBorder="1" applyAlignment="1">
      <alignment horizontal="center" vertical="center" wrapText="1"/>
    </xf>
    <xf numFmtId="0" fontId="26" fillId="4" borderId="4" xfId="0" applyFont="1" applyFill="1" applyBorder="1" applyAlignment="1">
      <alignment horizontal="center" vertical="center" wrapText="1"/>
    </xf>
    <xf numFmtId="0" fontId="26" fillId="4" borderId="4" xfId="0" applyFont="1" applyFill="1" applyBorder="1" applyAlignment="1">
      <alignment horizontal="left" vertical="center" wrapText="1"/>
    </xf>
    <xf numFmtId="43" fontId="28" fillId="4" borderId="4" xfId="1" applyFont="1" applyFill="1" applyBorder="1" applyAlignment="1">
      <alignment horizontal="center" vertical="center" wrapText="1"/>
    </xf>
    <xf numFmtId="43" fontId="26" fillId="4" borderId="4" xfId="1" applyFont="1" applyFill="1" applyBorder="1" applyAlignment="1">
      <alignment horizontal="center" vertical="center" wrapText="1"/>
    </xf>
    <xf numFmtId="165" fontId="26" fillId="4" borderId="4" xfId="1" applyNumberFormat="1" applyFont="1" applyFill="1" applyBorder="1" applyAlignment="1">
      <alignment horizontal="center" vertical="center" wrapText="1"/>
    </xf>
    <xf numFmtId="43" fontId="26" fillId="4" borderId="11" xfId="1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vertical="center"/>
    </xf>
    <xf numFmtId="0" fontId="24" fillId="2" borderId="4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horizontal="left" vertical="center" wrapText="1"/>
    </xf>
    <xf numFmtId="0" fontId="24" fillId="2" borderId="4" xfId="0" applyFont="1" applyFill="1" applyBorder="1" applyAlignment="1">
      <alignment horizontal="center" vertical="center" wrapText="1"/>
    </xf>
    <xf numFmtId="43" fontId="24" fillId="2" borderId="4" xfId="1" applyFont="1" applyFill="1" applyBorder="1" applyAlignment="1">
      <alignment vertical="center" wrapText="1"/>
    </xf>
    <xf numFmtId="165" fontId="24" fillId="2" borderId="4" xfId="1" applyNumberFormat="1" applyFont="1" applyFill="1" applyBorder="1" applyAlignment="1">
      <alignment vertical="center" wrapText="1"/>
    </xf>
    <xf numFmtId="44" fontId="24" fillId="3" borderId="4" xfId="2" applyFont="1" applyFill="1" applyBorder="1" applyAlignment="1">
      <alignment vertical="center" wrapText="1"/>
    </xf>
    <xf numFmtId="0" fontId="27" fillId="3" borderId="4" xfId="0" applyFont="1" applyFill="1" applyBorder="1" applyAlignment="1">
      <alignment vertical="center" wrapText="1"/>
    </xf>
    <xf numFmtId="0" fontId="25" fillId="3" borderId="11" xfId="0" applyFont="1" applyFill="1" applyBorder="1" applyAlignment="1">
      <alignment vertical="center" wrapText="1"/>
    </xf>
    <xf numFmtId="0" fontId="26" fillId="17" borderId="4" xfId="0" applyFont="1" applyFill="1" applyBorder="1" applyAlignment="1">
      <alignment vertical="center" wrapText="1"/>
    </xf>
    <xf numFmtId="0" fontId="31" fillId="0" borderId="4" xfId="0" applyFont="1" applyBorder="1" applyAlignment="1">
      <alignment vertical="center" wrapText="1"/>
    </xf>
    <xf numFmtId="0" fontId="31" fillId="0" borderId="4" xfId="0" applyFont="1" applyBorder="1" applyAlignment="1">
      <alignment horizontal="center" vertical="center" wrapText="1"/>
    </xf>
    <xf numFmtId="165" fontId="32" fillId="0" borderId="4" xfId="1" applyNumberFormat="1" applyFont="1" applyBorder="1" applyAlignment="1">
      <alignment horizontal="center" vertical="center"/>
    </xf>
    <xf numFmtId="43" fontId="25" fillId="6" borderId="4" xfId="1" applyFont="1" applyFill="1" applyBorder="1" applyAlignment="1">
      <alignment horizontal="center" vertical="center" wrapText="1"/>
    </xf>
    <xf numFmtId="43" fontId="25" fillId="6" borderId="4" xfId="1" applyNumberFormat="1" applyFont="1" applyFill="1" applyBorder="1" applyAlignment="1">
      <alignment horizontal="center" vertical="center" wrapText="1"/>
    </xf>
    <xf numFmtId="165" fontId="25" fillId="6" borderId="4" xfId="1" applyNumberFormat="1" applyFont="1" applyFill="1" applyBorder="1" applyAlignment="1">
      <alignment horizontal="center" vertical="center" wrapText="1"/>
    </xf>
    <xf numFmtId="44" fontId="26" fillId="6" borderId="4" xfId="2" applyFont="1" applyFill="1" applyBorder="1" applyAlignment="1">
      <alignment horizontal="center" vertical="center" wrapText="1"/>
    </xf>
    <xf numFmtId="166" fontId="33" fillId="6" borderId="4" xfId="0" applyNumberFormat="1" applyFont="1" applyFill="1" applyBorder="1" applyAlignment="1">
      <alignment horizontal="center" vertical="center" wrapText="1"/>
    </xf>
    <xf numFmtId="166" fontId="34" fillId="10" borderId="11" xfId="0" applyNumberFormat="1" applyFont="1" applyFill="1" applyBorder="1" applyAlignment="1">
      <alignment vertical="center" wrapText="1"/>
    </xf>
    <xf numFmtId="0" fontId="25" fillId="6" borderId="4" xfId="0" applyFont="1" applyFill="1" applyBorder="1" applyAlignment="1">
      <alignment vertical="center" wrapText="1"/>
    </xf>
    <xf numFmtId="0" fontId="26" fillId="16" borderId="4" xfId="0" applyFont="1" applyFill="1" applyBorder="1" applyAlignment="1">
      <alignment vertical="center" wrapText="1"/>
    </xf>
    <xf numFmtId="169" fontId="25" fillId="6" borderId="11" xfId="1" applyNumberFormat="1" applyFont="1" applyFill="1" applyBorder="1" applyAlignment="1">
      <alignment vertical="center" wrapText="1"/>
    </xf>
    <xf numFmtId="0" fontId="35" fillId="6" borderId="4" xfId="0" applyFont="1" applyFill="1" applyBorder="1" applyAlignment="1">
      <alignment vertical="center" wrapText="1"/>
    </xf>
    <xf numFmtId="0" fontId="31" fillId="0" borderId="4" xfId="0" applyFont="1" applyBorder="1" applyAlignment="1">
      <alignment horizontal="left" vertical="center" wrapText="1"/>
    </xf>
    <xf numFmtId="165" fontId="36" fillId="0" borderId="4" xfId="1" applyNumberFormat="1" applyFont="1" applyBorder="1" applyAlignment="1">
      <alignment horizontal="center" vertical="center"/>
    </xf>
    <xf numFmtId="0" fontId="25" fillId="6" borderId="11" xfId="0" applyFont="1" applyFill="1" applyBorder="1" applyAlignment="1">
      <alignment vertical="center" wrapText="1"/>
    </xf>
    <xf numFmtId="0" fontId="35" fillId="6" borderId="11" xfId="0" applyFont="1" applyFill="1" applyBorder="1" applyAlignment="1">
      <alignment vertical="center" wrapText="1"/>
    </xf>
    <xf numFmtId="0" fontId="31" fillId="6" borderId="4" xfId="0" applyFont="1" applyFill="1" applyBorder="1" applyAlignment="1">
      <alignment horizontal="left" vertical="center" wrapText="1"/>
    </xf>
    <xf numFmtId="0" fontId="38" fillId="0" borderId="4" xfId="0" applyFont="1" applyBorder="1" applyAlignment="1">
      <alignment vertical="center"/>
    </xf>
    <xf numFmtId="0" fontId="31" fillId="6" borderId="4" xfId="0" applyFont="1" applyFill="1" applyBorder="1" applyAlignment="1">
      <alignment vertical="center"/>
    </xf>
    <xf numFmtId="165" fontId="39" fillId="0" borderId="4" xfId="1" applyNumberFormat="1" applyFont="1" applyBorder="1" applyAlignment="1">
      <alignment vertical="center"/>
    </xf>
    <xf numFmtId="0" fontId="39" fillId="0" borderId="4" xfId="0" applyFont="1" applyBorder="1" applyAlignment="1">
      <alignment horizontal="center" vertical="center" wrapText="1"/>
    </xf>
    <xf numFmtId="0" fontId="37" fillId="6" borderId="0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0" fontId="31" fillId="0" borderId="4" xfId="0" applyFont="1" applyBorder="1" applyAlignment="1">
      <alignment vertical="center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vertical="center"/>
    </xf>
    <xf numFmtId="0" fontId="26" fillId="6" borderId="4" xfId="0" applyFont="1" applyFill="1" applyBorder="1" applyAlignment="1">
      <alignment vertical="center" wrapText="1"/>
    </xf>
    <xf numFmtId="0" fontId="25" fillId="5" borderId="11" xfId="0" applyFont="1" applyFill="1" applyBorder="1" applyAlignment="1">
      <alignment horizontal="left" vertical="center" wrapText="1" indent="1"/>
    </xf>
    <xf numFmtId="0" fontId="39" fillId="0" borderId="4" xfId="0" applyFont="1" applyBorder="1" applyAlignment="1">
      <alignment vertical="center" wrapText="1"/>
    </xf>
    <xf numFmtId="165" fontId="40" fillId="0" borderId="4" xfId="1" applyNumberFormat="1" applyFont="1" applyBorder="1" applyAlignment="1">
      <alignment horizontal="center" vertical="center"/>
    </xf>
    <xf numFmtId="0" fontId="41" fillId="0" borderId="4" xfId="0" applyFont="1" applyBorder="1" applyAlignment="1">
      <alignment vertical="center" wrapText="1"/>
    </xf>
    <xf numFmtId="165" fontId="42" fillId="0" borderId="4" xfId="1" applyNumberFormat="1" applyFont="1" applyBorder="1" applyAlignment="1">
      <alignment horizontal="center" vertical="center"/>
    </xf>
    <xf numFmtId="43" fontId="26" fillId="6" borderId="4" xfId="1" applyNumberFormat="1" applyFont="1" applyFill="1" applyBorder="1" applyAlignment="1">
      <alignment horizontal="center" vertical="center" wrapText="1"/>
    </xf>
    <xf numFmtId="43" fontId="26" fillId="6" borderId="4" xfId="1" applyFont="1" applyFill="1" applyBorder="1" applyAlignment="1">
      <alignment horizontal="center" vertical="center" wrapText="1"/>
    </xf>
    <xf numFmtId="44" fontId="33" fillId="6" borderId="4" xfId="2" applyFont="1" applyFill="1" applyBorder="1" applyAlignment="1">
      <alignment horizontal="center" vertical="center" wrapText="1"/>
    </xf>
    <xf numFmtId="44" fontId="43" fillId="10" borderId="11" xfId="0" applyNumberFormat="1" applyFont="1" applyFill="1" applyBorder="1" applyAlignment="1">
      <alignment horizontal="center" vertical="center"/>
    </xf>
    <xf numFmtId="10" fontId="25" fillId="6" borderId="0" xfId="3" applyNumberFormat="1" applyFont="1" applyFill="1" applyBorder="1" applyAlignment="1">
      <alignment vertical="center" wrapText="1"/>
    </xf>
    <xf numFmtId="43" fontId="25" fillId="6" borderId="0" xfId="0" applyNumberFormat="1" applyFont="1" applyFill="1" applyBorder="1" applyAlignment="1">
      <alignment vertical="center" wrapText="1"/>
    </xf>
    <xf numFmtId="165" fontId="35" fillId="6" borderId="11" xfId="1" applyNumberFormat="1" applyFont="1" applyFill="1" applyBorder="1" applyAlignment="1">
      <alignment horizontal="left" vertical="center" wrapText="1"/>
    </xf>
    <xf numFmtId="0" fontId="35" fillId="14" borderId="3" xfId="0" applyFont="1" applyFill="1" applyBorder="1" applyAlignment="1">
      <alignment horizontal="left" vertical="center" wrapText="1"/>
    </xf>
    <xf numFmtId="0" fontId="44" fillId="14" borderId="4" xfId="0" applyFont="1" applyFill="1" applyBorder="1" applyAlignment="1">
      <alignment vertical="center" wrapText="1"/>
    </xf>
    <xf numFmtId="0" fontId="39" fillId="14" borderId="4" xfId="0" applyFont="1" applyFill="1" applyBorder="1" applyAlignment="1">
      <alignment horizontal="center" vertical="center" wrapText="1"/>
    </xf>
    <xf numFmtId="165" fontId="39" fillId="14" borderId="4" xfId="0" applyNumberFormat="1" applyFont="1" applyFill="1" applyBorder="1" applyAlignment="1">
      <alignment horizontal="center" vertical="center" wrapText="1"/>
    </xf>
    <xf numFmtId="44" fontId="41" fillId="6" borderId="4" xfId="2" applyFont="1" applyFill="1" applyBorder="1" applyAlignment="1">
      <alignment horizontal="center" vertical="center" wrapText="1"/>
    </xf>
    <xf numFmtId="44" fontId="43" fillId="6" borderId="11" xfId="0" applyNumberFormat="1" applyFont="1" applyFill="1" applyBorder="1" applyAlignment="1">
      <alignment horizontal="center" vertical="center"/>
    </xf>
    <xf numFmtId="0" fontId="39" fillId="14" borderId="4" xfId="0" applyFont="1" applyFill="1" applyBorder="1" applyAlignment="1">
      <alignment vertical="center" wrapText="1"/>
    </xf>
    <xf numFmtId="43" fontId="25" fillId="14" borderId="4" xfId="1" applyNumberFormat="1" applyFont="1" applyFill="1" applyBorder="1" applyAlignment="1">
      <alignment horizontal="center" vertical="center" wrapText="1"/>
    </xf>
    <xf numFmtId="43" fontId="25" fillId="14" borderId="4" xfId="1" applyFont="1" applyFill="1" applyBorder="1" applyAlignment="1">
      <alignment horizontal="center" vertical="center" wrapText="1"/>
    </xf>
    <xf numFmtId="44" fontId="45" fillId="6" borderId="4" xfId="2" applyFont="1" applyFill="1" applyBorder="1" applyAlignment="1">
      <alignment horizontal="center" vertical="center" wrapText="1"/>
    </xf>
    <xf numFmtId="165" fontId="26" fillId="6" borderId="4" xfId="1" applyNumberFormat="1" applyFont="1" applyFill="1" applyBorder="1" applyAlignment="1">
      <alignment vertical="center" wrapText="1"/>
    </xf>
    <xf numFmtId="0" fontId="39" fillId="14" borderId="4" xfId="0" applyFont="1" applyFill="1" applyBorder="1" applyAlignment="1">
      <alignment horizontal="left" vertical="center" wrapText="1" indent="2"/>
    </xf>
    <xf numFmtId="0" fontId="25" fillId="14" borderId="4" xfId="0" applyFont="1" applyFill="1" applyBorder="1" applyAlignment="1">
      <alignment horizontal="left" vertical="center" wrapText="1" indent="2"/>
    </xf>
    <xf numFmtId="0" fontId="25" fillId="14" borderId="4" xfId="0" applyFont="1" applyFill="1" applyBorder="1" applyAlignment="1">
      <alignment vertical="center" wrapText="1"/>
    </xf>
    <xf numFmtId="44" fontId="25" fillId="6" borderId="11" xfId="0" applyNumberFormat="1" applyFont="1" applyFill="1" applyBorder="1" applyAlignment="1">
      <alignment vertical="center" wrapText="1"/>
    </xf>
    <xf numFmtId="0" fontId="46" fillId="14" borderId="3" xfId="0" applyFont="1" applyFill="1" applyBorder="1" applyAlignment="1">
      <alignment horizontal="left" vertical="center" wrapText="1"/>
    </xf>
    <xf numFmtId="165" fontId="35" fillId="14" borderId="4" xfId="1" applyNumberFormat="1" applyFont="1" applyFill="1" applyBorder="1" applyAlignment="1">
      <alignment vertical="center" wrapText="1"/>
    </xf>
    <xf numFmtId="165" fontId="39" fillId="14" borderId="5" xfId="0" applyNumberFormat="1" applyFont="1" applyFill="1" applyBorder="1" applyAlignment="1">
      <alignment horizontal="center" vertical="center" wrapText="1"/>
    </xf>
    <xf numFmtId="0" fontId="39" fillId="14" borderId="5" xfId="0" applyFont="1" applyFill="1" applyBorder="1" applyAlignment="1">
      <alignment horizontal="center" vertical="center" wrapText="1"/>
    </xf>
    <xf numFmtId="43" fontId="25" fillId="14" borderId="5" xfId="1" applyNumberFormat="1" applyFont="1" applyFill="1" applyBorder="1" applyAlignment="1">
      <alignment horizontal="center" vertical="center" wrapText="1"/>
    </xf>
    <xf numFmtId="43" fontId="25" fillId="14" borderId="5" xfId="1" applyFont="1" applyFill="1" applyBorder="1" applyAlignment="1">
      <alignment horizontal="center" vertical="center" wrapText="1"/>
    </xf>
    <xf numFmtId="165" fontId="25" fillId="14" borderId="5" xfId="1" applyNumberFormat="1" applyFont="1" applyFill="1" applyBorder="1" applyAlignment="1">
      <alignment vertical="center" wrapText="1"/>
    </xf>
    <xf numFmtId="43" fontId="25" fillId="14" borderId="5" xfId="1" applyFont="1" applyFill="1" applyBorder="1" applyAlignment="1">
      <alignment vertical="center" wrapText="1"/>
    </xf>
    <xf numFmtId="0" fontId="39" fillId="6" borderId="4" xfId="0" applyFont="1" applyFill="1" applyBorder="1" applyAlignment="1">
      <alignment vertical="center" wrapText="1"/>
    </xf>
    <xf numFmtId="0" fontId="39" fillId="6" borderId="4" xfId="0" applyFont="1" applyFill="1" applyBorder="1" applyAlignment="1">
      <alignment horizontal="left" vertical="center" wrapText="1"/>
    </xf>
    <xf numFmtId="0" fontId="39" fillId="6" borderId="4" xfId="0" applyFont="1" applyFill="1" applyBorder="1" applyAlignment="1">
      <alignment horizontal="center" vertical="center" wrapText="1"/>
    </xf>
    <xf numFmtId="165" fontId="39" fillId="6" borderId="4" xfId="0" applyNumberFormat="1" applyFont="1" applyFill="1" applyBorder="1" applyAlignment="1">
      <alignment horizontal="center" vertical="center" wrapText="1"/>
    </xf>
    <xf numFmtId="0" fontId="25" fillId="5" borderId="11" xfId="0" applyFont="1" applyFill="1" applyBorder="1" applyAlignment="1">
      <alignment vertical="center" wrapText="1"/>
    </xf>
    <xf numFmtId="0" fontId="25" fillId="5" borderId="4" xfId="0" applyFont="1" applyFill="1" applyBorder="1" applyAlignment="1">
      <alignment vertical="center" wrapText="1"/>
    </xf>
    <xf numFmtId="165" fontId="25" fillId="5" borderId="4" xfId="1" applyNumberFormat="1" applyFont="1" applyFill="1" applyBorder="1" applyAlignment="1">
      <alignment vertical="center" wrapText="1"/>
    </xf>
    <xf numFmtId="43" fontId="25" fillId="6" borderId="5" xfId="1" applyNumberFormat="1" applyFont="1" applyFill="1" applyBorder="1" applyAlignment="1">
      <alignment vertical="center" wrapText="1"/>
    </xf>
    <xf numFmtId="165" fontId="25" fillId="6" borderId="5" xfId="1" applyNumberFormat="1" applyFont="1" applyFill="1" applyBorder="1" applyAlignment="1">
      <alignment vertical="center" wrapText="1"/>
    </xf>
    <xf numFmtId="165" fontId="25" fillId="11" borderId="4" xfId="0" applyNumberFormat="1" applyFont="1" applyFill="1" applyBorder="1" applyAlignment="1">
      <alignment vertical="center" wrapText="1"/>
    </xf>
    <xf numFmtId="44" fontId="33" fillId="5" borderId="4" xfId="0" applyNumberFormat="1" applyFont="1" applyFill="1" applyBorder="1" applyAlignment="1">
      <alignment vertical="center" wrapText="1"/>
    </xf>
    <xf numFmtId="0" fontId="30" fillId="6" borderId="11" xfId="0" applyFont="1" applyFill="1" applyBorder="1" applyAlignment="1">
      <alignment horizontal="left" vertical="center" wrapText="1"/>
    </xf>
    <xf numFmtId="0" fontId="30" fillId="14" borderId="4" xfId="0" applyFont="1" applyFill="1" applyBorder="1" applyAlignment="1">
      <alignment horizontal="left" vertical="center" wrapText="1"/>
    </xf>
    <xf numFmtId="0" fontId="46" fillId="14" borderId="4" xfId="0" applyFont="1" applyFill="1" applyBorder="1" applyAlignment="1">
      <alignment vertical="center" wrapText="1"/>
    </xf>
    <xf numFmtId="10" fontId="41" fillId="6" borderId="4" xfId="3" applyNumberFormat="1" applyFont="1" applyFill="1" applyBorder="1" applyAlignment="1">
      <alignment horizontal="center" vertical="center" wrapText="1"/>
    </xf>
    <xf numFmtId="0" fontId="35" fillId="6" borderId="11" xfId="0" applyFont="1" applyFill="1" applyBorder="1" applyAlignment="1">
      <alignment horizontal="left" vertical="center" wrapText="1"/>
    </xf>
    <xf numFmtId="0" fontId="46" fillId="14" borderId="11" xfId="0" applyFont="1" applyFill="1" applyBorder="1" applyAlignment="1">
      <alignment horizontal="left" vertical="center" wrapText="1"/>
    </xf>
    <xf numFmtId="0" fontId="31" fillId="14" borderId="0" xfId="0" applyFont="1" applyFill="1" applyAlignment="1">
      <alignment wrapText="1"/>
    </xf>
    <xf numFmtId="165" fontId="25" fillId="14" borderId="4" xfId="1" applyNumberFormat="1" applyFont="1" applyFill="1" applyBorder="1" applyAlignment="1">
      <alignment horizontal="center" vertical="center" wrapText="1"/>
    </xf>
    <xf numFmtId="166" fontId="41" fillId="6" borderId="4" xfId="0" applyNumberFormat="1" applyFont="1" applyFill="1" applyBorder="1" applyAlignment="1">
      <alignment horizontal="center" vertical="center" wrapText="1"/>
    </xf>
    <xf numFmtId="0" fontId="31" fillId="14" borderId="4" xfId="0" applyFont="1" applyFill="1" applyBorder="1" applyAlignment="1">
      <alignment vertical="center" wrapText="1"/>
    </xf>
    <xf numFmtId="0" fontId="46" fillId="6" borderId="11" xfId="0" applyFont="1" applyFill="1" applyBorder="1" applyAlignment="1">
      <alignment vertical="center" wrapText="1"/>
    </xf>
    <xf numFmtId="0" fontId="31" fillId="6" borderId="4" xfId="0" applyFont="1" applyFill="1" applyBorder="1" applyAlignment="1">
      <alignment vertical="center" wrapText="1"/>
    </xf>
    <xf numFmtId="0" fontId="40" fillId="0" borderId="4" xfId="0" applyFont="1" applyBorder="1" applyAlignment="1">
      <alignment horizontal="center" vertical="center" wrapText="1"/>
    </xf>
    <xf numFmtId="10" fontId="25" fillId="6" borderId="0" xfId="0" applyNumberFormat="1" applyFont="1" applyFill="1" applyBorder="1" applyAlignment="1">
      <alignment vertical="center" wrapText="1"/>
    </xf>
    <xf numFmtId="0" fontId="39" fillId="6" borderId="4" xfId="0" applyFont="1" applyFill="1" applyBorder="1" applyAlignment="1">
      <alignment horizontal="left" vertical="center" wrapText="1" indent="2"/>
    </xf>
    <xf numFmtId="165" fontId="39" fillId="6" borderId="4" xfId="1" applyNumberFormat="1" applyFont="1" applyFill="1" applyBorder="1" applyAlignment="1">
      <alignment horizontal="center" vertical="center"/>
    </xf>
    <xf numFmtId="165" fontId="25" fillId="6" borderId="0" xfId="1" applyNumberFormat="1" applyFont="1" applyFill="1" applyBorder="1" applyAlignment="1">
      <alignment vertical="center" wrapText="1"/>
    </xf>
    <xf numFmtId="0" fontId="26" fillId="16" borderId="5" xfId="0" applyFont="1" applyFill="1" applyBorder="1" applyAlignment="1">
      <alignment vertical="center" wrapText="1"/>
    </xf>
    <xf numFmtId="0" fontId="26" fillId="6" borderId="11" xfId="0" applyFont="1" applyFill="1" applyBorder="1" applyAlignment="1">
      <alignment vertical="center" wrapText="1"/>
    </xf>
    <xf numFmtId="0" fontId="30" fillId="6" borderId="3" xfId="0" applyFont="1" applyFill="1" applyBorder="1" applyAlignment="1">
      <alignment vertical="center" wrapText="1"/>
    </xf>
    <xf numFmtId="0" fontId="39" fillId="6" borderId="5" xfId="0" applyFont="1" applyFill="1" applyBorder="1" applyAlignment="1">
      <alignment horizontal="left" vertical="center" wrapText="1" indent="2"/>
    </xf>
    <xf numFmtId="0" fontId="39" fillId="6" borderId="5" xfId="0" applyFont="1" applyFill="1" applyBorder="1" applyAlignment="1">
      <alignment horizontal="center" vertical="center" wrapText="1"/>
    </xf>
    <xf numFmtId="165" fontId="39" fillId="6" borderId="5" xfId="1" applyNumberFormat="1" applyFont="1" applyFill="1" applyBorder="1" applyAlignment="1">
      <alignment horizontal="center" vertical="center"/>
    </xf>
    <xf numFmtId="43" fontId="25" fillId="6" borderId="5" xfId="1" applyFont="1" applyFill="1" applyBorder="1" applyAlignment="1">
      <alignment horizontal="center" vertical="center" wrapText="1"/>
    </xf>
    <xf numFmtId="0" fontId="25" fillId="6" borderId="6" xfId="0" applyFont="1" applyFill="1" applyBorder="1" applyAlignment="1">
      <alignment vertical="center" wrapText="1"/>
    </xf>
    <xf numFmtId="0" fontId="46" fillId="6" borderId="3" xfId="0" applyFont="1" applyFill="1" applyBorder="1" applyAlignment="1">
      <alignment horizontal="left" vertical="center" wrapText="1"/>
    </xf>
    <xf numFmtId="0" fontId="25" fillId="6" borderId="5" xfId="0" applyFont="1" applyFill="1" applyBorder="1" applyAlignment="1">
      <alignment horizontal="left" vertical="center" wrapText="1"/>
    </xf>
    <xf numFmtId="0" fontId="25" fillId="5" borderId="5" xfId="0" applyFont="1" applyFill="1" applyBorder="1" applyAlignment="1">
      <alignment horizontal="center" vertical="center" wrapText="1"/>
    </xf>
    <xf numFmtId="165" fontId="25" fillId="5" borderId="5" xfId="1" applyNumberFormat="1" applyFont="1" applyFill="1" applyBorder="1" applyAlignment="1">
      <alignment vertical="center" wrapText="1"/>
    </xf>
    <xf numFmtId="43" fontId="25" fillId="6" borderId="5" xfId="1" applyFont="1" applyFill="1" applyBorder="1" applyAlignment="1">
      <alignment vertical="center" wrapText="1"/>
    </xf>
    <xf numFmtId="168" fontId="25" fillId="6" borderId="4" xfId="1" applyNumberFormat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vertical="center" wrapText="1"/>
    </xf>
    <xf numFmtId="44" fontId="47" fillId="6" borderId="5" xfId="0" applyNumberFormat="1" applyFont="1" applyFill="1" applyBorder="1" applyAlignment="1">
      <alignment vertical="center" wrapText="1"/>
    </xf>
    <xf numFmtId="0" fontId="25" fillId="6" borderId="3" xfId="0" applyFont="1" applyFill="1" applyBorder="1" applyAlignment="1">
      <alignment horizontal="left" vertical="center" wrapText="1"/>
    </xf>
    <xf numFmtId="165" fontId="39" fillId="0" borderId="4" xfId="1" applyNumberFormat="1" applyFont="1" applyBorder="1" applyAlignment="1">
      <alignment horizontal="center" vertical="center"/>
    </xf>
    <xf numFmtId="0" fontId="29" fillId="13" borderId="4" xfId="0" applyFont="1" applyFill="1" applyBorder="1" applyAlignment="1">
      <alignment vertical="center"/>
    </xf>
    <xf numFmtId="0" fontId="24" fillId="13" borderId="4" xfId="0" applyFont="1" applyFill="1" applyBorder="1" applyAlignment="1">
      <alignment vertical="center" wrapText="1"/>
    </xf>
    <xf numFmtId="0" fontId="24" fillId="13" borderId="4" xfId="0" applyFont="1" applyFill="1" applyBorder="1" applyAlignment="1">
      <alignment horizontal="left" vertical="center" wrapText="1"/>
    </xf>
    <xf numFmtId="0" fontId="24" fillId="13" borderId="4" xfId="0" applyFont="1" applyFill="1" applyBorder="1" applyAlignment="1">
      <alignment horizontal="center" vertical="center" wrapText="1"/>
    </xf>
    <xf numFmtId="165" fontId="24" fillId="13" borderId="4" xfId="1" applyNumberFormat="1" applyFont="1" applyFill="1" applyBorder="1" applyAlignment="1">
      <alignment vertical="center" wrapText="1"/>
    </xf>
    <xf numFmtId="43" fontId="24" fillId="13" borderId="4" xfId="1" applyFont="1" applyFill="1" applyBorder="1" applyAlignment="1">
      <alignment vertical="center" wrapText="1"/>
    </xf>
    <xf numFmtId="0" fontId="25" fillId="13" borderId="4" xfId="0" applyFont="1" applyFill="1" applyBorder="1" applyAlignment="1">
      <alignment vertical="center" wrapText="1"/>
    </xf>
    <xf numFmtId="44" fontId="24" fillId="13" borderId="4" xfId="2" applyFont="1" applyFill="1" applyBorder="1" applyAlignment="1">
      <alignment vertical="center" wrapText="1"/>
    </xf>
    <xf numFmtId="0" fontId="27" fillId="13" borderId="4" xfId="0" applyFont="1" applyFill="1" applyBorder="1" applyAlignment="1">
      <alignment vertical="center" wrapText="1"/>
    </xf>
    <xf numFmtId="0" fontId="25" fillId="13" borderId="11" xfId="0" applyFont="1" applyFill="1" applyBorder="1" applyAlignment="1">
      <alignment vertical="center" wrapText="1"/>
    </xf>
    <xf numFmtId="0" fontId="29" fillId="6" borderId="4" xfId="0" applyFont="1" applyFill="1" applyBorder="1" applyAlignment="1">
      <alignment vertical="center"/>
    </xf>
    <xf numFmtId="44" fontId="47" fillId="6" borderId="4" xfId="0" applyNumberFormat="1" applyFont="1" applyFill="1" applyBorder="1" applyAlignment="1">
      <alignment vertical="center" wrapText="1"/>
    </xf>
    <xf numFmtId="0" fontId="27" fillId="6" borderId="4" xfId="0" applyFont="1" applyFill="1" applyBorder="1" applyAlignment="1">
      <alignment vertical="center" wrapText="1"/>
    </xf>
    <xf numFmtId="0" fontId="26" fillId="6" borderId="5" xfId="0" applyFont="1" applyFill="1" applyBorder="1" applyAlignment="1">
      <alignment vertical="center" wrapText="1"/>
    </xf>
    <xf numFmtId="0" fontId="26" fillId="6" borderId="0" xfId="0" applyFont="1" applyFill="1" applyBorder="1" applyAlignment="1">
      <alignment vertical="center" wrapText="1"/>
    </xf>
    <xf numFmtId="0" fontId="26" fillId="6" borderId="4" xfId="0" applyFont="1" applyFill="1" applyBorder="1" applyAlignment="1">
      <alignment horizontal="left" vertical="center" wrapText="1"/>
    </xf>
    <xf numFmtId="0" fontId="25" fillId="6" borderId="0" xfId="0" applyFont="1" applyFill="1" applyBorder="1" applyAlignment="1">
      <alignment horizontal="left" vertical="center" wrapText="1"/>
    </xf>
    <xf numFmtId="0" fontId="26" fillId="6" borderId="5" xfId="0" applyFont="1" applyFill="1" applyBorder="1" applyAlignment="1">
      <alignment horizontal="left" vertical="center" wrapText="1"/>
    </xf>
    <xf numFmtId="0" fontId="25" fillId="6" borderId="5" xfId="0" applyFont="1" applyFill="1" applyBorder="1" applyAlignment="1">
      <alignment horizontal="left" vertical="center" wrapText="1" indent="2"/>
    </xf>
    <xf numFmtId="0" fontId="26" fillId="6" borderId="0" xfId="0" applyFont="1" applyFill="1" applyBorder="1" applyAlignment="1">
      <alignment horizontal="left" vertical="center" wrapText="1"/>
    </xf>
    <xf numFmtId="0" fontId="25" fillId="6" borderId="0" xfId="0" applyFont="1" applyFill="1" applyBorder="1" applyAlignment="1">
      <alignment horizontal="left" vertical="center" wrapText="1" indent="2"/>
    </xf>
    <xf numFmtId="0" fontId="25" fillId="5" borderId="0" xfId="0" applyFont="1" applyFill="1" applyBorder="1" applyAlignment="1">
      <alignment vertical="center" wrapText="1"/>
    </xf>
    <xf numFmtId="0" fontId="25" fillId="5" borderId="0" xfId="0" applyFont="1" applyFill="1" applyBorder="1" applyAlignment="1">
      <alignment horizontal="center" vertical="center" wrapText="1"/>
    </xf>
    <xf numFmtId="165" fontId="25" fillId="5" borderId="0" xfId="1" applyNumberFormat="1" applyFont="1" applyFill="1" applyBorder="1" applyAlignment="1">
      <alignment vertical="center" wrapText="1"/>
    </xf>
    <xf numFmtId="0" fontId="24" fillId="6" borderId="11" xfId="0" applyFont="1" applyFill="1" applyBorder="1" applyAlignment="1">
      <alignment vertical="center" wrapText="1"/>
    </xf>
    <xf numFmtId="0" fontId="24" fillId="6" borderId="3" xfId="0" applyFont="1" applyFill="1" applyBorder="1" applyAlignment="1">
      <alignment vertical="center" wrapText="1"/>
    </xf>
    <xf numFmtId="0" fontId="24" fillId="6" borderId="4" xfId="0" applyFont="1" applyFill="1" applyBorder="1" applyAlignment="1">
      <alignment horizontal="left" vertical="center" wrapText="1"/>
    </xf>
    <xf numFmtId="0" fontId="24" fillId="6" borderId="4" xfId="0" applyFont="1" applyFill="1" applyBorder="1" applyAlignment="1">
      <alignment horizontal="center" vertical="center" wrapText="1"/>
    </xf>
    <xf numFmtId="165" fontId="24" fillId="6" borderId="4" xfId="1" applyNumberFormat="1" applyFont="1" applyFill="1" applyBorder="1" applyAlignment="1">
      <alignment vertical="center" wrapText="1"/>
    </xf>
    <xf numFmtId="43" fontId="24" fillId="6" borderId="4" xfId="1" applyFont="1" applyFill="1" applyBorder="1" applyAlignment="1">
      <alignment vertical="center" wrapText="1"/>
    </xf>
    <xf numFmtId="44" fontId="24" fillId="6" borderId="4" xfId="2" applyFont="1" applyFill="1" applyBorder="1" applyAlignment="1">
      <alignment vertical="center" wrapText="1"/>
    </xf>
    <xf numFmtId="0" fontId="26" fillId="12" borderId="4" xfId="0" applyFont="1" applyFill="1" applyBorder="1" applyAlignment="1">
      <alignment vertical="center" wrapText="1"/>
    </xf>
    <xf numFmtId="0" fontId="25" fillId="14" borderId="3" xfId="0" applyFont="1" applyFill="1" applyBorder="1" applyAlignment="1">
      <alignment horizontal="left" vertical="center" wrapText="1"/>
    </xf>
    <xf numFmtId="165" fontId="40" fillId="14" borderId="4" xfId="1" applyNumberFormat="1" applyFont="1" applyFill="1" applyBorder="1" applyAlignment="1">
      <alignment horizontal="center" vertical="center"/>
    </xf>
    <xf numFmtId="44" fontId="26" fillId="14" borderId="4" xfId="2" applyFont="1" applyFill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 wrapText="1"/>
    </xf>
    <xf numFmtId="165" fontId="39" fillId="14" borderId="4" xfId="1" applyNumberFormat="1" applyFont="1" applyFill="1" applyBorder="1" applyAlignment="1">
      <alignment horizontal="center" vertical="center"/>
    </xf>
    <xf numFmtId="43" fontId="45" fillId="14" borderId="4" xfId="1" applyNumberFormat="1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vertical="center"/>
    </xf>
    <xf numFmtId="0" fontId="38" fillId="14" borderId="4" xfId="0" applyFont="1" applyFill="1" applyBorder="1" applyAlignment="1">
      <alignment horizontal="center" vertical="center" wrapText="1"/>
    </xf>
    <xf numFmtId="43" fontId="45" fillId="14" borderId="4" xfId="1" applyFont="1" applyFill="1" applyBorder="1" applyAlignment="1">
      <alignment horizontal="center" vertical="center" wrapText="1"/>
    </xf>
    <xf numFmtId="0" fontId="39" fillId="14" borderId="5" xfId="0" applyFont="1" applyFill="1" applyBorder="1" applyAlignment="1">
      <alignment vertical="center" wrapText="1"/>
    </xf>
    <xf numFmtId="0" fontId="25" fillId="5" borderId="5" xfId="0" applyFont="1" applyFill="1" applyBorder="1" applyAlignment="1">
      <alignment horizontal="left" vertical="center" wrapText="1"/>
    </xf>
    <xf numFmtId="44" fontId="25" fillId="6" borderId="0" xfId="0" applyNumberFormat="1" applyFont="1" applyFill="1" applyBorder="1" applyAlignment="1">
      <alignment vertical="center" wrapText="1"/>
    </xf>
    <xf numFmtId="0" fontId="26" fillId="12" borderId="5" xfId="0" applyFont="1" applyFill="1" applyBorder="1" applyAlignment="1">
      <alignment vertical="center" wrapText="1"/>
    </xf>
    <xf numFmtId="0" fontId="26" fillId="5" borderId="4" xfId="0" applyFont="1" applyFill="1" applyBorder="1" applyAlignment="1">
      <alignment horizontal="left" vertical="center" wrapText="1"/>
    </xf>
    <xf numFmtId="0" fontId="25" fillId="5" borderId="5" xfId="0" applyFont="1" applyFill="1" applyBorder="1" applyAlignment="1">
      <alignment horizontal="left" vertical="center" wrapText="1" indent="1"/>
    </xf>
    <xf numFmtId="0" fontId="38" fillId="0" borderId="4" xfId="0" applyFont="1" applyBorder="1" applyAlignment="1">
      <alignment horizontal="center" vertical="center" wrapText="1"/>
    </xf>
    <xf numFmtId="165" fontId="45" fillId="14" borderId="5" xfId="1" applyNumberFormat="1" applyFont="1" applyFill="1" applyBorder="1" applyAlignment="1">
      <alignment vertical="center" wrapText="1"/>
    </xf>
    <xf numFmtId="43" fontId="45" fillId="14" borderId="5" xfId="1" applyFont="1" applyFill="1" applyBorder="1" applyAlignment="1">
      <alignment vertical="center" wrapText="1"/>
    </xf>
    <xf numFmtId="0" fontId="45" fillId="11" borderId="4" xfId="0" applyFont="1" applyFill="1" applyBorder="1" applyAlignment="1">
      <alignment vertical="center" wrapText="1"/>
    </xf>
    <xf numFmtId="0" fontId="27" fillId="6" borderId="5" xfId="0" applyFont="1" applyFill="1" applyBorder="1" applyAlignment="1">
      <alignment vertical="center" wrapText="1"/>
    </xf>
    <xf numFmtId="0" fontId="26" fillId="5" borderId="6" xfId="0" applyFont="1" applyFill="1" applyBorder="1" applyAlignment="1">
      <alignment vertical="center" wrapText="1"/>
    </xf>
    <xf numFmtId="0" fontId="38" fillId="0" borderId="5" xfId="0" applyFont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left" vertical="center" wrapText="1" indent="3"/>
    </xf>
    <xf numFmtId="0" fontId="25" fillId="5" borderId="4" xfId="0" applyFont="1" applyFill="1" applyBorder="1" applyAlignment="1">
      <alignment horizontal="left" vertical="center" wrapText="1"/>
    </xf>
    <xf numFmtId="44" fontId="27" fillId="6" borderId="5" xfId="0" applyNumberFormat="1" applyFont="1" applyFill="1" applyBorder="1" applyAlignment="1">
      <alignment vertical="center" wrapText="1"/>
    </xf>
    <xf numFmtId="43" fontId="26" fillId="6" borderId="5" xfId="1" applyFont="1" applyFill="1" applyBorder="1" applyAlignment="1">
      <alignment vertical="center" wrapText="1"/>
    </xf>
    <xf numFmtId="0" fontId="25" fillId="5" borderId="4" xfId="0" applyFont="1" applyFill="1" applyBorder="1" applyAlignment="1">
      <alignment horizontal="left" vertical="center" wrapText="1" indent="3"/>
    </xf>
    <xf numFmtId="0" fontId="25" fillId="5" borderId="3" xfId="0" applyFont="1" applyFill="1" applyBorder="1" applyAlignment="1">
      <alignment horizontal="left" vertical="center" wrapText="1"/>
    </xf>
    <xf numFmtId="0" fontId="48" fillId="0" borderId="5" xfId="0" applyFont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center" vertical="center" wrapText="1"/>
    </xf>
    <xf numFmtId="165" fontId="25" fillId="5" borderId="4" xfId="0" applyNumberFormat="1" applyFont="1" applyFill="1" applyBorder="1" applyAlignment="1">
      <alignment vertical="center" wrapText="1"/>
    </xf>
    <xf numFmtId="44" fontId="33" fillId="6" borderId="4" xfId="0" applyNumberFormat="1" applyFont="1" applyFill="1" applyBorder="1" applyAlignment="1">
      <alignment horizontal="center" vertical="center" wrapText="1"/>
    </xf>
    <xf numFmtId="44" fontId="49" fillId="10" borderId="11" xfId="0" applyNumberFormat="1" applyFont="1" applyFill="1" applyBorder="1" applyAlignment="1">
      <alignment vertical="center" wrapText="1"/>
    </xf>
    <xf numFmtId="0" fontId="25" fillId="12" borderId="5" xfId="0" applyFont="1" applyFill="1" applyBorder="1" applyAlignment="1">
      <alignment vertical="center" wrapText="1"/>
    </xf>
    <xf numFmtId="0" fontId="25" fillId="5" borderId="3" xfId="0" applyFont="1" applyFill="1" applyBorder="1" applyAlignment="1">
      <alignment vertical="center" wrapText="1"/>
    </xf>
    <xf numFmtId="44" fontId="41" fillId="6" borderId="4" xfId="0" applyNumberFormat="1" applyFont="1" applyFill="1" applyBorder="1" applyAlignment="1">
      <alignment horizontal="center" vertical="center" wrapText="1"/>
    </xf>
    <xf numFmtId="44" fontId="30" fillId="6" borderId="11" xfId="0" applyNumberFormat="1" applyFont="1" applyFill="1" applyBorder="1" applyAlignment="1">
      <alignment vertical="center" wrapText="1"/>
    </xf>
    <xf numFmtId="165" fontId="25" fillId="6" borderId="0" xfId="0" applyNumberFormat="1" applyFont="1" applyFill="1" applyBorder="1" applyAlignment="1">
      <alignment vertical="center" wrapText="1"/>
    </xf>
    <xf numFmtId="0" fontId="25" fillId="17" borderId="5" xfId="0" applyFont="1" applyFill="1" applyBorder="1" applyAlignment="1">
      <alignment vertical="center" wrapText="1"/>
    </xf>
    <xf numFmtId="0" fontId="26" fillId="5" borderId="3" xfId="0" applyFont="1" applyFill="1" applyBorder="1" applyAlignment="1">
      <alignment horizontal="left" vertical="center" wrapText="1"/>
    </xf>
    <xf numFmtId="44" fontId="30" fillId="10" borderId="11" xfId="0" applyNumberFormat="1" applyFont="1" applyFill="1" applyBorder="1" applyAlignment="1">
      <alignment vertical="center" wrapText="1"/>
    </xf>
    <xf numFmtId="0" fontId="25" fillId="7" borderId="0" xfId="0" applyFont="1" applyFill="1" applyBorder="1" applyAlignment="1">
      <alignment vertical="center" wrapText="1"/>
    </xf>
    <xf numFmtId="0" fontId="26" fillId="5" borderId="0" xfId="0" applyFont="1" applyFill="1" applyBorder="1" applyAlignment="1">
      <alignment vertical="center" wrapText="1"/>
    </xf>
    <xf numFmtId="0" fontId="25" fillId="5" borderId="0" xfId="0" applyFont="1" applyFill="1" applyBorder="1" applyAlignment="1">
      <alignment horizontal="left" vertical="center" wrapText="1"/>
    </xf>
    <xf numFmtId="0" fontId="39" fillId="0" borderId="0" xfId="0" applyFont="1" applyBorder="1" applyAlignment="1">
      <alignment horizontal="center" vertical="center" wrapText="1"/>
    </xf>
    <xf numFmtId="43" fontId="25" fillId="6" borderId="0" xfId="1" applyFont="1" applyFill="1" applyBorder="1" applyAlignment="1">
      <alignment horizontal="center" vertical="center" wrapText="1"/>
    </xf>
    <xf numFmtId="43" fontId="25" fillId="6" borderId="0" xfId="1" applyNumberFormat="1" applyFont="1" applyFill="1" applyBorder="1" applyAlignment="1">
      <alignment horizontal="center" vertical="center" wrapText="1"/>
    </xf>
    <xf numFmtId="0" fontId="25" fillId="11" borderId="0" xfId="0" applyFont="1" applyFill="1" applyBorder="1" applyAlignment="1">
      <alignment vertical="center" wrapText="1"/>
    </xf>
    <xf numFmtId="44" fontId="26" fillId="6" borderId="0" xfId="2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166" fontId="39" fillId="0" borderId="0" xfId="0" applyNumberFormat="1" applyFont="1" applyAlignment="1">
      <alignment vertical="center"/>
    </xf>
    <xf numFmtId="0" fontId="39" fillId="0" borderId="0" xfId="0" applyFont="1" applyAlignment="1">
      <alignment vertical="center"/>
    </xf>
    <xf numFmtId="0" fontId="37" fillId="11" borderId="0" xfId="0" applyFont="1" applyFill="1" applyAlignment="1">
      <alignment vertical="center"/>
    </xf>
    <xf numFmtId="44" fontId="50" fillId="0" borderId="0" xfId="0" applyNumberFormat="1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16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6" borderId="0" xfId="0" applyFont="1" applyFill="1" applyBorder="1" applyAlignment="1">
      <alignment vertical="center"/>
    </xf>
    <xf numFmtId="44" fontId="1" fillId="0" borderId="4" xfId="0" applyNumberFormat="1" applyFont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1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165" fontId="7" fillId="14" borderId="4" xfId="1" applyNumberFormat="1" applyFont="1" applyFill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14" borderId="4" xfId="0" applyFont="1" applyFill="1" applyBorder="1" applyAlignment="1">
      <alignment horizontal="center" vertical="center" wrapText="1"/>
    </xf>
    <xf numFmtId="43" fontId="1" fillId="0" borderId="0" xfId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3" fontId="1" fillId="0" borderId="0" xfId="0" applyNumberFormat="1" applyFont="1" applyAlignment="1">
      <alignment vertical="center"/>
    </xf>
    <xf numFmtId="0" fontId="1" fillId="11" borderId="0" xfId="0" applyFont="1" applyFill="1" applyAlignment="1">
      <alignment vertical="center"/>
    </xf>
    <xf numFmtId="166" fontId="1" fillId="0" borderId="0" xfId="0" applyNumberFormat="1" applyFont="1" applyAlignment="1">
      <alignment vertical="center"/>
    </xf>
    <xf numFmtId="10" fontId="1" fillId="0" borderId="0" xfId="3" applyNumberFormat="1" applyFont="1" applyAlignment="1">
      <alignment vertical="center"/>
    </xf>
    <xf numFmtId="44" fontId="1" fillId="0" borderId="0" xfId="0" applyNumberFormat="1" applyFont="1" applyAlignment="1">
      <alignment vertical="center"/>
    </xf>
    <xf numFmtId="165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15" fillId="6" borderId="4" xfId="0" applyFont="1" applyFill="1" applyBorder="1" applyAlignment="1">
      <alignment horizontal="center" vertical="center" wrapText="1"/>
    </xf>
    <xf numFmtId="0" fontId="26" fillId="5" borderId="11" xfId="0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left" vertical="center" wrapText="1"/>
    </xf>
    <xf numFmtId="0" fontId="27" fillId="4" borderId="5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 wrapText="1"/>
    </xf>
    <xf numFmtId="0" fontId="27" fillId="4" borderId="8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left" vertical="center" wrapText="1"/>
    </xf>
    <xf numFmtId="0" fontId="30" fillId="5" borderId="3" xfId="0" applyFont="1" applyFill="1" applyBorder="1" applyAlignment="1">
      <alignment horizontal="left" vertical="center" wrapText="1"/>
    </xf>
    <xf numFmtId="0" fontId="26" fillId="4" borderId="3" xfId="0" applyFont="1" applyFill="1" applyBorder="1" applyAlignment="1">
      <alignment horizontal="center" vertical="center" wrapText="1"/>
    </xf>
    <xf numFmtId="0" fontId="26" fillId="4" borderId="4" xfId="0" applyFont="1" applyFill="1" applyBorder="1" applyAlignment="1">
      <alignment horizontal="center" vertical="center" wrapText="1"/>
    </xf>
    <xf numFmtId="0" fontId="26" fillId="4" borderId="5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43" fontId="26" fillId="4" borderId="4" xfId="1" applyFont="1" applyFill="1" applyBorder="1" applyAlignment="1">
      <alignment horizontal="center" vertical="center" wrapText="1"/>
    </xf>
    <xf numFmtId="165" fontId="26" fillId="4" borderId="4" xfId="1" applyNumberFormat="1" applyFont="1" applyFill="1" applyBorder="1" applyAlignment="1">
      <alignment horizontal="center" vertical="center" wrapText="1"/>
    </xf>
    <xf numFmtId="0" fontId="26" fillId="4" borderId="6" xfId="1" applyNumberFormat="1" applyFont="1" applyFill="1" applyBorder="1" applyAlignment="1">
      <alignment horizontal="center" vertical="center" wrapText="1"/>
    </xf>
    <xf numFmtId="0" fontId="26" fillId="4" borderId="7" xfId="1" applyNumberFormat="1" applyFont="1" applyFill="1" applyBorder="1" applyAlignment="1">
      <alignment horizontal="center" vertical="center" wrapText="1"/>
    </xf>
    <xf numFmtId="0" fontId="26" fillId="4" borderId="8" xfId="1" applyNumberFormat="1" applyFont="1" applyFill="1" applyBorder="1" applyAlignment="1">
      <alignment horizontal="center" vertical="center" wrapText="1"/>
    </xf>
    <xf numFmtId="0" fontId="26" fillId="4" borderId="1" xfId="1" applyNumberFormat="1" applyFont="1" applyFill="1" applyBorder="1" applyAlignment="1">
      <alignment horizontal="center" vertical="center" wrapText="1"/>
    </xf>
    <xf numFmtId="44" fontId="26" fillId="4" borderId="4" xfId="2" applyFont="1" applyFill="1" applyBorder="1" applyAlignment="1">
      <alignment horizontal="center" vertical="center" wrapText="1"/>
    </xf>
    <xf numFmtId="164" fontId="24" fillId="2" borderId="26" xfId="2" applyNumberFormat="1" applyFont="1" applyFill="1" applyBorder="1" applyAlignment="1">
      <alignment horizontal="center" vertical="center" wrapText="1"/>
    </xf>
    <xf numFmtId="164" fontId="24" fillId="2" borderId="1" xfId="2" applyNumberFormat="1" applyFont="1" applyFill="1" applyBorder="1" applyAlignment="1">
      <alignment horizontal="center" vertical="center" wrapText="1"/>
    </xf>
    <xf numFmtId="0" fontId="30" fillId="6" borderId="11" xfId="0" applyFont="1" applyFill="1" applyBorder="1" applyAlignment="1">
      <alignment horizontal="left" vertical="center" wrapText="1"/>
    </xf>
    <xf numFmtId="0" fontId="30" fillId="6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8" fillId="6" borderId="12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12" fillId="8" borderId="4" xfId="5" applyFont="1" applyFill="1" applyBorder="1" applyAlignment="1">
      <alignment horizontal="left" vertical="center" wrapText="1"/>
    </xf>
    <xf numFmtId="0" fontId="12" fillId="8" borderId="11" xfId="5" applyFont="1" applyFill="1" applyBorder="1" applyAlignment="1">
      <alignment horizontal="left" vertical="center" wrapText="1"/>
    </xf>
    <xf numFmtId="0" fontId="12" fillId="8" borderId="12" xfId="5" applyFont="1" applyFill="1" applyBorder="1" applyAlignment="1">
      <alignment horizontal="left" vertical="center" wrapText="1"/>
    </xf>
    <xf numFmtId="0" fontId="12" fillId="8" borderId="3" xfId="5" applyFont="1" applyFill="1" applyBorder="1" applyAlignment="1">
      <alignment horizontal="left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8" borderId="4" xfId="5" applyFont="1" applyFill="1" applyBorder="1" applyAlignment="1">
      <alignment horizontal="center" vertical="center" wrapText="1"/>
    </xf>
    <xf numFmtId="0" fontId="5" fillId="6" borderId="5" xfId="5" applyFont="1" applyFill="1" applyBorder="1" applyAlignment="1">
      <alignment horizontal="left" vertical="center" wrapText="1"/>
    </xf>
    <xf numFmtId="0" fontId="5" fillId="6" borderId="2" xfId="5" applyFont="1" applyFill="1" applyBorder="1" applyAlignment="1">
      <alignment horizontal="left" vertical="center" wrapText="1"/>
    </xf>
    <xf numFmtId="0" fontId="9" fillId="8" borderId="11" xfId="4" applyFont="1" applyFill="1" applyBorder="1" applyAlignment="1">
      <alignment horizontal="center" vertical="center" wrapText="1"/>
    </xf>
    <xf numFmtId="0" fontId="9" fillId="8" borderId="12" xfId="4" applyFont="1" applyFill="1" applyBorder="1" applyAlignment="1">
      <alignment horizontal="center" vertical="center" wrapText="1"/>
    </xf>
    <xf numFmtId="0" fontId="9" fillId="8" borderId="3" xfId="4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left" vertical="center"/>
    </xf>
    <xf numFmtId="0" fontId="10" fillId="6" borderId="12" xfId="0" applyFont="1" applyFill="1" applyBorder="1" applyAlignment="1">
      <alignment horizontal="left" vertical="center"/>
    </xf>
    <xf numFmtId="0" fontId="10" fillId="7" borderId="22" xfId="0" applyFont="1" applyFill="1" applyBorder="1" applyAlignment="1">
      <alignment horizontal="left" vertical="center"/>
    </xf>
    <xf numFmtId="0" fontId="10" fillId="7" borderId="9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6" borderId="11" xfId="0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0" fontId="0" fillId="6" borderId="4" xfId="0" applyFill="1" applyBorder="1" applyAlignment="1">
      <alignment horizontal="right" vertical="center" wrapText="1"/>
    </xf>
    <xf numFmtId="0" fontId="0" fillId="12" borderId="11" xfId="0" applyFill="1" applyBorder="1" applyAlignment="1">
      <alignment horizontal="left" vertical="center"/>
    </xf>
    <xf numFmtId="0" fontId="0" fillId="12" borderId="12" xfId="0" applyFill="1" applyBorder="1" applyAlignment="1">
      <alignment horizontal="left" vertical="center"/>
    </xf>
    <xf numFmtId="0" fontId="0" fillId="12" borderId="3" xfId="0" applyFill="1" applyBorder="1" applyAlignment="1">
      <alignment horizontal="left" vertical="center"/>
    </xf>
    <xf numFmtId="0" fontId="0" fillId="6" borderId="11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/>
    </xf>
    <xf numFmtId="0" fontId="0" fillId="6" borderId="3" xfId="0" applyFill="1" applyBorder="1" applyAlignment="1">
      <alignment horizontal="left" vertical="center"/>
    </xf>
    <xf numFmtId="0" fontId="0" fillId="6" borderId="4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</cellXfs>
  <cellStyles count="6">
    <cellStyle name="Comma" xfId="1" builtinId="3"/>
    <cellStyle name="Currency" xfId="2" builtinId="4"/>
    <cellStyle name="Normal" xfId="0" builtinId="0"/>
    <cellStyle name="Normal 2" xfId="5" xr:uid="{00000000-0005-0000-0000-000003000000}"/>
    <cellStyle name="Normal 3" xfId="4" xr:uid="{00000000-0005-0000-0000-000004000000}"/>
    <cellStyle name="Percent" xfId="3" builtinId="5"/>
  </cellStyles>
  <dxfs count="0"/>
  <tableStyles count="0" defaultTableStyle="TableStyleMedium9" defaultPivotStyle="PivotStyleLight16"/>
  <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CFA/Documents/BID/M&#233;xico/ME-L1172/Productos%20Finales/Copy%20of%20PAC%20ME-L1171%20Junio%2028%202015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eo detallado"/>
      <sheetName val="Costeo Resumen"/>
      <sheetName val="Plan de Adq."/>
      <sheetName val="Calendario de Desembolsos"/>
    </sheetNames>
    <sheetDataSet>
      <sheetData sheetId="0">
        <row r="23">
          <cell r="D23" t="str">
            <v>Se refiere al desarrollo del módulo y pilotaje para su plena implementación. El módulo tiene por objetivo llevar un registro de las acciones realizadas a los planteles educativos afectados por algún fenómeno natural.</v>
          </cell>
        </row>
        <row r="58">
          <cell r="O58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K23"/>
  <sheetViews>
    <sheetView topLeftCell="A2" zoomScaleNormal="100" workbookViewId="0">
      <selection activeCell="C1" sqref="C1"/>
    </sheetView>
  </sheetViews>
  <sheetFormatPr defaultColWidth="9.140625" defaultRowHeight="15.75" x14ac:dyDescent="0.25"/>
  <cols>
    <col min="1" max="2" width="9.140625" style="118"/>
    <col min="3" max="3" width="47.5703125" style="118" customWidth="1"/>
    <col min="4" max="4" width="14.140625" style="118" bestFit="1" customWidth="1"/>
    <col min="5" max="5" width="9.28515625" style="118" bestFit="1" customWidth="1"/>
    <col min="6" max="6" width="10.7109375" style="118" bestFit="1" customWidth="1"/>
    <col min="7" max="7" width="9" style="118" bestFit="1" customWidth="1"/>
    <col min="8" max="8" width="9.140625" style="118"/>
    <col min="9" max="9" width="14.28515625" style="118" customWidth="1"/>
    <col min="10" max="16384" width="9.140625" style="118"/>
  </cols>
  <sheetData>
    <row r="1" spans="3:11" x14ac:dyDescent="0.25">
      <c r="D1" s="462" t="s">
        <v>0</v>
      </c>
      <c r="E1" s="462"/>
      <c r="F1" s="462"/>
      <c r="G1" s="462"/>
    </row>
    <row r="2" spans="3:11" x14ac:dyDescent="0.25">
      <c r="J2" s="136" t="s">
        <v>1</v>
      </c>
      <c r="K2" s="136">
        <v>1000</v>
      </c>
    </row>
    <row r="3" spans="3:11" x14ac:dyDescent="0.25">
      <c r="C3" s="121" t="s">
        <v>2</v>
      </c>
      <c r="D3" s="121" t="s">
        <v>3</v>
      </c>
      <c r="E3" s="121" t="s">
        <v>4</v>
      </c>
      <c r="F3" s="121" t="s">
        <v>5</v>
      </c>
      <c r="G3" s="121" t="s">
        <v>6</v>
      </c>
    </row>
    <row r="4" spans="3:11" ht="47.25" x14ac:dyDescent="0.25">
      <c r="C4" s="165" t="str">
        <f>'Costeo detallado'!A7</f>
        <v>Componente I:  Cobertura de servicios del tercer ciclo de educación básica con énfasis en zonas rurales del occidente del país</v>
      </c>
      <c r="D4" s="166">
        <f>SUM(D5:D6)</f>
        <v>22000</v>
      </c>
      <c r="E4" s="166">
        <f>SUM(E5:E6)</f>
        <v>0</v>
      </c>
      <c r="F4" s="166">
        <f>SUM(F5:F6)</f>
        <v>22000</v>
      </c>
      <c r="G4" s="167">
        <f>F4/F$23</f>
        <v>0.36666666668703707</v>
      </c>
      <c r="I4" s="199"/>
    </row>
    <row r="5" spans="3:11" ht="31.5" x14ac:dyDescent="0.25">
      <c r="C5" s="122" t="str">
        <f>'Costeo detallado'!B8</f>
        <v xml:space="preserve">1.1 Provisión de servicios educativos de tercer ciclo basado en modalidades flexibles </v>
      </c>
      <c r="D5" s="126">
        <f>('Costeo detallado'!V8)/$K$2</f>
        <v>16187.999999999998</v>
      </c>
      <c r="E5" s="126"/>
      <c r="F5" s="126">
        <f t="shared" ref="F5:F6" si="0">SUM(D5:E5)</f>
        <v>16187.999999999998</v>
      </c>
      <c r="G5" s="130">
        <f>F5/F$23</f>
        <v>0.26980000001498888</v>
      </c>
      <c r="I5" s="199"/>
    </row>
    <row r="6" spans="3:11" x14ac:dyDescent="0.25">
      <c r="C6" s="122" t="str">
        <f>'Costeo detallado'!B9</f>
        <v>1.2 Ampliación de infraestructura educativa, mobiliario y equipamiento</v>
      </c>
      <c r="D6" s="126">
        <f>'Costeo detallado'!W9/$K$2</f>
        <v>5812</v>
      </c>
      <c r="E6" s="126"/>
      <c r="F6" s="126">
        <f t="shared" si="0"/>
        <v>5812</v>
      </c>
      <c r="G6" s="130">
        <f>F6/F$23</f>
        <v>9.6866666672048143E-2</v>
      </c>
    </row>
    <row r="7" spans="3:11" ht="4.5" customHeight="1" x14ac:dyDescent="0.25">
      <c r="C7" s="119"/>
      <c r="D7" s="127"/>
      <c r="E7" s="127"/>
      <c r="F7" s="127"/>
    </row>
    <row r="8" spans="3:11" ht="47.25" x14ac:dyDescent="0.25">
      <c r="C8" s="165" t="str">
        <f>'Costeo detallado'!A16</f>
        <v>Componente II:  Aumento de competencias para el trabajo y la vida en el tercer ciclo de educación básica</v>
      </c>
      <c r="D8" s="166">
        <f>SUM(D9:D11)</f>
        <v>26999.999996666666</v>
      </c>
      <c r="E8" s="166">
        <f>SUM(E9:E11)</f>
        <v>0</v>
      </c>
      <c r="F8" s="166">
        <f>SUM(F9:F11)</f>
        <v>26999.999996666666</v>
      </c>
      <c r="G8" s="167">
        <f>F8/F$23</f>
        <v>0.44999999996944445</v>
      </c>
      <c r="I8" s="199"/>
    </row>
    <row r="9" spans="3:11" x14ac:dyDescent="0.25">
      <c r="C9" s="122" t="str">
        <f>'Costeo detallado'!B17</f>
        <v>2.1 Formación docente</v>
      </c>
      <c r="D9" s="126">
        <f>'Costeo detallado'!W17/K2</f>
        <v>9471.9999966666655</v>
      </c>
      <c r="E9" s="128">
        <v>0</v>
      </c>
      <c r="F9" s="126">
        <f>SUM(D9:E9)</f>
        <v>9471.9999966666655</v>
      </c>
      <c r="G9" s="130">
        <f>F9/F$23</f>
        <v>0.15786666661988147</v>
      </c>
    </row>
    <row r="10" spans="3:11" ht="15.75" customHeight="1" x14ac:dyDescent="0.25">
      <c r="C10" s="122" t="str">
        <f>'Costeo detallado'!B35</f>
        <v>2.2 Mejora de las condiciones para el aprendizaje en la escuela</v>
      </c>
      <c r="D10" s="126">
        <f>'Costeo detallado'!W35/K2</f>
        <v>16028</v>
      </c>
      <c r="E10" s="128">
        <v>0</v>
      </c>
      <c r="F10" s="126">
        <f>SUM(D10:E10)</f>
        <v>16028</v>
      </c>
      <c r="G10" s="130">
        <f>F10/F$23</f>
        <v>0.26713333334817407</v>
      </c>
    </row>
    <row r="11" spans="3:11" x14ac:dyDescent="0.25">
      <c r="C11" s="122" t="str">
        <f>'Costeo detallado'!B47</f>
        <v>2.3 Evaluación de la calidad educativa</v>
      </c>
      <c r="D11" s="126">
        <f>'Costeo detallado'!W47/K2</f>
        <v>1500</v>
      </c>
      <c r="E11" s="128">
        <v>0</v>
      </c>
      <c r="F11" s="126">
        <f>SUM(D11:E11)</f>
        <v>1500</v>
      </c>
      <c r="G11" s="130">
        <f>F11/F$23</f>
        <v>2.500000000138889E-2</v>
      </c>
    </row>
    <row r="12" spans="3:11" ht="4.5" customHeight="1" x14ac:dyDescent="0.25">
      <c r="C12" s="120"/>
      <c r="D12" s="127"/>
      <c r="E12" s="127"/>
      <c r="F12" s="127"/>
    </row>
    <row r="13" spans="3:11" ht="31.5" x14ac:dyDescent="0.25">
      <c r="C13" s="165" t="str">
        <f>'Costeo detallado'!A52</f>
        <v>Componente III:  Fortalecimiento de la capacidad de gestión administrativa y pedagógica.</v>
      </c>
      <c r="D13" s="166">
        <f>SUM(D14:D15)</f>
        <v>7200</v>
      </c>
      <c r="E13" s="166">
        <f>SUM(E14:E15)</f>
        <v>0</v>
      </c>
      <c r="F13" s="166">
        <f>SUM(F14:F15)</f>
        <v>7200</v>
      </c>
      <c r="G13" s="167">
        <f>F13/F$23</f>
        <v>0.12000000000666666</v>
      </c>
      <c r="I13" s="199"/>
    </row>
    <row r="14" spans="3:11" ht="33" x14ac:dyDescent="0.25">
      <c r="C14" s="202" t="str">
        <f>'Costeo detallado'!B53</f>
        <v>3.1 Capacidades tecnicas para mejorar la calidad educativa</v>
      </c>
      <c r="D14" s="126">
        <f>'Costeo detallado'!W53/K2</f>
        <v>1308.9000000000001</v>
      </c>
      <c r="E14" s="126">
        <v>0</v>
      </c>
      <c r="F14" s="126">
        <f>SUM(D14:E14)</f>
        <v>1308.9000000000001</v>
      </c>
      <c r="G14" s="130">
        <f>F14/F$23</f>
        <v>2.1815000001211945E-2</v>
      </c>
    </row>
    <row r="15" spans="3:11" ht="16.5" x14ac:dyDescent="0.25">
      <c r="C15" s="202" t="str">
        <f>'Costeo detallado'!B66</f>
        <v xml:space="preserve"> 3.2 Impulso a la transformación digital de la SEDUC</v>
      </c>
      <c r="D15" s="126">
        <f>'Costeo detallado'!W66/K2</f>
        <v>5891.1</v>
      </c>
      <c r="E15" s="126">
        <v>0</v>
      </c>
      <c r="F15" s="126">
        <f>SUM(D15:E15)</f>
        <v>5891.1</v>
      </c>
      <c r="G15" s="130">
        <f>F15/F$23</f>
        <v>9.8185000005454728E-2</v>
      </c>
    </row>
    <row r="16" spans="3:11" ht="4.5" customHeight="1" x14ac:dyDescent="0.25">
      <c r="D16" s="127"/>
      <c r="E16" s="127"/>
      <c r="F16" s="127"/>
    </row>
    <row r="17" spans="3:9" ht="31.5" x14ac:dyDescent="0.25">
      <c r="C17" s="165" t="str">
        <f>'Costeo detallado'!A83</f>
        <v>Administración, monitoreo y evaluación del proyecto</v>
      </c>
      <c r="D17" s="166">
        <f>SUM(D18:D19)</f>
        <v>3800</v>
      </c>
      <c r="E17" s="166">
        <f>SUM(E18:E19)</f>
        <v>0</v>
      </c>
      <c r="F17" s="166">
        <f>SUM(D17:E17)</f>
        <v>3800</v>
      </c>
      <c r="G17" s="167">
        <f>F17/F$23</f>
        <v>6.3333333336851858E-2</v>
      </c>
      <c r="I17" s="199"/>
    </row>
    <row r="18" spans="3:9" x14ac:dyDescent="0.25">
      <c r="C18" s="129" t="s">
        <v>7</v>
      </c>
      <c r="D18" s="126">
        <f>'Costeo detallado'!W84/K2</f>
        <v>2060</v>
      </c>
      <c r="E18" s="128">
        <v>0</v>
      </c>
      <c r="F18" s="126">
        <f>SUM(D18:E18)</f>
        <v>2060</v>
      </c>
      <c r="G18" s="130">
        <f>F18/F$23</f>
        <v>3.4333333335240739E-2</v>
      </c>
    </row>
    <row r="19" spans="3:9" x14ac:dyDescent="0.25">
      <c r="C19" s="129" t="s">
        <v>8</v>
      </c>
      <c r="D19" s="126">
        <f>'Costeo detallado'!W97/K2</f>
        <v>1740</v>
      </c>
      <c r="E19" s="128">
        <v>0</v>
      </c>
      <c r="F19" s="126">
        <f>SUM(D19:E19)</f>
        <v>1740</v>
      </c>
      <c r="G19" s="130">
        <f>F19/F$23</f>
        <v>2.9000000001611112E-2</v>
      </c>
    </row>
    <row r="20" spans="3:9" ht="4.5" customHeight="1" x14ac:dyDescent="0.25">
      <c r="C20" s="131"/>
      <c r="D20" s="132"/>
      <c r="E20" s="133"/>
      <c r="F20" s="132"/>
      <c r="G20" s="134"/>
    </row>
    <row r="21" spans="3:9" x14ac:dyDescent="0.25">
      <c r="C21" s="165" t="s">
        <v>9</v>
      </c>
      <c r="D21" s="166">
        <f>'Costeo detallado'!X101/K2</f>
        <v>0</v>
      </c>
      <c r="E21" s="166">
        <v>0</v>
      </c>
      <c r="F21" s="168">
        <f>SUM(D21:E21)</f>
        <v>0</v>
      </c>
      <c r="G21" s="169">
        <f>F21/F$23</f>
        <v>0</v>
      </c>
      <c r="H21" s="135"/>
    </row>
    <row r="22" spans="3:9" ht="4.5" customHeight="1" x14ac:dyDescent="0.25">
      <c r="D22" s="127"/>
      <c r="E22" s="127"/>
      <c r="F22" s="127"/>
    </row>
    <row r="23" spans="3:9" ht="18" x14ac:dyDescent="0.25">
      <c r="C23" s="170" t="s">
        <v>5</v>
      </c>
      <c r="D23" s="171">
        <f>SUM(D4,D8,D13,D17,D21)</f>
        <v>59999.999996666666</v>
      </c>
      <c r="E23" s="171">
        <f>SUM(E4,E8,E13,E17,E21)</f>
        <v>0</v>
      </c>
      <c r="F23" s="171">
        <f>SUM(F4,F8,F13,F17,F21)</f>
        <v>59999.999996666666</v>
      </c>
      <c r="G23" s="172">
        <f>F23/F$23</f>
        <v>1</v>
      </c>
    </row>
  </sheetData>
  <mergeCells count="1">
    <mergeCell ref="D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Y107"/>
  <sheetViews>
    <sheetView tabSelected="1" topLeftCell="A3" zoomScale="115" zoomScaleNormal="115" workbookViewId="0">
      <pane xSplit="4" ySplit="4" topLeftCell="E7" activePane="bottomRight" state="frozen"/>
      <selection pane="topRight" activeCell="E3" sqref="E3"/>
      <selection pane="bottomLeft" activeCell="A7" sqref="A7"/>
      <selection pane="bottomRight" activeCell="I8" sqref="I8"/>
    </sheetView>
  </sheetViews>
  <sheetFormatPr defaultColWidth="9.140625" defaultRowHeight="15" x14ac:dyDescent="0.25"/>
  <cols>
    <col min="1" max="1" width="9.140625" style="266"/>
    <col min="2" max="2" width="9.85546875" style="266" bestFit="1" customWidth="1"/>
    <col min="3" max="3" width="21.28515625" style="266" customWidth="1"/>
    <col min="4" max="4" width="44.140625" style="266" customWidth="1"/>
    <col min="5" max="5" width="9.140625" style="433"/>
    <col min="6" max="6" width="14.28515625" style="266" bestFit="1" customWidth="1"/>
    <col min="7" max="7" width="11.140625" style="266" customWidth="1"/>
    <col min="8" max="8" width="12" style="266" bestFit="1" customWidth="1"/>
    <col min="9" max="9" width="8" style="266" bestFit="1" customWidth="1"/>
    <col min="10" max="10" width="12.28515625" style="266" bestFit="1" customWidth="1"/>
    <col min="11" max="11" width="8.42578125" style="266" bestFit="1" customWidth="1"/>
    <col min="12" max="12" width="12.5703125" style="266" bestFit="1" customWidth="1"/>
    <col min="13" max="13" width="8.42578125" style="266" bestFit="1" customWidth="1"/>
    <col min="14" max="14" width="11" style="266" bestFit="1" customWidth="1"/>
    <col min="15" max="15" width="8.42578125" style="266" bestFit="1" customWidth="1"/>
    <col min="16" max="16" width="10" style="266" bestFit="1" customWidth="1"/>
    <col min="17" max="17" width="8.42578125" style="266" bestFit="1" customWidth="1"/>
    <col min="18" max="18" width="10" style="266" bestFit="1" customWidth="1"/>
    <col min="19" max="19" width="8" style="266" hidden="1" customWidth="1"/>
    <col min="20" max="20" width="10" style="266" hidden="1" customWidth="1"/>
    <col min="21" max="21" width="1.85546875" style="436" customWidth="1"/>
    <col min="22" max="22" width="16.140625" style="266" bestFit="1" customWidth="1"/>
    <col min="23" max="23" width="21.140625" style="266" bestFit="1" customWidth="1"/>
    <col min="24" max="24" width="23.42578125" style="266" bestFit="1" customWidth="1"/>
    <col min="25" max="25" width="10.28515625" style="265" bestFit="1" customWidth="1"/>
    <col min="26" max="26" width="9.5703125" style="265" bestFit="1" customWidth="1"/>
    <col min="27" max="34" width="9.140625" style="265"/>
    <col min="35" max="35" width="10.28515625" style="265" bestFit="1" customWidth="1"/>
    <col min="36" max="51" width="9.140625" style="265"/>
    <col min="52" max="16384" width="9.140625" style="266"/>
  </cols>
  <sheetData>
    <row r="3" spans="1:51" s="221" customFormat="1" ht="12.75" customHeight="1" x14ac:dyDescent="0.25">
      <c r="A3" s="482" t="s">
        <v>10</v>
      </c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2"/>
      <c r="R3" s="482"/>
      <c r="S3" s="482"/>
      <c r="T3" s="483"/>
      <c r="U3" s="220"/>
      <c r="X3" s="222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</row>
    <row r="4" spans="1:51" s="225" customFormat="1" ht="12.75" customHeight="1" x14ac:dyDescent="0.25">
      <c r="A4" s="471" t="s">
        <v>2</v>
      </c>
      <c r="B4" s="472" t="s">
        <v>11</v>
      </c>
      <c r="C4" s="472" t="s">
        <v>12</v>
      </c>
      <c r="D4" s="473" t="s">
        <v>13</v>
      </c>
      <c r="E4" s="472" t="s">
        <v>14</v>
      </c>
      <c r="F4" s="475" t="s">
        <v>15</v>
      </c>
      <c r="G4" s="475" t="s">
        <v>16</v>
      </c>
      <c r="H4" s="476" t="s">
        <v>17</v>
      </c>
      <c r="I4" s="477" t="s">
        <v>18</v>
      </c>
      <c r="J4" s="478"/>
      <c r="K4" s="477" t="s">
        <v>19</v>
      </c>
      <c r="L4" s="478"/>
      <c r="M4" s="477" t="s">
        <v>20</v>
      </c>
      <c r="N4" s="478"/>
      <c r="O4" s="477" t="s">
        <v>21</v>
      </c>
      <c r="P4" s="478"/>
      <c r="Q4" s="477" t="s">
        <v>22</v>
      </c>
      <c r="R4" s="478"/>
      <c r="S4" s="477"/>
      <c r="T4" s="478"/>
      <c r="U4" s="224"/>
      <c r="V4" s="481" t="s">
        <v>23</v>
      </c>
      <c r="W4" s="465" t="s">
        <v>24</v>
      </c>
      <c r="X4" s="467" t="s">
        <v>25</v>
      </c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</row>
    <row r="5" spans="1:51" s="225" customFormat="1" ht="22.5" customHeight="1" x14ac:dyDescent="0.25">
      <c r="A5" s="471"/>
      <c r="B5" s="472"/>
      <c r="C5" s="472"/>
      <c r="D5" s="474"/>
      <c r="E5" s="472"/>
      <c r="F5" s="475"/>
      <c r="G5" s="475"/>
      <c r="H5" s="476"/>
      <c r="I5" s="479"/>
      <c r="J5" s="480"/>
      <c r="K5" s="479"/>
      <c r="L5" s="480"/>
      <c r="M5" s="479"/>
      <c r="N5" s="480"/>
      <c r="O5" s="479"/>
      <c r="P5" s="480"/>
      <c r="Q5" s="479"/>
      <c r="R5" s="480"/>
      <c r="S5" s="479"/>
      <c r="T5" s="480"/>
      <c r="U5" s="224"/>
      <c r="V5" s="481"/>
      <c r="W5" s="466"/>
      <c r="X5" s="468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</row>
    <row r="6" spans="1:51" s="225" customFormat="1" ht="18" x14ac:dyDescent="0.25">
      <c r="A6" s="226"/>
      <c r="B6" s="227"/>
      <c r="C6" s="227"/>
      <c r="D6" s="228"/>
      <c r="E6" s="227"/>
      <c r="F6" s="229"/>
      <c r="G6" s="230"/>
      <c r="H6" s="231"/>
      <c r="I6" s="230" t="s">
        <v>26</v>
      </c>
      <c r="J6" s="230" t="s">
        <v>27</v>
      </c>
      <c r="K6" s="230" t="s">
        <v>26</v>
      </c>
      <c r="L6" s="230" t="s">
        <v>27</v>
      </c>
      <c r="M6" s="230" t="s">
        <v>26</v>
      </c>
      <c r="N6" s="230" t="s">
        <v>27</v>
      </c>
      <c r="O6" s="230" t="s">
        <v>26</v>
      </c>
      <c r="P6" s="230" t="s">
        <v>27</v>
      </c>
      <c r="Q6" s="230" t="s">
        <v>26</v>
      </c>
      <c r="R6" s="230" t="s">
        <v>27</v>
      </c>
      <c r="S6" s="230"/>
      <c r="T6" s="230"/>
      <c r="U6" s="224"/>
      <c r="V6" s="230" t="s">
        <v>27</v>
      </c>
      <c r="W6" s="230" t="s">
        <v>27</v>
      </c>
      <c r="X6" s="232" t="s">
        <v>27</v>
      </c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</row>
    <row r="7" spans="1:51" s="225" customFormat="1" ht="23.25" x14ac:dyDescent="0.25">
      <c r="A7" s="233" t="s">
        <v>28</v>
      </c>
      <c r="B7" s="234"/>
      <c r="C7" s="234"/>
      <c r="D7" s="235"/>
      <c r="E7" s="236"/>
      <c r="F7" s="237"/>
      <c r="G7" s="237"/>
      <c r="H7" s="238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24"/>
      <c r="V7" s="239"/>
      <c r="W7" s="240"/>
      <c r="X7" s="241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  <c r="AW7" s="223"/>
      <c r="AX7" s="223"/>
      <c r="AY7" s="223"/>
    </row>
    <row r="8" spans="1:51" s="252" customFormat="1" ht="108" x14ac:dyDescent="0.25">
      <c r="A8" s="242"/>
      <c r="B8" s="469" t="s">
        <v>29</v>
      </c>
      <c r="C8" s="470"/>
      <c r="D8" s="243" t="s">
        <v>30</v>
      </c>
      <c r="E8" s="244" t="s">
        <v>31</v>
      </c>
      <c r="F8" s="245">
        <v>341.68117777425988</v>
      </c>
      <c r="G8" s="246" t="s">
        <v>32</v>
      </c>
      <c r="H8" s="247">
        <f>SUM(I8,K8,M8,O8,Q8,S8)</f>
        <v>56960</v>
      </c>
      <c r="I8" s="248"/>
      <c r="J8" s="248">
        <f>I8*$F8</f>
        <v>0</v>
      </c>
      <c r="K8" s="248">
        <f>'Supuestos y Calculos'!$G$4+'Supuestos y Calculos'!F23</f>
        <v>12615</v>
      </c>
      <c r="L8" s="248">
        <f>K8*$F8</f>
        <v>4310308.0576222884</v>
      </c>
      <c r="M8" s="248">
        <f>'Supuestos y Calculos'!$G$4+'Supuestos y Calculos'!G23</f>
        <v>13615</v>
      </c>
      <c r="N8" s="248">
        <f>M8*$F8</f>
        <v>4651989.2353965482</v>
      </c>
      <c r="O8" s="248">
        <f>'Supuestos y Calculos'!$G$4+'Supuestos y Calculos'!H23</f>
        <v>14715</v>
      </c>
      <c r="P8" s="248">
        <f>O8*$F8*0.72</f>
        <v>3620043.7422827282</v>
      </c>
      <c r="Q8" s="248">
        <f>'Supuestos y Calculos'!$G$4+'Supuestos y Calculos'!I23</f>
        <v>16015</v>
      </c>
      <c r="R8" s="248">
        <f>Q8*$F8*0.658926006868561</f>
        <v>3605658.9646984334</v>
      </c>
      <c r="S8" s="248"/>
      <c r="T8" s="248">
        <f>S8*$F8*0.25</f>
        <v>0</v>
      </c>
      <c r="U8" s="224"/>
      <c r="V8" s="249">
        <f>SUM(J8,L8,N8,P8,R8,T8)</f>
        <v>16187999.999999998</v>
      </c>
      <c r="W8" s="250">
        <f>SUM(V8)</f>
        <v>16187999.999999998</v>
      </c>
      <c r="X8" s="251">
        <f>SUM(W8:W15)</f>
        <v>22000000</v>
      </c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</row>
    <row r="9" spans="1:51" s="252" customFormat="1" ht="75" customHeight="1" x14ac:dyDescent="0.25">
      <c r="A9" s="253"/>
      <c r="B9" s="484" t="s">
        <v>371</v>
      </c>
      <c r="C9" s="485"/>
      <c r="D9" s="243" t="s">
        <v>33</v>
      </c>
      <c r="E9" s="244"/>
      <c r="F9" s="245"/>
      <c r="G9" s="246"/>
      <c r="H9" s="247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24"/>
      <c r="V9" s="249"/>
      <c r="W9" s="250">
        <f>SUM(V9:V15)</f>
        <v>5812000</v>
      </c>
      <c r="X9" s="254"/>
      <c r="Y9" s="223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</row>
    <row r="10" spans="1:51" s="252" customFormat="1" ht="38.25" x14ac:dyDescent="0.25">
      <c r="A10" s="253"/>
      <c r="B10" s="255"/>
      <c r="C10" s="256" t="s">
        <v>34</v>
      </c>
      <c r="D10" s="243" t="s">
        <v>35</v>
      </c>
      <c r="E10" s="244" t="s">
        <v>36</v>
      </c>
      <c r="F10" s="257">
        <v>100000</v>
      </c>
      <c r="G10" s="246" t="s">
        <v>37</v>
      </c>
      <c r="H10" s="247">
        <f t="shared" ref="H10:H15" si="0">SUM(I10,K10,M10,O10,Q10,S10)</f>
        <v>50</v>
      </c>
      <c r="I10" s="248"/>
      <c r="J10" s="248">
        <f t="shared" ref="J10:J14" si="1">I10*$F10</f>
        <v>0</v>
      </c>
      <c r="K10" s="248">
        <v>15</v>
      </c>
      <c r="L10" s="248">
        <f t="shared" ref="L10:L14" si="2">K10*$F10</f>
        <v>1500000</v>
      </c>
      <c r="M10" s="248">
        <v>20</v>
      </c>
      <c r="N10" s="248">
        <f t="shared" ref="N10:P14" si="3">M10*$F10</f>
        <v>2000000</v>
      </c>
      <c r="O10" s="248">
        <v>15</v>
      </c>
      <c r="P10" s="248">
        <f t="shared" si="3"/>
        <v>1500000</v>
      </c>
      <c r="Q10" s="248"/>
      <c r="R10" s="248"/>
      <c r="S10" s="248"/>
      <c r="T10" s="246"/>
      <c r="U10" s="224"/>
      <c r="V10" s="249">
        <f t="shared" ref="V10:V15" si="4">SUM(J10,L10,N10,P10,R10,T10)</f>
        <v>5000000</v>
      </c>
      <c r="W10" s="438"/>
      <c r="X10" s="258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</row>
    <row r="11" spans="1:51" s="252" customFormat="1" ht="27" x14ac:dyDescent="0.25">
      <c r="A11" s="253"/>
      <c r="B11" s="259"/>
      <c r="C11" s="260" t="s">
        <v>38</v>
      </c>
      <c r="D11" s="243" t="s">
        <v>39</v>
      </c>
      <c r="E11" s="244" t="s">
        <v>40</v>
      </c>
      <c r="F11" s="257">
        <v>2000</v>
      </c>
      <c r="G11" s="246" t="s">
        <v>41</v>
      </c>
      <c r="H11" s="247">
        <f t="shared" si="0"/>
        <v>48</v>
      </c>
      <c r="I11" s="248">
        <v>8</v>
      </c>
      <c r="J11" s="248">
        <f t="shared" si="1"/>
        <v>16000</v>
      </c>
      <c r="K11" s="248">
        <v>24</v>
      </c>
      <c r="L11" s="248">
        <f t="shared" si="2"/>
        <v>48000</v>
      </c>
      <c r="M11" s="248">
        <v>16</v>
      </c>
      <c r="N11" s="248">
        <f t="shared" si="3"/>
        <v>32000</v>
      </c>
      <c r="O11" s="248"/>
      <c r="P11" s="248">
        <f t="shared" si="3"/>
        <v>0</v>
      </c>
      <c r="Q11" s="248"/>
      <c r="R11" s="248"/>
      <c r="S11" s="248"/>
      <c r="T11" s="246"/>
      <c r="U11" s="224"/>
      <c r="V11" s="249">
        <f t="shared" si="4"/>
        <v>96000</v>
      </c>
      <c r="W11" s="438"/>
      <c r="X11" s="258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</row>
    <row r="12" spans="1:51" ht="27" x14ac:dyDescent="0.25">
      <c r="A12" s="439"/>
      <c r="B12" s="261"/>
      <c r="C12" s="262" t="s">
        <v>42</v>
      </c>
      <c r="D12" s="243" t="s">
        <v>43</v>
      </c>
      <c r="E12" s="244" t="s">
        <v>40</v>
      </c>
      <c r="F12" s="263">
        <v>24000</v>
      </c>
      <c r="G12" s="264" t="s">
        <v>44</v>
      </c>
      <c r="H12" s="247">
        <f>SUM(I12,K12,M12,O12,Q12,S12)</f>
        <v>9</v>
      </c>
      <c r="I12" s="248"/>
      <c r="J12" s="248">
        <f t="shared" si="1"/>
        <v>0</v>
      </c>
      <c r="K12" s="247">
        <f>ROUNDUP((K10/7),0)</f>
        <v>3</v>
      </c>
      <c r="L12" s="248">
        <f t="shared" si="2"/>
        <v>72000</v>
      </c>
      <c r="M12" s="247">
        <f>ROUNDUP((M10/7),0)</f>
        <v>3</v>
      </c>
      <c r="N12" s="248">
        <f t="shared" si="3"/>
        <v>72000</v>
      </c>
      <c r="O12" s="247">
        <f>ROUNDUP((O10/7),0)</f>
        <v>3</v>
      </c>
      <c r="P12" s="248">
        <f t="shared" si="3"/>
        <v>72000</v>
      </c>
      <c r="Q12" s="248"/>
      <c r="R12" s="248"/>
      <c r="S12" s="248"/>
      <c r="T12" s="246"/>
      <c r="U12" s="224"/>
      <c r="V12" s="249">
        <f t="shared" si="4"/>
        <v>216000</v>
      </c>
      <c r="W12" s="440"/>
      <c r="X12" s="441"/>
      <c r="Y12" s="442"/>
      <c r="Z12" s="442"/>
      <c r="AA12" s="442"/>
      <c r="AB12" s="442"/>
      <c r="AC12" s="442"/>
      <c r="AD12" s="442"/>
      <c r="AE12" s="442"/>
      <c r="AF12" s="442"/>
      <c r="AG12" s="442"/>
      <c r="AH12" s="442"/>
      <c r="AI12" s="442"/>
      <c r="AJ12" s="442"/>
      <c r="AK12" s="442"/>
      <c r="AL12" s="442"/>
      <c r="AM12" s="442"/>
      <c r="AN12" s="442"/>
      <c r="AO12" s="442"/>
      <c r="AP12" s="442"/>
      <c r="AQ12" s="442"/>
      <c r="AR12" s="442"/>
      <c r="AS12" s="442"/>
      <c r="AT12" s="442"/>
      <c r="AU12" s="442"/>
      <c r="AV12" s="442"/>
      <c r="AW12" s="442"/>
      <c r="AX12" s="442"/>
      <c r="AY12" s="442"/>
    </row>
    <row r="13" spans="1:51" x14ac:dyDescent="0.25">
      <c r="A13" s="439"/>
      <c r="B13" s="261"/>
      <c r="C13" s="262" t="s">
        <v>45</v>
      </c>
      <c r="D13" s="267" t="s">
        <v>46</v>
      </c>
      <c r="E13" s="244" t="s">
        <v>47</v>
      </c>
      <c r="F13" s="263">
        <v>1000</v>
      </c>
      <c r="G13" s="268" t="s">
        <v>48</v>
      </c>
      <c r="H13" s="247">
        <f>SUM(I13,K13,M13,O13,Q13,S13)</f>
        <v>50</v>
      </c>
      <c r="I13" s="248"/>
      <c r="J13" s="248">
        <f t="shared" si="1"/>
        <v>0</v>
      </c>
      <c r="K13" s="248">
        <f>K10</f>
        <v>15</v>
      </c>
      <c r="L13" s="248">
        <f>K13*$F13</f>
        <v>15000</v>
      </c>
      <c r="M13" s="248">
        <f>M10</f>
        <v>20</v>
      </c>
      <c r="N13" s="248">
        <f t="shared" si="3"/>
        <v>20000</v>
      </c>
      <c r="O13" s="248">
        <f>O10</f>
        <v>15</v>
      </c>
      <c r="P13" s="248">
        <f t="shared" si="3"/>
        <v>15000</v>
      </c>
      <c r="Q13" s="248"/>
      <c r="R13" s="248"/>
      <c r="S13" s="248"/>
      <c r="T13" s="246"/>
      <c r="U13" s="224"/>
      <c r="V13" s="249">
        <f t="shared" si="4"/>
        <v>50000</v>
      </c>
      <c r="W13" s="440"/>
      <c r="X13" s="441"/>
      <c r="Y13" s="442"/>
      <c r="Z13" s="442"/>
      <c r="AA13" s="442"/>
      <c r="AB13" s="442"/>
      <c r="AC13" s="442"/>
      <c r="AD13" s="442"/>
      <c r="AE13" s="442"/>
      <c r="AF13" s="442"/>
      <c r="AG13" s="442"/>
      <c r="AH13" s="442"/>
      <c r="AI13" s="442"/>
      <c r="AJ13" s="442"/>
      <c r="AK13" s="442"/>
      <c r="AL13" s="442"/>
      <c r="AM13" s="442"/>
      <c r="AN13" s="442"/>
      <c r="AO13" s="442"/>
      <c r="AP13" s="442"/>
      <c r="AQ13" s="442"/>
      <c r="AR13" s="442"/>
      <c r="AS13" s="442"/>
      <c r="AT13" s="442"/>
      <c r="AU13" s="442"/>
      <c r="AV13" s="442"/>
      <c r="AW13" s="442"/>
      <c r="AX13" s="442"/>
      <c r="AY13" s="442"/>
    </row>
    <row r="14" spans="1:51" x14ac:dyDescent="0.25">
      <c r="A14" s="439"/>
      <c r="B14" s="261"/>
      <c r="C14" s="262" t="s">
        <v>49</v>
      </c>
      <c r="D14" s="267" t="s">
        <v>50</v>
      </c>
      <c r="E14" s="244" t="s">
        <v>47</v>
      </c>
      <c r="F14" s="269">
        <v>600</v>
      </c>
      <c r="G14" s="268" t="s">
        <v>51</v>
      </c>
      <c r="H14" s="247">
        <f>SUM(I14,K14,M14,O14,Q14,S14)</f>
        <v>750</v>
      </c>
      <c r="I14" s="248"/>
      <c r="J14" s="248">
        <f t="shared" si="1"/>
        <v>0</v>
      </c>
      <c r="K14" s="248">
        <f>'Supuestos y Calculos'!$F$4/3*K10</f>
        <v>225</v>
      </c>
      <c r="L14" s="248">
        <f t="shared" si="2"/>
        <v>135000</v>
      </c>
      <c r="M14" s="248">
        <f>'Supuestos y Calculos'!$F$4/3*M10</f>
        <v>300</v>
      </c>
      <c r="N14" s="248">
        <f t="shared" si="3"/>
        <v>180000</v>
      </c>
      <c r="O14" s="248">
        <f>'Supuestos y Calculos'!$F$4/3*O10</f>
        <v>225</v>
      </c>
      <c r="P14" s="248">
        <f t="shared" si="3"/>
        <v>135000</v>
      </c>
      <c r="Q14" s="248"/>
      <c r="R14" s="248"/>
      <c r="S14" s="248"/>
      <c r="T14" s="246"/>
      <c r="U14" s="224"/>
      <c r="V14" s="249">
        <f t="shared" si="4"/>
        <v>450000</v>
      </c>
      <c r="W14" s="440"/>
      <c r="X14" s="441"/>
      <c r="Y14" s="442"/>
      <c r="Z14" s="442"/>
      <c r="AA14" s="442"/>
      <c r="AB14" s="442"/>
      <c r="AC14" s="442"/>
      <c r="AD14" s="442"/>
      <c r="AE14" s="442"/>
      <c r="AF14" s="442"/>
      <c r="AG14" s="442"/>
      <c r="AH14" s="442"/>
      <c r="AI14" s="442"/>
      <c r="AJ14" s="442"/>
      <c r="AK14" s="442"/>
      <c r="AL14" s="442"/>
      <c r="AM14" s="442"/>
      <c r="AN14" s="442"/>
      <c r="AO14" s="442"/>
      <c r="AP14" s="442"/>
      <c r="AQ14" s="442"/>
      <c r="AR14" s="442"/>
      <c r="AS14" s="442"/>
      <c r="AT14" s="442"/>
      <c r="AU14" s="442"/>
      <c r="AV14" s="442"/>
      <c r="AW14" s="442"/>
      <c r="AX14" s="442"/>
      <c r="AY14" s="442"/>
    </row>
    <row r="15" spans="1:51" s="252" customFormat="1" ht="13.5" customHeight="1" x14ac:dyDescent="0.25">
      <c r="A15" s="270"/>
      <c r="B15" s="270"/>
      <c r="C15" s="271"/>
      <c r="D15" s="272"/>
      <c r="E15" s="264"/>
      <c r="F15" s="273"/>
      <c r="G15" s="246"/>
      <c r="H15" s="247">
        <f t="shared" si="0"/>
        <v>0</v>
      </c>
      <c r="I15" s="248"/>
      <c r="J15" s="246">
        <f>I15*$F15</f>
        <v>0</v>
      </c>
      <c r="K15" s="248">
        <f>I15</f>
        <v>0</v>
      </c>
      <c r="L15" s="246">
        <f>K15*$F15</f>
        <v>0</v>
      </c>
      <c r="M15" s="248">
        <f>K15</f>
        <v>0</v>
      </c>
      <c r="N15" s="246"/>
      <c r="O15" s="248"/>
      <c r="P15" s="246"/>
      <c r="Q15" s="248"/>
      <c r="R15" s="248"/>
      <c r="S15" s="248"/>
      <c r="T15" s="246"/>
      <c r="U15" s="224"/>
      <c r="V15" s="249">
        <f t="shared" si="4"/>
        <v>0</v>
      </c>
      <c r="W15" s="438"/>
      <c r="X15" s="258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</row>
    <row r="16" spans="1:51" s="225" customFormat="1" ht="23.25" x14ac:dyDescent="0.25">
      <c r="A16" s="233" t="s">
        <v>52</v>
      </c>
      <c r="B16" s="234"/>
      <c r="C16" s="234"/>
      <c r="D16" s="235"/>
      <c r="E16" s="236"/>
      <c r="F16" s="238"/>
      <c r="G16" s="237"/>
      <c r="H16" s="238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24"/>
      <c r="V16" s="239"/>
      <c r="W16" s="240"/>
      <c r="X16" s="241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</row>
    <row r="17" spans="1:51" s="252" customFormat="1" ht="45.75" customHeight="1" x14ac:dyDescent="0.25">
      <c r="A17" s="253"/>
      <c r="B17" s="484" t="s">
        <v>53</v>
      </c>
      <c r="C17" s="485"/>
      <c r="D17" s="274" t="s">
        <v>54</v>
      </c>
      <c r="E17" s="264" t="s">
        <v>55</v>
      </c>
      <c r="F17" s="275"/>
      <c r="G17" s="246"/>
      <c r="H17" s="247"/>
      <c r="I17" s="276">
        <f>J17/$V17</f>
        <v>6.3194160198820293E-2</v>
      </c>
      <c r="J17" s="277">
        <f>SUM(J19:J32)</f>
        <v>499223.33299999998</v>
      </c>
      <c r="K17" s="276">
        <f>L17/$V17</f>
        <v>0.30973691428500044</v>
      </c>
      <c r="L17" s="277">
        <f>SUM(L19:L32)</f>
        <v>2446869.9989999998</v>
      </c>
      <c r="M17" s="276">
        <f>N17/$V17</f>
        <v>0.28611468597907747</v>
      </c>
      <c r="N17" s="277">
        <f>SUM(N19:N32)</f>
        <v>2260258.3325</v>
      </c>
      <c r="O17" s="276">
        <f>P17/$V17</f>
        <v>0.25109981225388711</v>
      </c>
      <c r="P17" s="277">
        <f>SUM(P19:P32)</f>
        <v>1983646.666</v>
      </c>
      <c r="Q17" s="276">
        <f>R17/$V17</f>
        <v>8.9854427283214577E-2</v>
      </c>
      <c r="R17" s="277">
        <f>SUM(R19:R32)</f>
        <v>709834.99949999992</v>
      </c>
      <c r="S17" s="276">
        <f>T17/$V17</f>
        <v>0</v>
      </c>
      <c r="T17" s="277">
        <f>SUM(T19:T32)</f>
        <v>0</v>
      </c>
      <c r="U17" s="224"/>
      <c r="V17" s="249">
        <f>SUM(J17,L17,N17,P17,R17,T17)</f>
        <v>7899833.3300000001</v>
      </c>
      <c r="W17" s="278">
        <f>SUM(V17,V33,V34)</f>
        <v>9471999.9966666661</v>
      </c>
      <c r="X17" s="279">
        <f>SUM(W17:W50)</f>
        <v>26999999.996666666</v>
      </c>
      <c r="Y17" s="280"/>
      <c r="Z17" s="281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</row>
    <row r="18" spans="1:51" s="252" customFormat="1" ht="23.25" x14ac:dyDescent="0.25">
      <c r="A18" s="253"/>
      <c r="B18" s="282"/>
      <c r="C18" s="283" t="s">
        <v>56</v>
      </c>
      <c r="D18" s="284"/>
      <c r="E18" s="285" t="s">
        <v>57</v>
      </c>
      <c r="F18" s="286" t="s">
        <v>57</v>
      </c>
      <c r="G18" s="285" t="s">
        <v>57</v>
      </c>
      <c r="H18" s="285" t="s">
        <v>57</v>
      </c>
      <c r="I18" s="285" t="s">
        <v>57</v>
      </c>
      <c r="J18" s="285" t="s">
        <v>57</v>
      </c>
      <c r="K18" s="285" t="s">
        <v>57</v>
      </c>
      <c r="L18" s="285" t="s">
        <v>57</v>
      </c>
      <c r="M18" s="285" t="s">
        <v>57</v>
      </c>
      <c r="N18" s="285" t="s">
        <v>57</v>
      </c>
      <c r="O18" s="285" t="s">
        <v>57</v>
      </c>
      <c r="P18" s="285" t="s">
        <v>57</v>
      </c>
      <c r="Q18" s="285" t="s">
        <v>57</v>
      </c>
      <c r="R18" s="285" t="s">
        <v>57</v>
      </c>
      <c r="S18" s="285" t="s">
        <v>57</v>
      </c>
      <c r="T18" s="285" t="s">
        <v>57</v>
      </c>
      <c r="U18" s="224"/>
      <c r="V18" s="249"/>
      <c r="W18" s="287"/>
      <c r="X18" s="288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</row>
    <row r="19" spans="1:51" s="252" customFormat="1" ht="38.25" x14ac:dyDescent="0.25">
      <c r="A19" s="253"/>
      <c r="B19" s="282"/>
      <c r="C19" s="289" t="s">
        <v>58</v>
      </c>
      <c r="D19" s="289" t="s">
        <v>59</v>
      </c>
      <c r="E19" s="285" t="s">
        <v>57</v>
      </c>
      <c r="F19" s="286">
        <v>600000</v>
      </c>
      <c r="G19" s="285" t="s">
        <v>60</v>
      </c>
      <c r="H19" s="290">
        <f>SUM(I19,K19,M19,O19,Q19,S19)</f>
        <v>1</v>
      </c>
      <c r="I19" s="290">
        <v>0.1</v>
      </c>
      <c r="J19" s="291">
        <f>I19*$F19</f>
        <v>60000</v>
      </c>
      <c r="K19" s="290">
        <v>0.3</v>
      </c>
      <c r="L19" s="291">
        <f>K19*$F19</f>
        <v>180000</v>
      </c>
      <c r="M19" s="290">
        <v>0.25</v>
      </c>
      <c r="N19" s="291">
        <f>M19*$F19</f>
        <v>150000</v>
      </c>
      <c r="O19" s="290">
        <v>0.2</v>
      </c>
      <c r="P19" s="291">
        <f>O19*$F19</f>
        <v>120000</v>
      </c>
      <c r="Q19" s="290">
        <v>0.15</v>
      </c>
      <c r="R19" s="291">
        <f>Q19*$F19</f>
        <v>90000</v>
      </c>
      <c r="S19" s="290"/>
      <c r="T19" s="291">
        <f>S19*$F19</f>
        <v>0</v>
      </c>
      <c r="U19" s="224"/>
      <c r="V19" s="292">
        <f>SUM(J19,L19,N19,P19,R19,T19)</f>
        <v>600000</v>
      </c>
      <c r="W19" s="443"/>
      <c r="X19" s="258"/>
      <c r="Y19" s="223"/>
      <c r="Z19" s="223"/>
      <c r="AA19" s="223"/>
      <c r="AB19" s="223"/>
      <c r="AC19" s="223"/>
      <c r="AD19" s="223"/>
      <c r="AE19" s="223"/>
      <c r="AF19" s="223"/>
      <c r="AG19" s="223"/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  <c r="AW19" s="223"/>
      <c r="AX19" s="223"/>
      <c r="AY19" s="223"/>
    </row>
    <row r="20" spans="1:51" s="252" customFormat="1" ht="25.5" x14ac:dyDescent="0.25">
      <c r="A20" s="253"/>
      <c r="B20" s="293"/>
      <c r="C20" s="289" t="s">
        <v>61</v>
      </c>
      <c r="D20" s="289" t="s">
        <v>62</v>
      </c>
      <c r="E20" s="285" t="s">
        <v>57</v>
      </c>
      <c r="F20" s="286">
        <v>400000</v>
      </c>
      <c r="G20" s="285" t="s">
        <v>60</v>
      </c>
      <c r="H20" s="290">
        <f>SUM(I20,K20,M20,O20,Q20,S20)</f>
        <v>1</v>
      </c>
      <c r="I20" s="290">
        <v>0.1</v>
      </c>
      <c r="J20" s="291">
        <f>I20*$F20</f>
        <v>40000</v>
      </c>
      <c r="K20" s="290">
        <v>0.3</v>
      </c>
      <c r="L20" s="291">
        <f>K20*$F20</f>
        <v>120000</v>
      </c>
      <c r="M20" s="290">
        <v>0.25</v>
      </c>
      <c r="N20" s="291">
        <f>M20*$F20</f>
        <v>100000</v>
      </c>
      <c r="O20" s="290">
        <v>0.2</v>
      </c>
      <c r="P20" s="291">
        <f>O20*$F20</f>
        <v>80000</v>
      </c>
      <c r="Q20" s="290">
        <v>0.15</v>
      </c>
      <c r="R20" s="291">
        <f>Q20*$F20</f>
        <v>60000</v>
      </c>
      <c r="S20" s="290"/>
      <c r="T20" s="291">
        <f>S20*$F20</f>
        <v>0</v>
      </c>
      <c r="U20" s="224"/>
      <c r="V20" s="292">
        <f>SUM(J20,L20,N20,P20,R20,T20)</f>
        <v>400000</v>
      </c>
      <c r="W20" s="438"/>
      <c r="X20" s="258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</row>
    <row r="21" spans="1:51" s="252" customFormat="1" ht="51" x14ac:dyDescent="0.25">
      <c r="A21" s="253"/>
      <c r="B21" s="293"/>
      <c r="C21" s="289" t="s">
        <v>63</v>
      </c>
      <c r="D21" s="289" t="s">
        <v>64</v>
      </c>
      <c r="E21" s="285" t="s">
        <v>57</v>
      </c>
      <c r="F21" s="286">
        <v>592233.32999999996</v>
      </c>
      <c r="G21" s="285" t="s">
        <v>60</v>
      </c>
      <c r="H21" s="290">
        <f>SUM(I21,K21,M21,O21,Q21,S21)</f>
        <v>1</v>
      </c>
      <c r="I21" s="290">
        <v>0.1</v>
      </c>
      <c r="J21" s="291">
        <f>I21*$F21</f>
        <v>59223.332999999999</v>
      </c>
      <c r="K21" s="290">
        <v>0.3</v>
      </c>
      <c r="L21" s="291">
        <f>K21*$F21</f>
        <v>177669.99899999998</v>
      </c>
      <c r="M21" s="290">
        <v>0.25</v>
      </c>
      <c r="N21" s="291">
        <f>M21*$F21</f>
        <v>148058.33249999999</v>
      </c>
      <c r="O21" s="290">
        <v>0.2</v>
      </c>
      <c r="P21" s="291">
        <f>O21*$F21</f>
        <v>118446.666</v>
      </c>
      <c r="Q21" s="290">
        <v>0.15</v>
      </c>
      <c r="R21" s="291">
        <f>Q21*$F21</f>
        <v>88834.999499999991</v>
      </c>
      <c r="S21" s="290"/>
      <c r="T21" s="291">
        <f>S21*$F21</f>
        <v>0</v>
      </c>
      <c r="U21" s="224"/>
      <c r="V21" s="292">
        <f>SUM(J21,L21,N21,P21,R21,T21)</f>
        <v>592233.32999999996</v>
      </c>
      <c r="W21" s="438"/>
      <c r="X21" s="258"/>
      <c r="Y21" s="223"/>
      <c r="Z21" s="223"/>
      <c r="AA21" s="223"/>
      <c r="AB21" s="223"/>
      <c r="AC21" s="223"/>
      <c r="AD21" s="223"/>
      <c r="AE21" s="223"/>
      <c r="AF21" s="223"/>
      <c r="AG21" s="223"/>
      <c r="AH21" s="223"/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</row>
    <row r="22" spans="1:51" s="252" customFormat="1" ht="54" x14ac:dyDescent="0.25">
      <c r="A22" s="253"/>
      <c r="B22" s="282"/>
      <c r="C22" s="283" t="s">
        <v>65</v>
      </c>
      <c r="D22" s="284"/>
      <c r="E22" s="285"/>
      <c r="F22" s="286"/>
      <c r="G22" s="285"/>
      <c r="H22" s="290"/>
      <c r="I22" s="290"/>
      <c r="J22" s="291"/>
      <c r="K22" s="290"/>
      <c r="L22" s="291"/>
      <c r="M22" s="290"/>
      <c r="N22" s="291"/>
      <c r="O22" s="290"/>
      <c r="P22" s="291"/>
      <c r="Q22" s="290"/>
      <c r="R22" s="291"/>
      <c r="S22" s="290"/>
      <c r="T22" s="291"/>
      <c r="U22" s="224"/>
      <c r="V22" s="292"/>
      <c r="W22" s="287"/>
      <c r="X22" s="288"/>
      <c r="Y22" s="223"/>
      <c r="Z22" s="223"/>
      <c r="AA22" s="223"/>
      <c r="AB22" s="223"/>
      <c r="AC22" s="223"/>
      <c r="AD22" s="223"/>
      <c r="AE22" s="223"/>
      <c r="AF22" s="223"/>
      <c r="AG22" s="223"/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</row>
    <row r="23" spans="1:51" s="252" customFormat="1" ht="45.75" customHeight="1" x14ac:dyDescent="0.25">
      <c r="A23" s="253"/>
      <c r="B23" s="293"/>
      <c r="C23" s="289" t="s">
        <v>66</v>
      </c>
      <c r="D23" s="289" t="s">
        <v>67</v>
      </c>
      <c r="E23" s="285" t="s">
        <v>57</v>
      </c>
      <c r="F23" s="286">
        <v>2000000</v>
      </c>
      <c r="G23" s="285" t="s">
        <v>60</v>
      </c>
      <c r="H23" s="290">
        <f>SUM(I23,K23,M23,O23,Q23,S23)</f>
        <v>1</v>
      </c>
      <c r="I23" s="290">
        <v>0.1</v>
      </c>
      <c r="J23" s="291">
        <f>I23*$F23</f>
        <v>200000</v>
      </c>
      <c r="K23" s="290">
        <v>0.3</v>
      </c>
      <c r="L23" s="291">
        <f>K23*$F23</f>
        <v>600000</v>
      </c>
      <c r="M23" s="290">
        <v>0.25</v>
      </c>
      <c r="N23" s="291">
        <f>M23*$F23</f>
        <v>500000</v>
      </c>
      <c r="O23" s="290">
        <v>0.2</v>
      </c>
      <c r="P23" s="291">
        <f>O23*$F23</f>
        <v>400000</v>
      </c>
      <c r="Q23" s="290">
        <v>0.15</v>
      </c>
      <c r="R23" s="291">
        <f>Q23*$F23</f>
        <v>300000</v>
      </c>
      <c r="S23" s="290"/>
      <c r="T23" s="291">
        <f>S23*$F23</f>
        <v>0</v>
      </c>
      <c r="U23" s="224"/>
      <c r="V23" s="292">
        <f>SUM(J23,L23,N23,P23,R23,T23)</f>
        <v>2000000</v>
      </c>
      <c r="W23" s="438"/>
      <c r="X23" s="258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</row>
    <row r="24" spans="1:51" s="252" customFormat="1" ht="76.5" x14ac:dyDescent="0.25">
      <c r="A24" s="253"/>
      <c r="B24" s="293"/>
      <c r="C24" s="289" t="s">
        <v>68</v>
      </c>
      <c r="D24" s="289" t="s">
        <v>69</v>
      </c>
      <c r="E24" s="285" t="s">
        <v>57</v>
      </c>
      <c r="F24" s="286" t="s">
        <v>57</v>
      </c>
      <c r="G24" s="285" t="s">
        <v>57</v>
      </c>
      <c r="H24" s="285" t="s">
        <v>57</v>
      </c>
      <c r="I24" s="285" t="s">
        <v>57</v>
      </c>
      <c r="J24" s="285" t="s">
        <v>57</v>
      </c>
      <c r="K24" s="285" t="s">
        <v>57</v>
      </c>
      <c r="L24" s="285" t="s">
        <v>57</v>
      </c>
      <c r="M24" s="285" t="s">
        <v>57</v>
      </c>
      <c r="N24" s="285" t="s">
        <v>57</v>
      </c>
      <c r="O24" s="285" t="s">
        <v>57</v>
      </c>
      <c r="P24" s="285" t="s">
        <v>57</v>
      </c>
      <c r="Q24" s="285" t="s">
        <v>57</v>
      </c>
      <c r="R24" s="285" t="s">
        <v>57</v>
      </c>
      <c r="S24" s="285" t="s">
        <v>57</v>
      </c>
      <c r="T24" s="285" t="s">
        <v>57</v>
      </c>
      <c r="U24" s="224"/>
      <c r="V24" s="292"/>
      <c r="W24" s="438"/>
      <c r="X24" s="258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</row>
    <row r="25" spans="1:51" s="252" customFormat="1" ht="25.5" x14ac:dyDescent="0.25">
      <c r="A25" s="253"/>
      <c r="B25" s="293"/>
      <c r="C25" s="289"/>
      <c r="D25" s="289" t="s">
        <v>70</v>
      </c>
      <c r="E25" s="285"/>
      <c r="F25" s="286">
        <v>12000</v>
      </c>
      <c r="G25" s="285" t="s">
        <v>71</v>
      </c>
      <c r="H25" s="290">
        <f>SUM(I25,K25,M25,O25,Q25,S25)</f>
        <v>243</v>
      </c>
      <c r="I25" s="290"/>
      <c r="J25" s="291">
        <f>I25*$F25</f>
        <v>0</v>
      </c>
      <c r="K25" s="290">
        <f>'Supuestos y Calculos'!K10</f>
        <v>81</v>
      </c>
      <c r="L25" s="291">
        <f>K25*$F25</f>
        <v>972000</v>
      </c>
      <c r="M25" s="290">
        <f>K25</f>
        <v>81</v>
      </c>
      <c r="N25" s="291">
        <f>M25*$F25</f>
        <v>972000</v>
      </c>
      <c r="O25" s="290">
        <f>M25</f>
        <v>81</v>
      </c>
      <c r="P25" s="291">
        <f>O25*$F25</f>
        <v>972000</v>
      </c>
      <c r="Q25" s="290"/>
      <c r="R25" s="291">
        <f>Q25*$F25</f>
        <v>0</v>
      </c>
      <c r="S25" s="290"/>
      <c r="T25" s="291">
        <f>S25*$F25</f>
        <v>0</v>
      </c>
      <c r="U25" s="224"/>
      <c r="V25" s="292">
        <f t="shared" ref="V25:V32" si="5">SUM(J25,L25,N25,P25,R25,T25)</f>
        <v>2916000</v>
      </c>
      <c r="W25" s="444"/>
      <c r="X25" s="258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</row>
    <row r="26" spans="1:51" s="252" customFormat="1" x14ac:dyDescent="0.25">
      <c r="A26" s="253"/>
      <c r="B26" s="270"/>
      <c r="C26" s="289"/>
      <c r="D26" s="289" t="s">
        <v>72</v>
      </c>
      <c r="E26" s="285"/>
      <c r="F26" s="286"/>
      <c r="G26" s="285"/>
      <c r="H26" s="290"/>
      <c r="I26" s="290"/>
      <c r="J26" s="291">
        <f>I26*$F26</f>
        <v>0</v>
      </c>
      <c r="K26" s="290"/>
      <c r="L26" s="291">
        <f>K26*$F26</f>
        <v>0</v>
      </c>
      <c r="M26" s="290"/>
      <c r="N26" s="291">
        <f>M26*$F26</f>
        <v>0</v>
      </c>
      <c r="O26" s="290"/>
      <c r="P26" s="291">
        <f>O26*$F26</f>
        <v>0</v>
      </c>
      <c r="Q26" s="290"/>
      <c r="R26" s="291">
        <f>Q26*$F26</f>
        <v>0</v>
      </c>
      <c r="S26" s="290"/>
      <c r="T26" s="291">
        <f>S26*$F26</f>
        <v>0</v>
      </c>
      <c r="U26" s="224"/>
      <c r="V26" s="292">
        <f t="shared" si="5"/>
        <v>0</v>
      </c>
      <c r="W26" s="444"/>
      <c r="X26" s="258"/>
      <c r="Y26" s="223"/>
      <c r="Z26" s="223"/>
      <c r="AA26" s="223"/>
      <c r="AB26" s="223"/>
      <c r="AC26" s="223"/>
      <c r="AD26" s="223"/>
      <c r="AE26" s="223"/>
      <c r="AF26" s="223"/>
      <c r="AG26" s="223"/>
      <c r="AH26" s="223"/>
      <c r="AI26" s="223"/>
      <c r="AJ26" s="223"/>
      <c r="AK26" s="223"/>
      <c r="AL26" s="223"/>
      <c r="AM26" s="223"/>
      <c r="AN26" s="223"/>
      <c r="AO26" s="223"/>
      <c r="AP26" s="223"/>
      <c r="AQ26" s="223"/>
      <c r="AR26" s="223"/>
      <c r="AS26" s="223"/>
      <c r="AT26" s="223"/>
      <c r="AU26" s="223"/>
      <c r="AV26" s="223"/>
      <c r="AW26" s="223"/>
      <c r="AX26" s="223"/>
      <c r="AY26" s="223"/>
    </row>
    <row r="27" spans="1:51" s="252" customFormat="1" ht="25.5" x14ac:dyDescent="0.25">
      <c r="A27" s="253"/>
      <c r="B27" s="270"/>
      <c r="C27" s="289"/>
      <c r="D27" s="294" t="s">
        <v>73</v>
      </c>
      <c r="E27" s="285"/>
      <c r="F27" s="286">
        <v>1200</v>
      </c>
      <c r="G27" s="285" t="s">
        <v>74</v>
      </c>
      <c r="H27" s="290">
        <f>SUM(I27,K27,M27,O27,Q27,S27)</f>
        <v>243</v>
      </c>
      <c r="I27" s="290"/>
      <c r="J27" s="291">
        <f>I27*$F27</f>
        <v>0</v>
      </c>
      <c r="K27" s="290">
        <f>K25</f>
        <v>81</v>
      </c>
      <c r="L27" s="291">
        <f>K27*$F27</f>
        <v>97200</v>
      </c>
      <c r="M27" s="290">
        <f>M25</f>
        <v>81</v>
      </c>
      <c r="N27" s="291">
        <f>M27*$F27</f>
        <v>97200</v>
      </c>
      <c r="O27" s="290">
        <f>O25</f>
        <v>81</v>
      </c>
      <c r="P27" s="291">
        <f>O27*$F27</f>
        <v>97200</v>
      </c>
      <c r="Q27" s="290"/>
      <c r="R27" s="291">
        <f>Q27*$F27</f>
        <v>0</v>
      </c>
      <c r="S27" s="290"/>
      <c r="T27" s="291">
        <f>S27*$F27</f>
        <v>0</v>
      </c>
      <c r="U27" s="224"/>
      <c r="V27" s="292">
        <f t="shared" si="5"/>
        <v>291600</v>
      </c>
      <c r="W27" s="444"/>
      <c r="X27" s="258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</row>
    <row r="28" spans="1:51" s="252" customFormat="1" x14ac:dyDescent="0.25">
      <c r="A28" s="253"/>
      <c r="B28" s="270"/>
      <c r="C28" s="289"/>
      <c r="D28" s="295" t="s">
        <v>75</v>
      </c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296"/>
      <c r="P28" s="296"/>
      <c r="Q28" s="296"/>
      <c r="R28" s="296"/>
      <c r="S28" s="296"/>
      <c r="T28" s="296"/>
      <c r="U28" s="224"/>
      <c r="V28" s="292">
        <f t="shared" si="5"/>
        <v>0</v>
      </c>
      <c r="W28" s="444"/>
      <c r="X28" s="297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</row>
    <row r="29" spans="1:51" s="252" customFormat="1" ht="23.25" x14ac:dyDescent="0.25">
      <c r="A29" s="253"/>
      <c r="B29" s="282"/>
      <c r="C29" s="298" t="s">
        <v>76</v>
      </c>
      <c r="D29" s="284"/>
      <c r="E29" s="285"/>
      <c r="F29" s="286" t="s">
        <v>57</v>
      </c>
      <c r="G29" s="285" t="s">
        <v>57</v>
      </c>
      <c r="H29" s="285" t="s">
        <v>57</v>
      </c>
      <c r="I29" s="285" t="s">
        <v>57</v>
      </c>
      <c r="J29" s="285" t="s">
        <v>57</v>
      </c>
      <c r="K29" s="285" t="s">
        <v>57</v>
      </c>
      <c r="L29" s="285" t="s">
        <v>57</v>
      </c>
      <c r="M29" s="285" t="s">
        <v>57</v>
      </c>
      <c r="N29" s="285" t="s">
        <v>57</v>
      </c>
      <c r="O29" s="285" t="s">
        <v>57</v>
      </c>
      <c r="P29" s="285" t="s">
        <v>57</v>
      </c>
      <c r="Q29" s="285" t="s">
        <v>57</v>
      </c>
      <c r="R29" s="285" t="s">
        <v>57</v>
      </c>
      <c r="S29" s="285" t="s">
        <v>57</v>
      </c>
      <c r="T29" s="285" t="s">
        <v>57</v>
      </c>
      <c r="U29" s="224"/>
      <c r="V29" s="292">
        <f t="shared" si="5"/>
        <v>0</v>
      </c>
      <c r="W29" s="287"/>
      <c r="X29" s="288"/>
      <c r="Y29" s="223"/>
      <c r="Z29" s="223"/>
      <c r="AA29" s="223"/>
      <c r="AB29" s="223"/>
      <c r="AC29" s="223"/>
      <c r="AD29" s="223"/>
      <c r="AE29" s="223"/>
      <c r="AF29" s="223"/>
      <c r="AG29" s="223"/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223"/>
      <c r="AU29" s="223"/>
      <c r="AV29" s="223"/>
      <c r="AW29" s="223"/>
      <c r="AX29" s="223"/>
      <c r="AY29" s="223"/>
    </row>
    <row r="30" spans="1:51" s="252" customFormat="1" ht="51" x14ac:dyDescent="0.25">
      <c r="A30" s="253"/>
      <c r="B30" s="293"/>
      <c r="C30" s="289" t="s">
        <v>77</v>
      </c>
      <c r="D30" s="289" t="s">
        <v>78</v>
      </c>
      <c r="E30" s="285"/>
      <c r="F30" s="286">
        <v>500000</v>
      </c>
      <c r="G30" s="285" t="s">
        <v>60</v>
      </c>
      <c r="H30" s="290">
        <f>SUM(I30,K30,M30,O30,Q30,S30)</f>
        <v>1</v>
      </c>
      <c r="I30" s="290">
        <v>0.1</v>
      </c>
      <c r="J30" s="291">
        <f>I30*$F30</f>
        <v>50000</v>
      </c>
      <c r="K30" s="290">
        <v>0.3</v>
      </c>
      <c r="L30" s="291">
        <f>K30*$F30</f>
        <v>150000</v>
      </c>
      <c r="M30" s="290">
        <v>0.25</v>
      </c>
      <c r="N30" s="291">
        <f>M30*$F30</f>
        <v>125000</v>
      </c>
      <c r="O30" s="290">
        <v>0.2</v>
      </c>
      <c r="P30" s="291">
        <f>O30*$F30</f>
        <v>100000</v>
      </c>
      <c r="Q30" s="290">
        <v>0.15</v>
      </c>
      <c r="R30" s="291">
        <f>Q30*$F30</f>
        <v>75000</v>
      </c>
      <c r="S30" s="290"/>
      <c r="T30" s="291">
        <f>S30*$F30</f>
        <v>0</v>
      </c>
      <c r="U30" s="224"/>
      <c r="V30" s="292">
        <f t="shared" si="5"/>
        <v>500000</v>
      </c>
      <c r="W30" s="444"/>
      <c r="X30" s="258"/>
      <c r="Y30" s="223"/>
      <c r="Z30" s="223"/>
      <c r="AA30" s="223"/>
      <c r="AB30" s="223"/>
      <c r="AC30" s="22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</row>
    <row r="31" spans="1:51" s="252" customFormat="1" ht="54" x14ac:dyDescent="0.25">
      <c r="A31" s="253"/>
      <c r="C31" s="299" t="s">
        <v>79</v>
      </c>
      <c r="D31" s="289"/>
      <c r="E31" s="285"/>
      <c r="F31" s="300"/>
      <c r="G31" s="301"/>
      <c r="H31" s="290"/>
      <c r="I31" s="302"/>
      <c r="J31" s="303"/>
      <c r="K31" s="302"/>
      <c r="L31" s="303"/>
      <c r="M31" s="302"/>
      <c r="N31" s="303"/>
      <c r="O31" s="302"/>
      <c r="P31" s="303"/>
      <c r="Q31" s="302"/>
      <c r="R31" s="291"/>
      <c r="S31" s="290"/>
      <c r="T31" s="291"/>
      <c r="U31" s="224"/>
      <c r="V31" s="292"/>
      <c r="W31" s="444"/>
      <c r="X31" s="258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</row>
    <row r="32" spans="1:51" s="252" customFormat="1" ht="38.25" x14ac:dyDescent="0.25">
      <c r="A32" s="253"/>
      <c r="B32" s="293"/>
      <c r="C32" s="289" t="s">
        <v>80</v>
      </c>
      <c r="D32" s="289" t="s">
        <v>81</v>
      </c>
      <c r="E32" s="285"/>
      <c r="F32" s="304">
        <v>600000</v>
      </c>
      <c r="G32" s="305"/>
      <c r="H32" s="290">
        <f>SUM(I32,K32,M32,O32,Q32,S32)</f>
        <v>1</v>
      </c>
      <c r="I32" s="305">
        <v>0.15</v>
      </c>
      <c r="J32" s="305">
        <f>I32*$F32</f>
        <v>90000</v>
      </c>
      <c r="K32" s="305">
        <v>0.25</v>
      </c>
      <c r="L32" s="305">
        <f>K32*$F32</f>
        <v>150000</v>
      </c>
      <c r="M32" s="305">
        <v>0.28000000000000003</v>
      </c>
      <c r="N32" s="305">
        <f>M32*$F32</f>
        <v>168000.00000000003</v>
      </c>
      <c r="O32" s="305">
        <v>0.16</v>
      </c>
      <c r="P32" s="305">
        <f>O32*$F32</f>
        <v>96000</v>
      </c>
      <c r="Q32" s="305">
        <v>0.16</v>
      </c>
      <c r="R32" s="291">
        <f>Q32*$F32</f>
        <v>96000</v>
      </c>
      <c r="S32" s="290"/>
      <c r="T32" s="291">
        <f>S32*$F32</f>
        <v>0</v>
      </c>
      <c r="U32" s="224"/>
      <c r="V32" s="292">
        <f t="shared" si="5"/>
        <v>600000</v>
      </c>
      <c r="W32" s="444"/>
      <c r="X32" s="258"/>
      <c r="Y32" s="223"/>
      <c r="Z32" s="223"/>
      <c r="AA32" s="223"/>
      <c r="AB32" s="223"/>
      <c r="AC32" s="223"/>
      <c r="AD32" s="223"/>
      <c r="AE32" s="223"/>
      <c r="AF32" s="223"/>
      <c r="AG32" s="223"/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</row>
    <row r="33" spans="1:51" ht="51" x14ac:dyDescent="0.25">
      <c r="A33" s="445"/>
      <c r="B33" s="446"/>
      <c r="C33" s="306" t="s">
        <v>82</v>
      </c>
      <c r="D33" s="307" t="s">
        <v>83</v>
      </c>
      <c r="E33" s="308" t="s">
        <v>47</v>
      </c>
      <c r="F33" s="309">
        <v>5500</v>
      </c>
      <c r="G33" s="308" t="s">
        <v>84</v>
      </c>
      <c r="H33" s="248">
        <f>SUM(I33,K33,M33,O33,Q33,S33)</f>
        <v>67.666666666666671</v>
      </c>
      <c r="I33" s="247"/>
      <c r="J33" s="246">
        <f>I33*$F33</f>
        <v>0</v>
      </c>
      <c r="K33" s="248">
        <f>'Supuestos y Calculos'!K10-'Supuestos y Calculos'!K7</f>
        <v>67.666666666666671</v>
      </c>
      <c r="L33" s="246">
        <f>K33*$F33</f>
        <v>372166.66666666669</v>
      </c>
      <c r="M33" s="247"/>
      <c r="N33" s="246">
        <f>M33*$F33</f>
        <v>0</v>
      </c>
      <c r="O33" s="247"/>
      <c r="P33" s="246">
        <f>O33*$F33</f>
        <v>0</v>
      </c>
      <c r="Q33" s="247"/>
      <c r="R33" s="246">
        <f>Q33*$F33</f>
        <v>0</v>
      </c>
      <c r="S33" s="247"/>
      <c r="T33" s="246">
        <f>S33*$F33</f>
        <v>0</v>
      </c>
      <c r="U33" s="224"/>
      <c r="V33" s="249">
        <f>SUM(J33,L33,N33,P33,R33,T33)</f>
        <v>372166.66666666669</v>
      </c>
      <c r="W33" s="447"/>
      <c r="X33" s="447"/>
      <c r="Y33" s="442"/>
      <c r="Z33" s="442"/>
      <c r="AA33" s="442"/>
      <c r="AB33" s="442"/>
      <c r="AC33" s="442"/>
      <c r="AD33" s="442"/>
      <c r="AE33" s="442"/>
      <c r="AF33" s="442"/>
      <c r="AG33" s="442"/>
      <c r="AH33" s="442"/>
      <c r="AI33" s="442"/>
      <c r="AJ33" s="442"/>
      <c r="AK33" s="442"/>
      <c r="AL33" s="442"/>
      <c r="AM33" s="442"/>
      <c r="AN33" s="442"/>
      <c r="AO33" s="442"/>
      <c r="AP33" s="442"/>
      <c r="AQ33" s="442"/>
      <c r="AR33" s="442"/>
      <c r="AS33" s="442"/>
      <c r="AT33" s="442"/>
      <c r="AU33" s="442"/>
      <c r="AV33" s="442"/>
      <c r="AW33" s="442"/>
      <c r="AX33" s="442"/>
      <c r="AY33" s="442"/>
    </row>
    <row r="34" spans="1:51" ht="38.25" customHeight="1" x14ac:dyDescent="0.25">
      <c r="A34" s="445"/>
      <c r="B34" s="310"/>
      <c r="C34" s="310" t="s">
        <v>85</v>
      </c>
      <c r="D34" s="311" t="s">
        <v>86</v>
      </c>
      <c r="E34" s="264" t="s">
        <v>87</v>
      </c>
      <c r="F34" s="312">
        <v>1200000</v>
      </c>
      <c r="G34" s="311" t="s">
        <v>60</v>
      </c>
      <c r="H34" s="248">
        <f>SUM(I34,K34,M34,O34,Q34,S34)</f>
        <v>1</v>
      </c>
      <c r="I34" s="313">
        <v>0.1</v>
      </c>
      <c r="J34" s="314">
        <f>I34*$F34</f>
        <v>120000</v>
      </c>
      <c r="K34" s="313">
        <v>0.35</v>
      </c>
      <c r="L34" s="314">
        <f>K34*$F34</f>
        <v>420000</v>
      </c>
      <c r="M34" s="313">
        <v>0.3</v>
      </c>
      <c r="N34" s="314">
        <f>M34*$F34</f>
        <v>360000</v>
      </c>
      <c r="O34" s="313">
        <v>0.25</v>
      </c>
      <c r="P34" s="314">
        <f>O34*$F34</f>
        <v>300000</v>
      </c>
      <c r="Q34" s="314"/>
      <c r="R34" s="248">
        <f>Q34*$F34</f>
        <v>0</v>
      </c>
      <c r="S34" s="314"/>
      <c r="T34" s="248">
        <f>S34*$F34</f>
        <v>0</v>
      </c>
      <c r="U34" s="315"/>
      <c r="V34" s="249">
        <f>SUM(J34,L34,N34,P34,R34,T34)</f>
        <v>1200000</v>
      </c>
      <c r="W34" s="316"/>
      <c r="X34" s="447"/>
      <c r="Y34" s="442"/>
      <c r="Z34" s="442"/>
      <c r="AA34" s="442"/>
      <c r="AB34" s="442"/>
      <c r="AC34" s="442"/>
      <c r="AD34" s="442"/>
      <c r="AE34" s="442"/>
      <c r="AF34" s="442"/>
      <c r="AG34" s="442"/>
      <c r="AH34" s="442"/>
      <c r="AI34" s="442"/>
      <c r="AJ34" s="442"/>
      <c r="AK34" s="442"/>
      <c r="AL34" s="442"/>
      <c r="AM34" s="442"/>
      <c r="AN34" s="442"/>
      <c r="AO34" s="442"/>
      <c r="AP34" s="442"/>
      <c r="AQ34" s="442"/>
      <c r="AR34" s="442"/>
      <c r="AS34" s="442"/>
      <c r="AT34" s="442"/>
      <c r="AU34" s="442"/>
      <c r="AV34" s="442"/>
      <c r="AW34" s="442"/>
      <c r="AX34" s="442"/>
      <c r="AY34" s="442"/>
    </row>
    <row r="35" spans="1:51" s="252" customFormat="1" ht="33" customHeight="1" x14ac:dyDescent="0.25">
      <c r="A35" s="253"/>
      <c r="B35" s="484" t="s">
        <v>88</v>
      </c>
      <c r="C35" s="485"/>
      <c r="U35" s="224"/>
      <c r="W35" s="250">
        <f>SUM(V36,V40:V46)</f>
        <v>16028000</v>
      </c>
      <c r="X35" s="258"/>
      <c r="Y35" s="223"/>
      <c r="Z35" s="223"/>
      <c r="AA35" s="223"/>
      <c r="AB35" s="223"/>
      <c r="AC35" s="223"/>
      <c r="AD35" s="223"/>
      <c r="AE35" s="223"/>
      <c r="AF35" s="223"/>
      <c r="AG35" s="223"/>
      <c r="AH35" s="223"/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</row>
    <row r="36" spans="1:51" s="252" customFormat="1" ht="108" x14ac:dyDescent="0.25">
      <c r="A36" s="253"/>
      <c r="B36" s="317"/>
      <c r="C36" s="318" t="s">
        <v>89</v>
      </c>
      <c r="D36" s="319" t="s">
        <v>90</v>
      </c>
      <c r="E36" s="285" t="s">
        <v>87</v>
      </c>
      <c r="F36" s="448">
        <f>SUM(F37:F39)</f>
        <v>2900000</v>
      </c>
      <c r="G36" s="291" t="s">
        <v>60</v>
      </c>
      <c r="H36" s="290"/>
      <c r="I36" s="290"/>
      <c r="J36" s="448">
        <f>SUM(J37:J39)</f>
        <v>435000</v>
      </c>
      <c r="K36" s="290"/>
      <c r="L36" s="448">
        <f>SUM(L37:L39)</f>
        <v>1160000</v>
      </c>
      <c r="M36" s="290"/>
      <c r="N36" s="448">
        <f>SUM(N37:N39)</f>
        <v>870000</v>
      </c>
      <c r="O36" s="290"/>
      <c r="P36" s="448">
        <f>SUM(P37:P39)</f>
        <v>435000</v>
      </c>
      <c r="Q36" s="290"/>
      <c r="R36" s="448">
        <f>SUM(R37:R39)</f>
        <v>0</v>
      </c>
      <c r="S36" s="290"/>
      <c r="T36" s="448">
        <f>SUM(T37:T39)</f>
        <v>0</v>
      </c>
      <c r="U36" s="224"/>
      <c r="V36" s="249">
        <f>SUM(J36,L36,N36,P36,R36,T36)</f>
        <v>2900000</v>
      </c>
      <c r="W36" s="320"/>
      <c r="X36" s="258"/>
      <c r="Y36" s="223"/>
      <c r="Z36" s="223"/>
      <c r="AA36" s="223"/>
      <c r="AB36" s="223"/>
      <c r="AC36" s="223"/>
      <c r="AD36" s="223"/>
      <c r="AE36" s="223"/>
      <c r="AF36" s="223"/>
      <c r="AG36" s="223"/>
      <c r="AH36" s="223"/>
      <c r="AI36" s="223"/>
      <c r="AJ36" s="223"/>
      <c r="AK36" s="223"/>
      <c r="AL36" s="223"/>
      <c r="AM36" s="223"/>
      <c r="AN36" s="223"/>
      <c r="AO36" s="223"/>
      <c r="AP36" s="223"/>
      <c r="AQ36" s="223"/>
      <c r="AR36" s="223"/>
      <c r="AS36" s="223"/>
      <c r="AT36" s="223"/>
      <c r="AU36" s="223"/>
      <c r="AV36" s="223"/>
      <c r="AW36" s="223"/>
      <c r="AX36" s="223"/>
      <c r="AY36" s="223"/>
    </row>
    <row r="37" spans="1:51" s="252" customFormat="1" ht="94.5" x14ac:dyDescent="0.25">
      <c r="A37" s="253"/>
      <c r="B37" s="321"/>
      <c r="C37" s="322" t="s">
        <v>91</v>
      </c>
      <c r="D37" s="323" t="s">
        <v>92</v>
      </c>
      <c r="E37" s="285" t="s">
        <v>57</v>
      </c>
      <c r="F37" s="286">
        <v>1200000</v>
      </c>
      <c r="G37" s="285" t="s">
        <v>57</v>
      </c>
      <c r="H37" s="290">
        <f>SUM(I37,K37,M37,O37,Q37,S37)</f>
        <v>1</v>
      </c>
      <c r="I37" s="290">
        <v>0.15</v>
      </c>
      <c r="J37" s="324">
        <f t="shared" ref="J37:J48" si="6">I37*$F37</f>
        <v>180000</v>
      </c>
      <c r="K37" s="290">
        <v>0.4</v>
      </c>
      <c r="L37" s="324">
        <f t="shared" ref="L37:L48" si="7">K37*$F37</f>
        <v>480000</v>
      </c>
      <c r="M37" s="290">
        <v>0.3</v>
      </c>
      <c r="N37" s="324">
        <f t="shared" ref="N37:N48" si="8">M37*$F37</f>
        <v>360000</v>
      </c>
      <c r="O37" s="290">
        <v>0.15</v>
      </c>
      <c r="P37" s="324">
        <f t="shared" ref="P37:P48" si="9">O37*$F37</f>
        <v>180000</v>
      </c>
      <c r="Q37" s="290"/>
      <c r="R37" s="324"/>
      <c r="S37" s="290"/>
      <c r="T37" s="324">
        <f>Q37*$F37</f>
        <v>0</v>
      </c>
      <c r="U37" s="224"/>
      <c r="V37" s="292">
        <f t="shared" ref="V37:V39" si="10">SUM(J37,L37,N37,P37,R37,T37)</f>
        <v>1200000</v>
      </c>
      <c r="W37" s="325"/>
      <c r="X37" s="258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</row>
    <row r="38" spans="1:51" s="252" customFormat="1" ht="135.75" customHeight="1" x14ac:dyDescent="0.25">
      <c r="A38" s="253"/>
      <c r="B38" s="270"/>
      <c r="C38" s="322" t="s">
        <v>93</v>
      </c>
      <c r="D38" s="326" t="s">
        <v>94</v>
      </c>
      <c r="E38" s="285" t="s">
        <v>57</v>
      </c>
      <c r="F38" s="286">
        <v>1200000</v>
      </c>
      <c r="G38" s="285" t="s">
        <v>57</v>
      </c>
      <c r="H38" s="290">
        <f>SUM(I38,K38,M38,O38,Q38,S38)</f>
        <v>1</v>
      </c>
      <c r="I38" s="290">
        <v>0.15</v>
      </c>
      <c r="J38" s="324">
        <f t="shared" si="6"/>
        <v>180000</v>
      </c>
      <c r="K38" s="290">
        <v>0.4</v>
      </c>
      <c r="L38" s="324">
        <f t="shared" si="7"/>
        <v>480000</v>
      </c>
      <c r="M38" s="290">
        <v>0.3</v>
      </c>
      <c r="N38" s="324">
        <f t="shared" si="8"/>
        <v>360000</v>
      </c>
      <c r="O38" s="290">
        <v>0.15</v>
      </c>
      <c r="P38" s="324">
        <f t="shared" si="9"/>
        <v>180000</v>
      </c>
      <c r="Q38" s="290"/>
      <c r="R38" s="324"/>
      <c r="S38" s="290"/>
      <c r="T38" s="324">
        <f>Q38*$F38</f>
        <v>0</v>
      </c>
      <c r="U38" s="224"/>
      <c r="V38" s="292">
        <f t="shared" si="10"/>
        <v>1200000</v>
      </c>
      <c r="W38" s="438"/>
      <c r="X38" s="258"/>
      <c r="Y38" s="223"/>
      <c r="Z38" s="223"/>
      <c r="AA38" s="223"/>
      <c r="AB38" s="223"/>
      <c r="AC38" s="223"/>
      <c r="AD38" s="223"/>
      <c r="AE38" s="223"/>
      <c r="AF38" s="223"/>
      <c r="AG38" s="223"/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</row>
    <row r="39" spans="1:51" s="252" customFormat="1" ht="135.75" customHeight="1" x14ac:dyDescent="0.25">
      <c r="A39" s="253"/>
      <c r="B39" s="270"/>
      <c r="C39" s="322" t="s">
        <v>95</v>
      </c>
      <c r="D39" s="326" t="s">
        <v>96</v>
      </c>
      <c r="E39" s="285" t="s">
        <v>57</v>
      </c>
      <c r="F39" s="286">
        <v>500000</v>
      </c>
      <c r="G39" s="285" t="s">
        <v>57</v>
      </c>
      <c r="H39" s="290">
        <f>SUM(I39,K39,M39,O39,Q39,S39)</f>
        <v>1</v>
      </c>
      <c r="I39" s="290">
        <v>0.15</v>
      </c>
      <c r="J39" s="324">
        <f t="shared" si="6"/>
        <v>75000</v>
      </c>
      <c r="K39" s="290">
        <v>0.4</v>
      </c>
      <c r="L39" s="324">
        <f t="shared" si="7"/>
        <v>200000</v>
      </c>
      <c r="M39" s="290">
        <v>0.3</v>
      </c>
      <c r="N39" s="324">
        <f t="shared" si="8"/>
        <v>150000</v>
      </c>
      <c r="O39" s="290">
        <v>0.15</v>
      </c>
      <c r="P39" s="324">
        <f t="shared" si="9"/>
        <v>75000</v>
      </c>
      <c r="Q39" s="290"/>
      <c r="R39" s="324"/>
      <c r="S39" s="290"/>
      <c r="T39" s="324">
        <f>Q39*$F39</f>
        <v>0</v>
      </c>
      <c r="U39" s="224"/>
      <c r="V39" s="292">
        <f t="shared" si="10"/>
        <v>500000</v>
      </c>
      <c r="W39" s="438"/>
      <c r="X39" s="258"/>
      <c r="Y39" s="223"/>
      <c r="Z39" s="223"/>
      <c r="AA39" s="223"/>
      <c r="AB39" s="223"/>
      <c r="AC39" s="223"/>
      <c r="AD39" s="223"/>
      <c r="AE39" s="223"/>
      <c r="AF39" s="223"/>
      <c r="AG39" s="223"/>
      <c r="AH39" s="223"/>
      <c r="AI39" s="223"/>
      <c r="AJ39" s="223"/>
      <c r="AK39" s="223"/>
      <c r="AL39" s="223"/>
      <c r="AM39" s="223"/>
      <c r="AN39" s="223"/>
      <c r="AO39" s="223"/>
      <c r="AP39" s="223"/>
      <c r="AQ39" s="223"/>
      <c r="AR39" s="223"/>
      <c r="AS39" s="223"/>
      <c r="AT39" s="223"/>
      <c r="AU39" s="223"/>
      <c r="AV39" s="223"/>
      <c r="AW39" s="223"/>
      <c r="AX39" s="223"/>
      <c r="AY39" s="223"/>
    </row>
    <row r="40" spans="1:51" s="252" customFormat="1" ht="19.5" customHeight="1" x14ac:dyDescent="0.25">
      <c r="A40" s="253"/>
      <c r="B40" s="270"/>
      <c r="C40" s="327"/>
      <c r="D40" s="328"/>
      <c r="E40" s="329"/>
      <c r="F40" s="449"/>
      <c r="G40" s="246"/>
      <c r="H40" s="247"/>
      <c r="I40" s="248"/>
      <c r="J40" s="248"/>
      <c r="K40" s="247"/>
      <c r="L40" s="248"/>
      <c r="M40" s="247"/>
      <c r="N40" s="248"/>
      <c r="O40" s="247"/>
      <c r="P40" s="248"/>
      <c r="Q40" s="247"/>
      <c r="R40" s="248"/>
      <c r="S40" s="247"/>
      <c r="T40" s="248"/>
      <c r="U40" s="224"/>
      <c r="V40" s="249"/>
      <c r="W40" s="438"/>
      <c r="X40" s="258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</row>
    <row r="41" spans="1:51" s="252" customFormat="1" ht="135.75" customHeight="1" x14ac:dyDescent="0.25">
      <c r="A41" s="253"/>
      <c r="B41" s="270"/>
      <c r="C41" s="317" t="s">
        <v>97</v>
      </c>
      <c r="D41" s="328"/>
      <c r="E41" s="308"/>
      <c r="F41" s="309"/>
      <c r="G41" s="308"/>
      <c r="H41" s="247"/>
      <c r="I41" s="247"/>
      <c r="J41" s="248"/>
      <c r="K41" s="247"/>
      <c r="L41" s="248"/>
      <c r="M41" s="247"/>
      <c r="N41" s="248"/>
      <c r="O41" s="247"/>
      <c r="P41" s="248"/>
      <c r="Q41" s="247"/>
      <c r="R41" s="248"/>
      <c r="S41" s="247"/>
      <c r="T41" s="248"/>
      <c r="U41" s="224"/>
      <c r="V41" s="292"/>
      <c r="W41" s="438"/>
      <c r="X41" s="258"/>
      <c r="Y41" s="223"/>
      <c r="Z41" s="223"/>
      <c r="AA41" s="223"/>
      <c r="AB41" s="223"/>
      <c r="AC41" s="223"/>
      <c r="AD41" s="223"/>
      <c r="AE41" s="223"/>
      <c r="AF41" s="223"/>
      <c r="AG41" s="223"/>
      <c r="AH41" s="223"/>
      <c r="AI41" s="223"/>
      <c r="AJ41" s="223"/>
      <c r="AK41" s="223"/>
      <c r="AL41" s="223"/>
      <c r="AM41" s="223"/>
      <c r="AN41" s="223"/>
      <c r="AO41" s="223"/>
      <c r="AP41" s="223"/>
      <c r="AQ41" s="223"/>
      <c r="AR41" s="223"/>
      <c r="AS41" s="223"/>
      <c r="AT41" s="223"/>
      <c r="AU41" s="223"/>
      <c r="AV41" s="223"/>
      <c r="AW41" s="223"/>
      <c r="AX41" s="223"/>
      <c r="AY41" s="223"/>
    </row>
    <row r="42" spans="1:51" s="252" customFormat="1" ht="68.25" customHeight="1" x14ac:dyDescent="0.25">
      <c r="A42" s="253"/>
      <c r="B42" s="270"/>
      <c r="C42" s="260" t="s">
        <v>98</v>
      </c>
      <c r="D42" s="328" t="s">
        <v>99</v>
      </c>
      <c r="E42" s="264"/>
      <c r="F42" s="257"/>
      <c r="G42" s="246"/>
      <c r="H42" s="247"/>
      <c r="I42" s="248"/>
      <c r="J42" s="248"/>
      <c r="K42" s="247"/>
      <c r="L42" s="248"/>
      <c r="M42" s="247"/>
      <c r="N42" s="248"/>
      <c r="O42" s="247"/>
      <c r="P42" s="248"/>
      <c r="Q42" s="247"/>
      <c r="R42" s="248"/>
      <c r="S42" s="247"/>
      <c r="T42" s="248"/>
      <c r="U42" s="224"/>
      <c r="V42" s="249"/>
      <c r="W42" s="438"/>
      <c r="X42" s="258"/>
      <c r="Y42" s="280"/>
      <c r="Z42" s="223"/>
      <c r="AA42" s="280"/>
      <c r="AB42" s="223"/>
      <c r="AC42" s="280"/>
      <c r="AD42" s="223"/>
      <c r="AE42" s="280"/>
      <c r="AF42" s="223"/>
      <c r="AG42" s="280"/>
      <c r="AH42" s="223"/>
      <c r="AI42" s="280"/>
      <c r="AJ42" s="330"/>
      <c r="AK42" s="223"/>
      <c r="AL42" s="223"/>
      <c r="AM42" s="223"/>
      <c r="AN42" s="223"/>
      <c r="AO42" s="223"/>
      <c r="AP42" s="223"/>
      <c r="AQ42" s="223"/>
      <c r="AR42" s="223"/>
      <c r="AS42" s="223"/>
      <c r="AT42" s="223"/>
      <c r="AU42" s="223"/>
      <c r="AV42" s="223"/>
      <c r="AW42" s="223"/>
      <c r="AX42" s="223"/>
      <c r="AY42" s="223"/>
    </row>
    <row r="43" spans="1:51" s="252" customFormat="1" ht="68.25" customHeight="1" x14ac:dyDescent="0.25">
      <c r="A43" s="253"/>
      <c r="B43" s="270"/>
      <c r="C43" s="306"/>
      <c r="D43" s="331" t="s">
        <v>100</v>
      </c>
      <c r="E43" s="308" t="s">
        <v>101</v>
      </c>
      <c r="F43" s="332">
        <v>1000000</v>
      </c>
      <c r="G43" s="246" t="s">
        <v>60</v>
      </c>
      <c r="H43" s="247">
        <f>SUM(I43,K43,M43,O43,Q43,S43)</f>
        <v>1</v>
      </c>
      <c r="I43" s="247"/>
      <c r="J43" s="246">
        <f>I43*$F43</f>
        <v>0</v>
      </c>
      <c r="K43" s="247">
        <v>0.25</v>
      </c>
      <c r="L43" s="246">
        <f>K43*$F43</f>
        <v>250000</v>
      </c>
      <c r="M43" s="247">
        <v>0.25</v>
      </c>
      <c r="N43" s="246">
        <f>M43*$F43</f>
        <v>250000</v>
      </c>
      <c r="O43" s="247">
        <v>0.25</v>
      </c>
      <c r="P43" s="246">
        <f>O43*$F43</f>
        <v>250000</v>
      </c>
      <c r="Q43" s="247">
        <v>0.25</v>
      </c>
      <c r="R43" s="246">
        <f>Q43*$F43</f>
        <v>250000</v>
      </c>
      <c r="S43" s="247"/>
      <c r="T43" s="246">
        <f>S43*$F43</f>
        <v>0</v>
      </c>
      <c r="U43" s="224"/>
      <c r="V43" s="249">
        <f>SUM(J43,L43,N43,P43,R43,T43)</f>
        <v>1000000</v>
      </c>
      <c r="W43" s="438"/>
      <c r="X43" s="258"/>
      <c r="Y43" s="281"/>
      <c r="Z43" s="223"/>
      <c r="AA43" s="281"/>
      <c r="AB43" s="223"/>
      <c r="AC43" s="281"/>
      <c r="AD43" s="223"/>
      <c r="AE43" s="281"/>
      <c r="AF43" s="223"/>
      <c r="AG43" s="281"/>
      <c r="AH43" s="223"/>
      <c r="AI43" s="281"/>
      <c r="AJ43" s="223"/>
      <c r="AK43" s="223"/>
      <c r="AL43" s="223"/>
      <c r="AM43" s="223"/>
      <c r="AN43" s="223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</row>
    <row r="44" spans="1:51" s="252" customFormat="1" ht="68.25" customHeight="1" x14ac:dyDescent="0.25">
      <c r="A44" s="253"/>
      <c r="B44" s="270"/>
      <c r="D44" s="331" t="s">
        <v>102</v>
      </c>
      <c r="E44" s="308" t="s">
        <v>101</v>
      </c>
      <c r="F44" s="332">
        <v>100</v>
      </c>
      <c r="G44" s="246" t="s">
        <v>103</v>
      </c>
      <c r="H44" s="247">
        <f>SUM(I44,K44,M44,O44,Q44,S44)</f>
        <v>101280</v>
      </c>
      <c r="I44" s="247"/>
      <c r="J44" s="246">
        <f>I44*$F44</f>
        <v>0</v>
      </c>
      <c r="K44" s="247">
        <f>'Supuestos y Calculos'!G10</f>
        <v>25320</v>
      </c>
      <c r="L44" s="246">
        <f>K44*$F44</f>
        <v>2532000</v>
      </c>
      <c r="M44" s="247">
        <f>K44</f>
        <v>25320</v>
      </c>
      <c r="N44" s="246">
        <f>M44*$F44</f>
        <v>2532000</v>
      </c>
      <c r="O44" s="247">
        <f>M44</f>
        <v>25320</v>
      </c>
      <c r="P44" s="246">
        <f>O44*$F44</f>
        <v>2532000</v>
      </c>
      <c r="Q44" s="247">
        <f>O44</f>
        <v>25320</v>
      </c>
      <c r="R44" s="246">
        <f>Q44*$F44</f>
        <v>2532000</v>
      </c>
      <c r="S44" s="247"/>
      <c r="T44" s="246">
        <f>S44*$F44</f>
        <v>0</v>
      </c>
      <c r="U44" s="224"/>
      <c r="V44" s="249">
        <f>SUM(J44,L44,N44,P44,R44,T44)</f>
        <v>10128000</v>
      </c>
      <c r="W44" s="438"/>
      <c r="X44" s="258"/>
      <c r="Y44" s="333"/>
      <c r="Z44" s="223"/>
      <c r="AA44" s="223"/>
      <c r="AB44" s="223"/>
      <c r="AC44" s="223"/>
      <c r="AD44" s="223"/>
      <c r="AE44" s="223"/>
      <c r="AF44" s="223"/>
      <c r="AG44" s="223"/>
      <c r="AH44" s="223"/>
      <c r="AI44" s="223"/>
      <c r="AJ44" s="223"/>
      <c r="AK44" s="223"/>
      <c r="AL44" s="223"/>
      <c r="AM44" s="223"/>
      <c r="AN44" s="223"/>
      <c r="AO44" s="223"/>
      <c r="AP44" s="223"/>
      <c r="AQ44" s="223"/>
      <c r="AR44" s="223"/>
      <c r="AS44" s="223"/>
      <c r="AT44" s="223"/>
      <c r="AU44" s="223"/>
      <c r="AV44" s="223"/>
      <c r="AW44" s="223"/>
      <c r="AX44" s="223"/>
      <c r="AY44" s="223"/>
    </row>
    <row r="45" spans="1:51" s="252" customFormat="1" ht="68.25" customHeight="1" x14ac:dyDescent="0.25">
      <c r="A45" s="334"/>
      <c r="B45" s="335"/>
      <c r="C45" s="336" t="s">
        <v>104</v>
      </c>
      <c r="D45" s="337"/>
      <c r="E45" s="338"/>
      <c r="F45" s="339"/>
      <c r="G45" s="340"/>
      <c r="H45" s="247"/>
      <c r="I45" s="247"/>
      <c r="J45" s="246"/>
      <c r="K45" s="247"/>
      <c r="L45" s="246"/>
      <c r="M45" s="247"/>
      <c r="N45" s="246"/>
      <c r="O45" s="247"/>
      <c r="P45" s="246"/>
      <c r="Q45" s="247"/>
      <c r="R45" s="246"/>
      <c r="S45" s="247"/>
      <c r="T45" s="246"/>
      <c r="U45" s="224"/>
      <c r="V45" s="249"/>
      <c r="W45" s="450"/>
      <c r="X45" s="341"/>
      <c r="Y45" s="223"/>
      <c r="Z45" s="223"/>
      <c r="AA45" s="223"/>
      <c r="AB45" s="223"/>
      <c r="AC45" s="223"/>
      <c r="AD45" s="223"/>
      <c r="AE45" s="223"/>
      <c r="AF45" s="223"/>
      <c r="AG45" s="223"/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3"/>
    </row>
    <row r="46" spans="1:51" s="252" customFormat="1" ht="68.25" customHeight="1" x14ac:dyDescent="0.25">
      <c r="A46" s="334"/>
      <c r="B46" s="335"/>
      <c r="C46" s="342" t="s">
        <v>105</v>
      </c>
      <c r="D46" s="343" t="s">
        <v>106</v>
      </c>
      <c r="E46" s="344" t="s">
        <v>87</v>
      </c>
      <c r="F46" s="345">
        <v>2000000</v>
      </c>
      <c r="G46" s="346" t="s">
        <v>60</v>
      </c>
      <c r="H46" s="247">
        <f>SUM(I46,K46,M46,O46,Q46,S46)</f>
        <v>1</v>
      </c>
      <c r="I46" s="347"/>
      <c r="J46" s="248">
        <f>I46*$F46</f>
        <v>0</v>
      </c>
      <c r="K46" s="247">
        <v>0.3</v>
      </c>
      <c r="L46" s="248">
        <f>K46*$F46</f>
        <v>600000</v>
      </c>
      <c r="M46" s="247">
        <v>0.4</v>
      </c>
      <c r="N46" s="248">
        <f>M46*$F46</f>
        <v>800000</v>
      </c>
      <c r="O46" s="247"/>
      <c r="P46" s="248">
        <f>O46*$F46</f>
        <v>0</v>
      </c>
      <c r="Q46" s="247">
        <v>0.3</v>
      </c>
      <c r="R46" s="248">
        <f>Q46*$F46</f>
        <v>600000</v>
      </c>
      <c r="S46" s="247"/>
      <c r="T46" s="248">
        <f>S46*$F46</f>
        <v>0</v>
      </c>
      <c r="U46" s="224"/>
      <c r="V46" s="249">
        <f>SUM(J46,L46,N46,P46,R46,T46)</f>
        <v>2000000</v>
      </c>
      <c r="W46" s="450"/>
      <c r="X46" s="341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</row>
    <row r="47" spans="1:51" s="311" customFormat="1" ht="34.5" customHeight="1" x14ac:dyDescent="0.25">
      <c r="A47" s="348"/>
      <c r="B47" s="484" t="s">
        <v>107</v>
      </c>
      <c r="C47" s="485"/>
      <c r="D47" s="343"/>
      <c r="E47" s="344"/>
      <c r="F47" s="345"/>
      <c r="G47" s="346"/>
      <c r="H47" s="247"/>
      <c r="I47" s="248"/>
      <c r="J47" s="248"/>
      <c r="K47" s="247"/>
      <c r="L47" s="248"/>
      <c r="M47" s="247"/>
      <c r="N47" s="248"/>
      <c r="O47" s="247"/>
      <c r="P47" s="248"/>
      <c r="Q47" s="247"/>
      <c r="R47" s="248"/>
      <c r="S47" s="247"/>
      <c r="T47" s="248"/>
      <c r="U47" s="224"/>
      <c r="V47" s="249"/>
      <c r="W47" s="349">
        <f>SUM(V48:V48)</f>
        <v>1500000</v>
      </c>
      <c r="X47" s="341"/>
      <c r="Y47" s="223"/>
      <c r="Z47" s="223"/>
      <c r="AA47" s="223"/>
      <c r="AB47" s="223"/>
      <c r="AC47" s="223"/>
      <c r="AD47" s="223"/>
      <c r="AE47" s="223"/>
      <c r="AF47" s="223"/>
      <c r="AG47" s="223"/>
      <c r="AH47" s="223"/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</row>
    <row r="48" spans="1:51" s="311" customFormat="1" ht="89.25" x14ac:dyDescent="0.25">
      <c r="A48" s="334"/>
      <c r="B48" s="317"/>
      <c r="C48" s="350" t="s">
        <v>108</v>
      </c>
      <c r="D48" s="343" t="s">
        <v>106</v>
      </c>
      <c r="E48" s="344" t="s">
        <v>87</v>
      </c>
      <c r="F48" s="345">
        <v>1500000</v>
      </c>
      <c r="G48" s="346" t="s">
        <v>60</v>
      </c>
      <c r="H48" s="247">
        <f>SUM(I48,K48,M48,O48,Q48,S48)</f>
        <v>1</v>
      </c>
      <c r="I48" s="347">
        <v>0.3</v>
      </c>
      <c r="J48" s="248">
        <f t="shared" si="6"/>
        <v>450000</v>
      </c>
      <c r="K48" s="247">
        <v>0.4</v>
      </c>
      <c r="L48" s="248">
        <f t="shared" si="7"/>
        <v>600000</v>
      </c>
      <c r="M48" s="247"/>
      <c r="N48" s="248">
        <f t="shared" si="8"/>
        <v>0</v>
      </c>
      <c r="O48" s="247"/>
      <c r="P48" s="248">
        <f t="shared" si="9"/>
        <v>0</v>
      </c>
      <c r="Q48" s="247">
        <v>0.3</v>
      </c>
      <c r="R48" s="248">
        <f>Q48*$F48</f>
        <v>450000</v>
      </c>
      <c r="S48" s="247"/>
      <c r="T48" s="248">
        <f>S48*$F48</f>
        <v>0</v>
      </c>
      <c r="U48" s="224"/>
      <c r="V48" s="249">
        <f>SUM(J48,L48,N48,P48,R48,T48)</f>
        <v>1500000</v>
      </c>
      <c r="X48" s="341"/>
      <c r="Y48" s="223"/>
      <c r="Z48" s="223"/>
      <c r="AA48" s="223"/>
      <c r="AB48" s="223"/>
      <c r="AC48" s="223"/>
      <c r="AD48" s="223"/>
      <c r="AE48" s="223"/>
      <c r="AF48" s="223"/>
      <c r="AG48" s="223"/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  <c r="AS48" s="223"/>
      <c r="AT48" s="223"/>
      <c r="AU48" s="223"/>
      <c r="AV48" s="223"/>
      <c r="AW48" s="223"/>
      <c r="AX48" s="223"/>
      <c r="AY48" s="223"/>
    </row>
    <row r="49" spans="1:51" s="311" customFormat="1" ht="36.75" customHeight="1" x14ac:dyDescent="0.25">
      <c r="X49" s="341"/>
      <c r="Y49" s="223"/>
      <c r="Z49" s="223"/>
      <c r="AA49" s="223"/>
      <c r="AB49" s="223"/>
      <c r="AC49" s="223"/>
      <c r="AD49" s="223"/>
      <c r="AE49" s="223"/>
      <c r="AF49" s="223"/>
      <c r="AG49" s="223"/>
      <c r="AH49" s="223"/>
      <c r="AI49" s="223"/>
      <c r="AJ49" s="223"/>
      <c r="AK49" s="223"/>
      <c r="AL49" s="223"/>
      <c r="AM49" s="223"/>
      <c r="AN49" s="223"/>
      <c r="AO49" s="223"/>
      <c r="AP49" s="223"/>
      <c r="AQ49" s="223"/>
      <c r="AR49" s="223"/>
      <c r="AS49" s="223"/>
      <c r="AT49" s="223"/>
      <c r="AU49" s="223"/>
      <c r="AV49" s="223"/>
      <c r="AW49" s="223"/>
      <c r="AX49" s="223"/>
      <c r="AY49" s="223"/>
    </row>
    <row r="50" spans="1:51" s="311" customFormat="1" ht="36.75" customHeight="1" x14ac:dyDescent="0.25">
      <c r="A50" s="334"/>
      <c r="B50" s="317"/>
      <c r="C50" s="342"/>
      <c r="D50" s="343"/>
      <c r="E50" s="344"/>
      <c r="F50" s="345"/>
      <c r="G50" s="346"/>
      <c r="H50" s="247"/>
      <c r="I50" s="347"/>
      <c r="J50" s="248"/>
      <c r="K50" s="247"/>
      <c r="L50" s="248"/>
      <c r="M50" s="247"/>
      <c r="N50" s="248"/>
      <c r="O50" s="247"/>
      <c r="P50" s="248"/>
      <c r="Q50" s="247"/>
      <c r="R50" s="248"/>
      <c r="S50" s="247"/>
      <c r="T50" s="248"/>
      <c r="U50" s="224"/>
      <c r="V50" s="249"/>
      <c r="X50" s="341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</row>
    <row r="51" spans="1:51" s="252" customFormat="1" ht="10.5" customHeight="1" x14ac:dyDescent="0.25">
      <c r="A51" s="270"/>
      <c r="B51" s="270"/>
      <c r="C51" s="272"/>
      <c r="D51" s="272"/>
      <c r="E51" s="264"/>
      <c r="F51" s="351"/>
      <c r="G51" s="246"/>
      <c r="H51" s="248">
        <f>SUM(I51,K51,M51,O51,Q51,S51)</f>
        <v>0</v>
      </c>
      <c r="I51" s="248"/>
      <c r="J51" s="248">
        <f>I51*$F51</f>
        <v>0</v>
      </c>
      <c r="K51" s="248"/>
      <c r="L51" s="248">
        <f>K51*$F51</f>
        <v>0</v>
      </c>
      <c r="M51" s="248"/>
      <c r="N51" s="248">
        <f>M51*$F51</f>
        <v>0</v>
      </c>
      <c r="O51" s="248"/>
      <c r="P51" s="248">
        <f>O51*$F51</f>
        <v>0</v>
      </c>
      <c r="Q51" s="248"/>
      <c r="R51" s="248">
        <f>Q51*$F51</f>
        <v>0</v>
      </c>
      <c r="S51" s="248"/>
      <c r="T51" s="248">
        <f>S51*$F51</f>
        <v>0</v>
      </c>
      <c r="U51" s="224"/>
      <c r="V51" s="249"/>
      <c r="W51" s="438"/>
      <c r="X51" s="258"/>
      <c r="Y51" s="223"/>
      <c r="Z51" s="223"/>
      <c r="AA51" s="223"/>
      <c r="AB51" s="223"/>
      <c r="AC51" s="223"/>
      <c r="AD51" s="223"/>
      <c r="AE51" s="223"/>
      <c r="AF51" s="223"/>
      <c r="AG51" s="223"/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</row>
    <row r="52" spans="1:51" s="358" customFormat="1" ht="23.25" x14ac:dyDescent="0.25">
      <c r="A52" s="352" t="s">
        <v>109</v>
      </c>
      <c r="B52" s="353"/>
      <c r="C52" s="353"/>
      <c r="D52" s="354"/>
      <c r="E52" s="355"/>
      <c r="F52" s="356"/>
      <c r="G52" s="357"/>
      <c r="H52" s="356"/>
      <c r="I52" s="357"/>
      <c r="J52" s="357"/>
      <c r="K52" s="357"/>
      <c r="L52" s="357"/>
      <c r="M52" s="357"/>
      <c r="N52" s="357"/>
      <c r="O52" s="357"/>
      <c r="P52" s="357"/>
      <c r="Q52" s="357"/>
      <c r="R52" s="357"/>
      <c r="S52" s="357"/>
      <c r="T52" s="357"/>
      <c r="V52" s="359"/>
      <c r="W52" s="360"/>
      <c r="X52" s="361"/>
      <c r="Y52" s="223"/>
      <c r="Z52" s="223"/>
      <c r="AA52" s="223"/>
      <c r="AB52" s="223"/>
      <c r="AC52" s="223"/>
      <c r="AD52" s="223"/>
      <c r="AE52" s="223"/>
      <c r="AF52" s="223"/>
      <c r="AG52" s="223"/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</row>
    <row r="53" spans="1:51" s="358" customFormat="1" ht="34.5" customHeight="1" x14ac:dyDescent="0.25">
      <c r="A53" s="362"/>
      <c r="B53" s="484" t="s">
        <v>110</v>
      </c>
      <c r="C53" s="485"/>
      <c r="D53" s="343"/>
      <c r="E53" s="344"/>
      <c r="F53" s="345"/>
      <c r="G53" s="346"/>
      <c r="H53" s="247"/>
      <c r="I53" s="346"/>
      <c r="J53" s="346"/>
      <c r="K53" s="346"/>
      <c r="L53" s="346"/>
      <c r="M53" s="346"/>
      <c r="N53" s="346"/>
      <c r="O53" s="346"/>
      <c r="P53" s="346"/>
      <c r="Q53" s="346"/>
      <c r="R53" s="246"/>
      <c r="S53" s="346"/>
      <c r="T53" s="247"/>
      <c r="U53" s="224"/>
      <c r="V53" s="249"/>
      <c r="W53" s="363">
        <f>SUM(V53:V65)</f>
        <v>1308900</v>
      </c>
      <c r="X53" s="279">
        <f>SUM(W53:W81)</f>
        <v>7200000</v>
      </c>
      <c r="Y53" s="223"/>
      <c r="Z53" s="223"/>
      <c r="AA53" s="223"/>
      <c r="AB53" s="223"/>
      <c r="AC53" s="223"/>
      <c r="AD53" s="223"/>
      <c r="AE53" s="223"/>
      <c r="AF53" s="223"/>
      <c r="AG53" s="223"/>
      <c r="AH53" s="223"/>
      <c r="AI53" s="223"/>
      <c r="AJ53" s="223"/>
      <c r="AK53" s="223"/>
      <c r="AL53" s="223"/>
      <c r="AM53" s="223"/>
      <c r="AN53" s="223"/>
      <c r="AO53" s="223"/>
      <c r="AP53" s="223"/>
      <c r="AQ53" s="223"/>
      <c r="AR53" s="223"/>
      <c r="AS53" s="223"/>
      <c r="AT53" s="223"/>
      <c r="AU53" s="223"/>
      <c r="AV53" s="223"/>
      <c r="AW53" s="223"/>
      <c r="AX53" s="223"/>
      <c r="AY53" s="223"/>
    </row>
    <row r="54" spans="1:51" s="358" customFormat="1" ht="45" x14ac:dyDescent="0.25">
      <c r="A54" s="362"/>
      <c r="B54" s="252"/>
      <c r="C54" s="252" t="s">
        <v>111</v>
      </c>
      <c r="D54" s="343" t="s">
        <v>112</v>
      </c>
      <c r="E54" s="344" t="s">
        <v>40</v>
      </c>
      <c r="F54" s="345">
        <v>14000</v>
      </c>
      <c r="G54" s="311" t="s">
        <v>113</v>
      </c>
      <c r="H54" s="247">
        <f>SUM(I54,K54,M54,O54,Q54,S54)</f>
        <v>50</v>
      </c>
      <c r="I54" s="346">
        <v>10</v>
      </c>
      <c r="J54" s="346">
        <f>I54*$F54</f>
        <v>140000</v>
      </c>
      <c r="K54" s="346">
        <f>I54</f>
        <v>10</v>
      </c>
      <c r="L54" s="346">
        <f>K54*$F54</f>
        <v>140000</v>
      </c>
      <c r="M54" s="346">
        <f>K54</f>
        <v>10</v>
      </c>
      <c r="N54" s="346">
        <f>M54*$F54*0.75</f>
        <v>105000</v>
      </c>
      <c r="O54" s="346">
        <f>M54</f>
        <v>10</v>
      </c>
      <c r="P54" s="346">
        <f>O54*$F54*0.5</f>
        <v>70000</v>
      </c>
      <c r="Q54" s="346">
        <f>O54</f>
        <v>10</v>
      </c>
      <c r="R54" s="246">
        <f>Q54*$F54*0.25</f>
        <v>35000</v>
      </c>
      <c r="S54" s="346"/>
      <c r="T54" s="247">
        <f>S54*$F54</f>
        <v>0</v>
      </c>
      <c r="U54" s="224"/>
      <c r="V54" s="249">
        <f>SUM(J54,L54,N54,P54,R54,T54)</f>
        <v>490000</v>
      </c>
      <c r="W54" s="364"/>
      <c r="X54" s="258"/>
      <c r="Y54" s="223"/>
      <c r="Z54" s="223"/>
      <c r="AA54" s="223"/>
      <c r="AB54" s="223"/>
      <c r="AC54" s="223"/>
      <c r="AD54" s="223"/>
      <c r="AE54" s="223"/>
      <c r="AF54" s="223"/>
      <c r="AG54" s="223"/>
      <c r="AH54" s="223"/>
      <c r="AI54" s="223"/>
      <c r="AJ54" s="223"/>
      <c r="AK54" s="223"/>
      <c r="AL54" s="223"/>
      <c r="AM54" s="223"/>
      <c r="AN54" s="223"/>
      <c r="AO54" s="223"/>
      <c r="AP54" s="223"/>
      <c r="AQ54" s="223"/>
      <c r="AR54" s="223"/>
      <c r="AS54" s="223"/>
      <c r="AT54" s="223"/>
      <c r="AU54" s="223"/>
      <c r="AV54" s="223"/>
      <c r="AW54" s="223"/>
      <c r="AX54" s="223"/>
      <c r="AY54" s="223"/>
    </row>
    <row r="55" spans="1:51" s="358" customFormat="1" ht="75" x14ac:dyDescent="0.25">
      <c r="A55" s="362"/>
      <c r="B55" s="365"/>
      <c r="C55" s="311" t="s">
        <v>114</v>
      </c>
      <c r="D55" s="343" t="s">
        <v>115</v>
      </c>
      <c r="E55" s="344"/>
      <c r="F55" s="345"/>
      <c r="G55" s="346"/>
      <c r="H55" s="314"/>
      <c r="I55" s="346"/>
      <c r="J55" s="346"/>
      <c r="K55" s="346"/>
      <c r="L55" s="346"/>
      <c r="M55" s="346"/>
      <c r="N55" s="346"/>
      <c r="O55" s="346"/>
      <c r="P55" s="346"/>
      <c r="Q55" s="346"/>
      <c r="R55" s="346"/>
      <c r="S55" s="346"/>
      <c r="T55" s="247">
        <f>S55*$F55</f>
        <v>0</v>
      </c>
      <c r="U55" s="224"/>
      <c r="V55" s="249">
        <f>SUM(J55,L55,N55,P55,R55,T55)</f>
        <v>0</v>
      </c>
      <c r="W55" s="364"/>
      <c r="X55" s="258"/>
      <c r="Y55" s="223"/>
      <c r="Z55" s="223"/>
      <c r="AA55" s="223"/>
      <c r="AB55" s="223"/>
      <c r="AC55" s="223"/>
      <c r="AD55" s="223"/>
      <c r="AE55" s="223"/>
      <c r="AF55" s="223"/>
      <c r="AG55" s="223"/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  <c r="AS55" s="223"/>
      <c r="AT55" s="223"/>
      <c r="AU55" s="223"/>
      <c r="AV55" s="223"/>
      <c r="AW55" s="223"/>
      <c r="AX55" s="223"/>
      <c r="AY55" s="223"/>
    </row>
    <row r="56" spans="1:51" s="358" customFormat="1" ht="60" x14ac:dyDescent="0.25">
      <c r="A56" s="362"/>
      <c r="B56" s="365"/>
      <c r="C56" s="311" t="s">
        <v>116</v>
      </c>
      <c r="D56" s="343" t="s">
        <v>117</v>
      </c>
      <c r="E56" s="344"/>
      <c r="F56" s="345"/>
      <c r="G56" s="346"/>
      <c r="H56" s="314"/>
      <c r="I56" s="346"/>
      <c r="J56" s="346"/>
      <c r="K56" s="346"/>
      <c r="L56" s="346"/>
      <c r="M56" s="346"/>
      <c r="N56" s="346"/>
      <c r="O56" s="346"/>
      <c r="P56" s="346"/>
      <c r="Q56" s="346"/>
      <c r="R56" s="346"/>
      <c r="S56" s="346"/>
      <c r="T56" s="247"/>
      <c r="U56" s="224"/>
      <c r="V56" s="249"/>
      <c r="W56" s="364"/>
      <c r="X56" s="258"/>
      <c r="Y56" s="223"/>
      <c r="Z56" s="223"/>
      <c r="AA56" s="223"/>
      <c r="AB56" s="223"/>
      <c r="AC56" s="223"/>
      <c r="AD56" s="223"/>
      <c r="AE56" s="223"/>
      <c r="AF56" s="223"/>
      <c r="AG56" s="223"/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23"/>
      <c r="AV56" s="223"/>
      <c r="AW56" s="223"/>
      <c r="AX56" s="223"/>
      <c r="AY56" s="223"/>
    </row>
    <row r="57" spans="1:51" s="358" customFormat="1" ht="25.5" x14ac:dyDescent="0.25">
      <c r="A57" s="362"/>
      <c r="B57" s="366"/>
      <c r="C57" s="367" t="s">
        <v>118</v>
      </c>
      <c r="D57" s="368" t="s">
        <v>119</v>
      </c>
      <c r="E57" s="344" t="s">
        <v>87</v>
      </c>
      <c r="F57" s="345">
        <v>244900</v>
      </c>
      <c r="G57" s="346" t="s">
        <v>120</v>
      </c>
      <c r="H57" s="247">
        <f t="shared" ref="H57:H64" si="11">SUM(I57,K57,M57,O57,Q57,S57)</f>
        <v>1</v>
      </c>
      <c r="I57" s="346">
        <v>0.3</v>
      </c>
      <c r="J57" s="346">
        <f t="shared" ref="J57:J64" si="12">I57*$F57</f>
        <v>73470</v>
      </c>
      <c r="K57" s="346">
        <v>0.4</v>
      </c>
      <c r="L57" s="346">
        <f t="shared" ref="L57:L64" si="13">K57*$F57</f>
        <v>97960</v>
      </c>
      <c r="M57" s="346">
        <v>0.3</v>
      </c>
      <c r="N57" s="346">
        <f>M57*$F57</f>
        <v>73470</v>
      </c>
      <c r="O57" s="346"/>
      <c r="P57" s="346">
        <f>O57*$F57*0.5</f>
        <v>0</v>
      </c>
      <c r="Q57" s="346"/>
      <c r="R57" s="246">
        <f>Q57*$F57*0.25</f>
        <v>0</v>
      </c>
      <c r="S57" s="346"/>
      <c r="T57" s="247">
        <f t="shared" ref="T57:T64" si="14">S57*$F57</f>
        <v>0</v>
      </c>
      <c r="U57" s="224"/>
      <c r="V57" s="249">
        <f t="shared" ref="V57:V64" si="15">SUM(J57,L57,N57,P57,R57,T57)</f>
        <v>244900</v>
      </c>
      <c r="W57" s="364"/>
      <c r="X57" s="258"/>
      <c r="Y57" s="223"/>
      <c r="Z57" s="223"/>
      <c r="AA57" s="223"/>
      <c r="AB57" s="223"/>
      <c r="AC57" s="223"/>
      <c r="AD57" s="223"/>
      <c r="AE57" s="223"/>
      <c r="AF57" s="223"/>
      <c r="AG57" s="223"/>
      <c r="AH57" s="223"/>
      <c r="AI57" s="223"/>
      <c r="AJ57" s="223"/>
      <c r="AK57" s="223"/>
      <c r="AL57" s="223"/>
      <c r="AM57" s="223"/>
      <c r="AN57" s="223"/>
      <c r="AO57" s="223"/>
      <c r="AP57" s="223"/>
      <c r="AQ57" s="223"/>
      <c r="AR57" s="223"/>
      <c r="AS57" s="223"/>
      <c r="AT57" s="223"/>
      <c r="AU57" s="223"/>
      <c r="AV57" s="223"/>
      <c r="AW57" s="223"/>
      <c r="AX57" s="223"/>
      <c r="AY57" s="223"/>
    </row>
    <row r="58" spans="1:51" s="358" customFormat="1" ht="63.75" x14ac:dyDescent="0.25">
      <c r="A58" s="362"/>
      <c r="B58" s="365"/>
      <c r="C58" s="369" t="s">
        <v>121</v>
      </c>
      <c r="D58" s="370" t="s">
        <v>122</v>
      </c>
      <c r="E58" s="344" t="s">
        <v>87</v>
      </c>
      <c r="F58" s="345">
        <v>180000</v>
      </c>
      <c r="G58" s="346" t="s">
        <v>120</v>
      </c>
      <c r="H58" s="247">
        <f t="shared" si="11"/>
        <v>1</v>
      </c>
      <c r="I58" s="346">
        <v>0.3</v>
      </c>
      <c r="J58" s="346">
        <f t="shared" si="12"/>
        <v>54000</v>
      </c>
      <c r="K58" s="346">
        <v>0.4</v>
      </c>
      <c r="L58" s="346">
        <f t="shared" si="13"/>
        <v>72000</v>
      </c>
      <c r="M58" s="346">
        <v>0.3</v>
      </c>
      <c r="N58" s="346">
        <f>M58*$F58</f>
        <v>54000</v>
      </c>
      <c r="O58" s="346"/>
      <c r="P58" s="346">
        <f>O58*$F58*0.5</f>
        <v>0</v>
      </c>
      <c r="Q58" s="346"/>
      <c r="R58" s="246">
        <f>Q58*$F58*0.25</f>
        <v>0</v>
      </c>
      <c r="S58" s="346"/>
      <c r="T58" s="247">
        <f t="shared" si="14"/>
        <v>0</v>
      </c>
      <c r="U58" s="224"/>
      <c r="V58" s="249">
        <f t="shared" si="15"/>
        <v>180000</v>
      </c>
      <c r="W58" s="364"/>
      <c r="X58" s="258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223"/>
      <c r="AP58" s="223"/>
      <c r="AQ58" s="223"/>
      <c r="AR58" s="223"/>
      <c r="AS58" s="223"/>
      <c r="AT58" s="223"/>
      <c r="AU58" s="223"/>
      <c r="AV58" s="223"/>
      <c r="AW58" s="223"/>
      <c r="AX58" s="223"/>
      <c r="AY58" s="223"/>
    </row>
    <row r="59" spans="1:51" s="358" customFormat="1" ht="47.25" customHeight="1" x14ac:dyDescent="0.25">
      <c r="A59" s="362"/>
      <c r="B59" s="365"/>
      <c r="C59" s="270"/>
      <c r="D59" s="370" t="s">
        <v>123</v>
      </c>
      <c r="E59" s="344" t="s">
        <v>40</v>
      </c>
      <c r="F59" s="345">
        <v>12000</v>
      </c>
      <c r="G59" s="311" t="s">
        <v>113</v>
      </c>
      <c r="H59" s="247">
        <f t="shared" si="11"/>
        <v>10</v>
      </c>
      <c r="I59" s="346">
        <v>2</v>
      </c>
      <c r="J59" s="346">
        <f t="shared" si="12"/>
        <v>24000</v>
      </c>
      <c r="K59" s="346">
        <f>I59</f>
        <v>2</v>
      </c>
      <c r="L59" s="346">
        <f t="shared" si="13"/>
        <v>24000</v>
      </c>
      <c r="M59" s="346">
        <f>K59</f>
        <v>2</v>
      </c>
      <c r="N59" s="346">
        <f>M59*$F59*0.75</f>
        <v>18000</v>
      </c>
      <c r="O59" s="346">
        <f>M59</f>
        <v>2</v>
      </c>
      <c r="P59" s="346">
        <f>O59*$F59*0.5</f>
        <v>12000</v>
      </c>
      <c r="Q59" s="346">
        <f>O59</f>
        <v>2</v>
      </c>
      <c r="R59" s="246">
        <f>Q59*$F59*0.25</f>
        <v>6000</v>
      </c>
      <c r="S59" s="346"/>
      <c r="T59" s="247">
        <f t="shared" si="14"/>
        <v>0</v>
      </c>
      <c r="U59" s="224"/>
      <c r="V59" s="249">
        <f t="shared" si="15"/>
        <v>84000</v>
      </c>
      <c r="W59" s="364"/>
      <c r="X59" s="258"/>
      <c r="Y59" s="223"/>
      <c r="Z59" s="223"/>
      <c r="AA59" s="223"/>
      <c r="AB59" s="223"/>
      <c r="AC59" s="223"/>
      <c r="AD59" s="223"/>
      <c r="AE59" s="223"/>
      <c r="AF59" s="223"/>
      <c r="AG59" s="223"/>
      <c r="AH59" s="223"/>
      <c r="AI59" s="223"/>
      <c r="AJ59" s="223"/>
      <c r="AK59" s="223"/>
      <c r="AL59" s="223"/>
      <c r="AM59" s="223"/>
      <c r="AN59" s="223"/>
      <c r="AO59" s="223"/>
      <c r="AP59" s="223"/>
      <c r="AQ59" s="223"/>
      <c r="AR59" s="223"/>
      <c r="AS59" s="223"/>
      <c r="AT59" s="223"/>
      <c r="AU59" s="223"/>
      <c r="AV59" s="223"/>
      <c r="AW59" s="223"/>
      <c r="AX59" s="223"/>
      <c r="AY59" s="223"/>
    </row>
    <row r="60" spans="1:51" s="358" customFormat="1" ht="23.25" x14ac:dyDescent="0.25">
      <c r="A60" s="362"/>
      <c r="B60" s="366"/>
      <c r="C60" s="371" t="s">
        <v>124</v>
      </c>
      <c r="D60" s="372" t="s">
        <v>125</v>
      </c>
      <c r="E60" s="344" t="s">
        <v>40</v>
      </c>
      <c r="F60" s="345">
        <v>76000</v>
      </c>
      <c r="G60" s="346" t="s">
        <v>120</v>
      </c>
      <c r="H60" s="247">
        <f t="shared" si="11"/>
        <v>1</v>
      </c>
      <c r="I60" s="346">
        <v>0.3</v>
      </c>
      <c r="J60" s="346">
        <f t="shared" si="12"/>
        <v>22800</v>
      </c>
      <c r="K60" s="346">
        <v>0.3</v>
      </c>
      <c r="L60" s="346">
        <f t="shared" si="13"/>
        <v>22800</v>
      </c>
      <c r="M60" s="346">
        <v>0.4</v>
      </c>
      <c r="N60" s="346">
        <f>M60*$F60</f>
        <v>30400</v>
      </c>
      <c r="O60" s="346"/>
      <c r="P60" s="346">
        <f>O60*$F60*0.5</f>
        <v>0</v>
      </c>
      <c r="Q60" s="346"/>
      <c r="R60" s="246">
        <f>Q60*$F60*0.25</f>
        <v>0</v>
      </c>
      <c r="S60" s="346"/>
      <c r="T60" s="247">
        <f t="shared" si="14"/>
        <v>0</v>
      </c>
      <c r="U60" s="224"/>
      <c r="V60" s="249">
        <f t="shared" si="15"/>
        <v>76000</v>
      </c>
      <c r="W60" s="364"/>
      <c r="X60" s="258"/>
      <c r="Y60" s="223"/>
      <c r="Z60" s="223"/>
      <c r="AA60" s="223"/>
      <c r="AB60" s="223"/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</row>
    <row r="61" spans="1:51" s="358" customFormat="1" ht="45" customHeight="1" x14ac:dyDescent="0.25">
      <c r="A61" s="362"/>
      <c r="B61" s="366"/>
      <c r="C61" s="373"/>
      <c r="D61" s="372" t="s">
        <v>126</v>
      </c>
      <c r="E61" s="344" t="s">
        <v>40</v>
      </c>
      <c r="F61" s="345">
        <v>12000</v>
      </c>
      <c r="G61" s="311" t="s">
        <v>113</v>
      </c>
      <c r="H61" s="247">
        <f t="shared" si="11"/>
        <v>5</v>
      </c>
      <c r="I61" s="346">
        <v>1</v>
      </c>
      <c r="J61" s="346">
        <f t="shared" si="12"/>
        <v>12000</v>
      </c>
      <c r="K61" s="346">
        <f>I61</f>
        <v>1</v>
      </c>
      <c r="L61" s="346">
        <f t="shared" si="13"/>
        <v>12000</v>
      </c>
      <c r="M61" s="346">
        <f>K61</f>
        <v>1</v>
      </c>
      <c r="N61" s="346">
        <f>M61*$F61*0.75</f>
        <v>9000</v>
      </c>
      <c r="O61" s="346">
        <f>M61</f>
        <v>1</v>
      </c>
      <c r="P61" s="346">
        <f>O61*$F61*0.5</f>
        <v>6000</v>
      </c>
      <c r="Q61" s="346">
        <f>O61</f>
        <v>1</v>
      </c>
      <c r="R61" s="246">
        <f>Q61*$F61*0.25</f>
        <v>3000</v>
      </c>
      <c r="S61" s="346"/>
      <c r="T61" s="247">
        <f t="shared" si="14"/>
        <v>0</v>
      </c>
      <c r="U61" s="224"/>
      <c r="V61" s="249">
        <f t="shared" si="15"/>
        <v>42000</v>
      </c>
      <c r="W61" s="364"/>
      <c r="X61" s="258"/>
      <c r="Y61" s="223"/>
      <c r="Z61" s="223"/>
      <c r="AA61" s="223"/>
      <c r="AB61" s="223"/>
      <c r="AC61" s="223"/>
      <c r="AD61" s="223"/>
      <c r="AE61" s="223"/>
      <c r="AF61" s="223"/>
      <c r="AG61" s="223"/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</row>
    <row r="62" spans="1:51" s="358" customFormat="1" ht="25.5" x14ac:dyDescent="0.25">
      <c r="A62" s="362"/>
      <c r="B62" s="366"/>
      <c r="C62" s="371"/>
      <c r="D62" s="368" t="s">
        <v>127</v>
      </c>
      <c r="E62" s="374" t="s">
        <v>101</v>
      </c>
      <c r="F62" s="375">
        <v>8000</v>
      </c>
      <c r="G62" s="311" t="s">
        <v>113</v>
      </c>
      <c r="H62" s="247">
        <f t="shared" si="11"/>
        <v>5</v>
      </c>
      <c r="I62" s="346">
        <v>1</v>
      </c>
      <c r="J62" s="346">
        <f t="shared" si="12"/>
        <v>8000</v>
      </c>
      <c r="K62" s="346">
        <f>I62</f>
        <v>1</v>
      </c>
      <c r="L62" s="346">
        <f t="shared" si="13"/>
        <v>8000</v>
      </c>
      <c r="M62" s="346">
        <f>K62</f>
        <v>1</v>
      </c>
      <c r="N62" s="346">
        <f>M62*$F62</f>
        <v>8000</v>
      </c>
      <c r="O62" s="346">
        <f>M62</f>
        <v>1</v>
      </c>
      <c r="P62" s="346">
        <f>O62*$F62</f>
        <v>8000</v>
      </c>
      <c r="Q62" s="346">
        <f>O62</f>
        <v>1</v>
      </c>
      <c r="R62" s="246">
        <f>Q62*$F62</f>
        <v>8000</v>
      </c>
      <c r="S62" s="346"/>
      <c r="T62" s="247">
        <f t="shared" si="14"/>
        <v>0</v>
      </c>
      <c r="U62" s="224"/>
      <c r="V62" s="249">
        <f t="shared" si="15"/>
        <v>40000</v>
      </c>
      <c r="W62" s="364"/>
      <c r="X62" s="258"/>
      <c r="Y62" s="223"/>
      <c r="Z62" s="223"/>
      <c r="AA62" s="223"/>
      <c r="AB62" s="223"/>
      <c r="AC62" s="223"/>
      <c r="AD62" s="223"/>
      <c r="AE62" s="223"/>
      <c r="AF62" s="223"/>
      <c r="AG62" s="223"/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</row>
    <row r="63" spans="1:51" s="358" customFormat="1" ht="38.25" x14ac:dyDescent="0.25">
      <c r="A63" s="362"/>
      <c r="B63" s="366"/>
      <c r="C63" s="371" t="s">
        <v>128</v>
      </c>
      <c r="D63" s="372" t="s">
        <v>129</v>
      </c>
      <c r="E63" s="344" t="s">
        <v>40</v>
      </c>
      <c r="F63" s="345">
        <v>76000</v>
      </c>
      <c r="G63" s="346" t="s">
        <v>120</v>
      </c>
      <c r="H63" s="247">
        <f t="shared" si="11"/>
        <v>1</v>
      </c>
      <c r="I63" s="346">
        <v>0.3</v>
      </c>
      <c r="J63" s="346">
        <f t="shared" si="12"/>
        <v>22800</v>
      </c>
      <c r="K63" s="346">
        <v>0.3</v>
      </c>
      <c r="L63" s="346">
        <f t="shared" si="13"/>
        <v>22800</v>
      </c>
      <c r="M63" s="346">
        <v>0.4</v>
      </c>
      <c r="N63" s="346">
        <f>M63*$F63</f>
        <v>30400</v>
      </c>
      <c r="O63" s="346"/>
      <c r="P63" s="346">
        <f>O63*$F63*0.5</f>
        <v>0</v>
      </c>
      <c r="Q63" s="346"/>
      <c r="R63" s="246">
        <f>Q63*$F63*0.25</f>
        <v>0</v>
      </c>
      <c r="S63" s="346"/>
      <c r="T63" s="247">
        <f t="shared" si="14"/>
        <v>0</v>
      </c>
      <c r="U63" s="224"/>
      <c r="V63" s="249">
        <f t="shared" si="15"/>
        <v>76000</v>
      </c>
      <c r="W63" s="364"/>
      <c r="X63" s="258"/>
      <c r="Y63" s="223"/>
      <c r="Z63" s="223"/>
      <c r="AA63" s="223"/>
      <c r="AB63" s="223"/>
      <c r="AC63" s="223"/>
      <c r="AD63" s="223"/>
      <c r="AE63" s="223"/>
      <c r="AF63" s="223"/>
      <c r="AG63" s="223"/>
      <c r="AH63" s="223"/>
      <c r="AI63" s="223"/>
      <c r="AJ63" s="223"/>
      <c r="AK63" s="223"/>
      <c r="AL63" s="223"/>
      <c r="AM63" s="223"/>
      <c r="AN63" s="223"/>
      <c r="AO63" s="223"/>
      <c r="AP63" s="223"/>
      <c r="AQ63" s="223"/>
      <c r="AR63" s="223"/>
      <c r="AS63" s="223"/>
      <c r="AT63" s="223"/>
      <c r="AU63" s="223"/>
      <c r="AV63" s="223"/>
      <c r="AW63" s="223"/>
      <c r="AX63" s="223"/>
      <c r="AY63" s="223"/>
    </row>
    <row r="64" spans="1:51" s="358" customFormat="1" ht="25.5" x14ac:dyDescent="0.25">
      <c r="A64" s="362"/>
      <c r="B64" s="366"/>
      <c r="C64" s="371" t="s">
        <v>130</v>
      </c>
      <c r="D64" s="372" t="s">
        <v>131</v>
      </c>
      <c r="E64" s="344" t="s">
        <v>40</v>
      </c>
      <c r="F64" s="345">
        <v>76000</v>
      </c>
      <c r="G64" s="346" t="s">
        <v>120</v>
      </c>
      <c r="H64" s="247">
        <f t="shared" si="11"/>
        <v>1</v>
      </c>
      <c r="I64" s="346">
        <v>0.3</v>
      </c>
      <c r="J64" s="346">
        <f t="shared" si="12"/>
        <v>22800</v>
      </c>
      <c r="K64" s="346">
        <v>0.3</v>
      </c>
      <c r="L64" s="346">
        <f t="shared" si="13"/>
        <v>22800</v>
      </c>
      <c r="M64" s="346">
        <v>0.4</v>
      </c>
      <c r="N64" s="346">
        <f>M64*$F64</f>
        <v>30400</v>
      </c>
      <c r="O64" s="346"/>
      <c r="P64" s="346">
        <f>O64*$F64*0.5</f>
        <v>0</v>
      </c>
      <c r="Q64" s="346"/>
      <c r="R64" s="246">
        <f>Q64*$F64*0.25</f>
        <v>0</v>
      </c>
      <c r="S64" s="346"/>
      <c r="T64" s="247">
        <f t="shared" si="14"/>
        <v>0</v>
      </c>
      <c r="U64" s="224"/>
      <c r="V64" s="249">
        <f t="shared" si="15"/>
        <v>76000</v>
      </c>
      <c r="W64" s="364"/>
      <c r="X64" s="258"/>
      <c r="Y64" s="223"/>
      <c r="Z64" s="223"/>
      <c r="AA64" s="223"/>
      <c r="AB64" s="223"/>
      <c r="AC64" s="223"/>
      <c r="AD64" s="223"/>
      <c r="AE64" s="223"/>
      <c r="AF64" s="223"/>
      <c r="AG64" s="223"/>
      <c r="AH64" s="223"/>
      <c r="AI64" s="223"/>
      <c r="AJ64" s="223"/>
      <c r="AK64" s="223"/>
      <c r="AL64" s="223"/>
      <c r="AM64" s="223"/>
      <c r="AN64" s="223"/>
      <c r="AO64" s="223"/>
      <c r="AP64" s="223"/>
      <c r="AQ64" s="223"/>
      <c r="AR64" s="223"/>
      <c r="AS64" s="223"/>
      <c r="AT64" s="223"/>
      <c r="AU64" s="223"/>
      <c r="AV64" s="223"/>
      <c r="AW64" s="223"/>
      <c r="AX64" s="223"/>
      <c r="AY64" s="223"/>
    </row>
    <row r="65" spans="1:51" s="358" customFormat="1" ht="23.25" x14ac:dyDescent="0.25">
      <c r="A65" s="362"/>
      <c r="B65" s="376"/>
      <c r="C65" s="377"/>
      <c r="D65" s="378"/>
      <c r="E65" s="379"/>
      <c r="F65" s="380"/>
      <c r="G65" s="381"/>
      <c r="H65" s="380"/>
      <c r="I65" s="381"/>
      <c r="J65" s="381"/>
      <c r="K65" s="381"/>
      <c r="L65" s="381"/>
      <c r="M65" s="381"/>
      <c r="N65" s="381"/>
      <c r="O65" s="381"/>
      <c r="P65" s="381"/>
      <c r="Q65" s="381"/>
      <c r="R65" s="381"/>
      <c r="S65" s="381"/>
      <c r="T65" s="381"/>
      <c r="U65" s="252"/>
      <c r="V65" s="382"/>
      <c r="W65" s="364"/>
      <c r="X65" s="258"/>
      <c r="Y65" s="223"/>
      <c r="Z65" s="223"/>
      <c r="AA65" s="223"/>
      <c r="AB65" s="223"/>
      <c r="AC65" s="223"/>
      <c r="AD65" s="223"/>
      <c r="AE65" s="223"/>
      <c r="AF65" s="223"/>
      <c r="AG65" s="223"/>
      <c r="AH65" s="223"/>
      <c r="AI65" s="223"/>
      <c r="AJ65" s="223"/>
      <c r="AK65" s="223"/>
      <c r="AL65" s="223"/>
      <c r="AM65" s="223"/>
      <c r="AN65" s="223"/>
      <c r="AO65" s="223"/>
      <c r="AP65" s="223"/>
      <c r="AQ65" s="223"/>
      <c r="AR65" s="223"/>
      <c r="AS65" s="223"/>
      <c r="AT65" s="223"/>
      <c r="AU65" s="223"/>
      <c r="AV65" s="223"/>
      <c r="AW65" s="223"/>
      <c r="AX65" s="223"/>
      <c r="AY65" s="223"/>
    </row>
    <row r="66" spans="1:51" s="252" customFormat="1" ht="30.75" customHeight="1" x14ac:dyDescent="0.25">
      <c r="A66" s="270"/>
      <c r="B66" s="484" t="s">
        <v>132</v>
      </c>
      <c r="C66" s="485"/>
      <c r="E66" s="451"/>
      <c r="F66" s="351"/>
      <c r="G66" s="246"/>
      <c r="H66" s="247">
        <f>SUM(I66,K66,M66,O66,Q66,S66)</f>
        <v>0</v>
      </c>
      <c r="I66" s="248"/>
      <c r="J66" s="246">
        <f t="shared" ref="J66:J72" si="16">I66*$F66</f>
        <v>0</v>
      </c>
      <c r="K66" s="248">
        <f>I66</f>
        <v>0</v>
      </c>
      <c r="L66" s="246">
        <f>K66*$F66</f>
        <v>0</v>
      </c>
      <c r="M66" s="248">
        <f>K66</f>
        <v>0</v>
      </c>
      <c r="N66" s="246">
        <f>M66*$F66</f>
        <v>0</v>
      </c>
      <c r="O66" s="248">
        <f>M66</f>
        <v>0</v>
      </c>
      <c r="P66" s="246">
        <f>O66*$F66</f>
        <v>0</v>
      </c>
      <c r="Q66" s="248">
        <f>O66</f>
        <v>0</v>
      </c>
      <c r="R66" s="248"/>
      <c r="S66" s="248"/>
      <c r="T66" s="246">
        <f>Q66*$F66</f>
        <v>0</v>
      </c>
      <c r="U66" s="224"/>
      <c r="V66" s="249">
        <f>SUM(J66,L66,N66,P66,R66,T66)</f>
        <v>0</v>
      </c>
      <c r="W66" s="278">
        <f>SUM(V66:V81)</f>
        <v>5891100</v>
      </c>
      <c r="Y66" s="223"/>
      <c r="Z66" s="223"/>
      <c r="AA66" s="223"/>
      <c r="AB66" s="223"/>
      <c r="AC66" s="223"/>
      <c r="AD66" s="223"/>
      <c r="AE66" s="223"/>
      <c r="AF66" s="223"/>
      <c r="AG66" s="223"/>
      <c r="AH66" s="223"/>
      <c r="AI66" s="223"/>
      <c r="AJ66" s="223"/>
      <c r="AK66" s="223"/>
      <c r="AL66" s="223"/>
      <c r="AM66" s="223"/>
      <c r="AN66" s="223"/>
      <c r="AO66" s="223"/>
      <c r="AP66" s="223"/>
      <c r="AQ66" s="223"/>
      <c r="AR66" s="223"/>
      <c r="AS66" s="223"/>
      <c r="AT66" s="223"/>
      <c r="AU66" s="223"/>
      <c r="AV66" s="223"/>
      <c r="AW66" s="223"/>
      <c r="AX66" s="223"/>
      <c r="AY66" s="223"/>
    </row>
    <row r="67" spans="1:51" s="252" customFormat="1" ht="87.75" customHeight="1" x14ac:dyDescent="0.25">
      <c r="A67" s="383"/>
      <c r="B67" s="317"/>
      <c r="C67" s="384" t="s">
        <v>133</v>
      </c>
      <c r="D67" s="289" t="s">
        <v>134</v>
      </c>
      <c r="E67" s="452"/>
      <c r="F67" s="385">
        <f>SUM(F68:F70)</f>
        <v>3800000</v>
      </c>
      <c r="G67" s="291"/>
      <c r="H67" s="290"/>
      <c r="I67" s="290"/>
      <c r="J67" s="385">
        <f>SUM(J68:J70)</f>
        <v>860000</v>
      </c>
      <c r="K67" s="290"/>
      <c r="L67" s="385">
        <f>SUM(L68:L70)</f>
        <v>1700000</v>
      </c>
      <c r="M67" s="290"/>
      <c r="N67" s="385">
        <f>SUM(N68:N70)</f>
        <v>1000000</v>
      </c>
      <c r="O67" s="290"/>
      <c r="P67" s="385">
        <f>SUM(P68:P70)</f>
        <v>240000</v>
      </c>
      <c r="Q67" s="290">
        <f>R67/$V$67</f>
        <v>0</v>
      </c>
      <c r="R67" s="385">
        <f>SUM(R68:R70)</f>
        <v>0</v>
      </c>
      <c r="S67" s="324"/>
      <c r="T67" s="385">
        <f>SUM(T68:T70)</f>
        <v>0</v>
      </c>
      <c r="U67" s="296"/>
      <c r="V67" s="386">
        <f>SUM(J67,L67,N67,P67,R67,T67)</f>
        <v>3800000</v>
      </c>
      <c r="W67" s="287"/>
      <c r="X67" s="287"/>
      <c r="Y67" s="223"/>
      <c r="Z67" s="223"/>
      <c r="AA67" s="223"/>
      <c r="AB67" s="223"/>
      <c r="AC67" s="223"/>
      <c r="AD67" s="223"/>
      <c r="AE67" s="223"/>
      <c r="AF67" s="223"/>
      <c r="AG67" s="223"/>
      <c r="AH67" s="223"/>
      <c r="AI67" s="223"/>
      <c r="AJ67" s="223"/>
      <c r="AK67" s="223"/>
      <c r="AL67" s="223"/>
      <c r="AM67" s="223"/>
      <c r="AN67" s="223"/>
      <c r="AO67" s="223"/>
      <c r="AP67" s="223"/>
      <c r="AQ67" s="223"/>
      <c r="AR67" s="223"/>
      <c r="AS67" s="223"/>
      <c r="AT67" s="223"/>
      <c r="AU67" s="223"/>
      <c r="AV67" s="223"/>
      <c r="AW67" s="223"/>
      <c r="AX67" s="223"/>
      <c r="AY67" s="223"/>
    </row>
    <row r="68" spans="1:51" s="252" customFormat="1" ht="89.25" x14ac:dyDescent="0.25">
      <c r="A68" s="383"/>
      <c r="B68" s="270"/>
      <c r="C68" s="294"/>
      <c r="D68" s="289" t="s">
        <v>135</v>
      </c>
      <c r="E68" s="387" t="s">
        <v>87</v>
      </c>
      <c r="F68" s="388">
        <v>2000000</v>
      </c>
      <c r="G68" s="387" t="s">
        <v>136</v>
      </c>
      <c r="H68" s="389">
        <f>SUM(I68,K68,M68,O68,Q68,S68)</f>
        <v>1</v>
      </c>
      <c r="I68" s="389">
        <v>0.2</v>
      </c>
      <c r="J68" s="389">
        <f t="shared" si="16"/>
        <v>400000</v>
      </c>
      <c r="K68" s="389">
        <v>0.4</v>
      </c>
      <c r="L68" s="389">
        <f>K68*$F68</f>
        <v>800000</v>
      </c>
      <c r="M68" s="389">
        <v>0.4</v>
      </c>
      <c r="N68" s="389">
        <f>M68*$F68</f>
        <v>800000</v>
      </c>
      <c r="O68" s="389"/>
      <c r="P68" s="389">
        <f>O68*$F68</f>
        <v>0</v>
      </c>
      <c r="Q68" s="389"/>
      <c r="R68" s="389">
        <f>Q68*$F68</f>
        <v>0</v>
      </c>
      <c r="S68" s="389"/>
      <c r="T68" s="389">
        <f>S68*$F68</f>
        <v>0</v>
      </c>
      <c r="U68" s="296"/>
      <c r="V68" s="386"/>
      <c r="W68" s="438"/>
      <c r="X68" s="258"/>
      <c r="Y68" s="223"/>
      <c r="Z68" s="223"/>
      <c r="AA68" s="223"/>
      <c r="AB68" s="223"/>
      <c r="AC68" s="223"/>
      <c r="AD68" s="223"/>
      <c r="AE68" s="223"/>
      <c r="AF68" s="223"/>
      <c r="AG68" s="223"/>
      <c r="AH68" s="223"/>
      <c r="AI68" s="223"/>
      <c r="AJ68" s="223"/>
      <c r="AK68" s="223"/>
      <c r="AL68" s="223"/>
      <c r="AM68" s="223"/>
      <c r="AN68" s="223"/>
      <c r="AO68" s="223"/>
      <c r="AP68" s="223"/>
      <c r="AQ68" s="223"/>
      <c r="AR68" s="223"/>
      <c r="AS68" s="223"/>
      <c r="AT68" s="223"/>
      <c r="AU68" s="223"/>
      <c r="AV68" s="223"/>
      <c r="AW68" s="223"/>
      <c r="AX68" s="223"/>
      <c r="AY68" s="223"/>
    </row>
    <row r="69" spans="1:51" s="252" customFormat="1" ht="69" customHeight="1" x14ac:dyDescent="0.25">
      <c r="A69" s="383"/>
      <c r="B69" s="390"/>
      <c r="C69" s="294"/>
      <c r="D69" s="289" t="s">
        <v>137</v>
      </c>
      <c r="E69" s="391" t="s">
        <v>138</v>
      </c>
      <c r="F69" s="388">
        <v>1000000</v>
      </c>
      <c r="G69" s="291"/>
      <c r="H69" s="389">
        <f>SUM(I69,K69,M69,O69,Q69,S69)</f>
        <v>1</v>
      </c>
      <c r="I69" s="392">
        <v>0.3</v>
      </c>
      <c r="J69" s="392">
        <f t="shared" si="16"/>
        <v>300000</v>
      </c>
      <c r="K69" s="392">
        <v>0.7</v>
      </c>
      <c r="L69" s="392">
        <f>K69*$F69</f>
        <v>700000</v>
      </c>
      <c r="M69" s="392"/>
      <c r="N69" s="392">
        <f>M69*$F69</f>
        <v>0</v>
      </c>
      <c r="O69" s="392"/>
      <c r="P69" s="392">
        <f>O69*$F69</f>
        <v>0</v>
      </c>
      <c r="Q69" s="392"/>
      <c r="R69" s="392">
        <f>Q69*$F69</f>
        <v>0</v>
      </c>
      <c r="S69" s="389"/>
      <c r="T69" s="389">
        <f>S69*$F69</f>
        <v>0</v>
      </c>
      <c r="U69" s="296"/>
      <c r="V69" s="386"/>
      <c r="W69" s="438"/>
      <c r="X69" s="258"/>
      <c r="Y69" s="223"/>
      <c r="Z69" s="223"/>
      <c r="AA69" s="223"/>
      <c r="AB69" s="223"/>
      <c r="AC69" s="223"/>
      <c r="AD69" s="223"/>
      <c r="AE69" s="223"/>
      <c r="AF69" s="223"/>
      <c r="AG69" s="223"/>
      <c r="AH69" s="223"/>
      <c r="AI69" s="223"/>
      <c r="AJ69" s="223"/>
      <c r="AK69" s="223"/>
      <c r="AL69" s="223"/>
      <c r="AM69" s="223"/>
      <c r="AN69" s="223"/>
      <c r="AO69" s="223"/>
      <c r="AP69" s="223"/>
      <c r="AQ69" s="223"/>
      <c r="AR69" s="223"/>
      <c r="AS69" s="223"/>
      <c r="AT69" s="223"/>
      <c r="AU69" s="223"/>
      <c r="AV69" s="223"/>
      <c r="AW69" s="223"/>
      <c r="AX69" s="223"/>
      <c r="AY69" s="223"/>
    </row>
    <row r="70" spans="1:51" s="252" customFormat="1" ht="69" customHeight="1" x14ac:dyDescent="0.25">
      <c r="A70" s="383"/>
      <c r="B70" s="390"/>
      <c r="C70" s="294"/>
      <c r="D70" s="393" t="s">
        <v>139</v>
      </c>
      <c r="E70" s="391" t="s">
        <v>138</v>
      </c>
      <c r="F70" s="388">
        <v>800000</v>
      </c>
      <c r="G70" s="291"/>
      <c r="H70" s="389">
        <f>SUM(I70,K70,M70,O70,Q70,S70)</f>
        <v>1</v>
      </c>
      <c r="I70" s="392">
        <v>0.2</v>
      </c>
      <c r="J70" s="392">
        <f>I70*$F70</f>
        <v>160000</v>
      </c>
      <c r="K70" s="392">
        <v>0.25</v>
      </c>
      <c r="L70" s="392">
        <f>K70*$F70</f>
        <v>200000</v>
      </c>
      <c r="M70" s="392">
        <v>0.25</v>
      </c>
      <c r="N70" s="392">
        <f>M70*$F70</f>
        <v>200000</v>
      </c>
      <c r="O70" s="392">
        <v>0.3</v>
      </c>
      <c r="P70" s="392">
        <f>O70*$F70</f>
        <v>240000</v>
      </c>
      <c r="Q70" s="392"/>
      <c r="R70" s="392">
        <f>Q70*$F70</f>
        <v>0</v>
      </c>
      <c r="S70" s="389"/>
      <c r="T70" s="389">
        <f>S70*$F70</f>
        <v>0</v>
      </c>
      <c r="U70" s="296"/>
      <c r="V70" s="386"/>
      <c r="W70" s="438"/>
      <c r="X70" s="258"/>
      <c r="Y70" s="223"/>
      <c r="Z70" s="223"/>
      <c r="AA70" s="223"/>
      <c r="AB70" s="223"/>
      <c r="AC70" s="223"/>
      <c r="AD70" s="223"/>
      <c r="AE70" s="223"/>
      <c r="AF70" s="223"/>
      <c r="AG70" s="223"/>
      <c r="AH70" s="223"/>
      <c r="AI70" s="223"/>
      <c r="AJ70" s="223"/>
      <c r="AK70" s="223"/>
      <c r="AL70" s="223"/>
      <c r="AM70" s="223"/>
      <c r="AN70" s="223"/>
      <c r="AO70" s="223"/>
      <c r="AP70" s="223"/>
      <c r="AQ70" s="223"/>
      <c r="AR70" s="223"/>
      <c r="AS70" s="223"/>
      <c r="AT70" s="223"/>
      <c r="AU70" s="223"/>
      <c r="AV70" s="223"/>
      <c r="AW70" s="223"/>
      <c r="AX70" s="223"/>
      <c r="AY70" s="223"/>
    </row>
    <row r="71" spans="1:51" s="252" customFormat="1" ht="38.25" x14ac:dyDescent="0.25">
      <c r="A71" s="383"/>
      <c r="B71" s="270"/>
      <c r="C71" s="394" t="s">
        <v>140</v>
      </c>
      <c r="D71" s="252" t="s">
        <v>141</v>
      </c>
      <c r="F71" s="351"/>
      <c r="G71" s="246"/>
      <c r="H71" s="247"/>
      <c r="I71" s="247"/>
      <c r="J71" s="276">
        <f>SUM(J72:J75)</f>
        <v>794700</v>
      </c>
      <c r="K71" s="247"/>
      <c r="L71" s="276">
        <f>SUM(L72:L75)</f>
        <v>1090100</v>
      </c>
      <c r="M71" s="247"/>
      <c r="N71" s="276">
        <f>SUM(N72:N75)</f>
        <v>0</v>
      </c>
      <c r="O71" s="247"/>
      <c r="P71" s="276">
        <f>SUM(P72:P75)</f>
        <v>0</v>
      </c>
      <c r="Q71" s="247"/>
      <c r="R71" s="276">
        <f>SUM(R72:R75)</f>
        <v>0</v>
      </c>
      <c r="S71" s="247"/>
      <c r="T71" s="276">
        <f>SUM(T72:T75)</f>
        <v>0</v>
      </c>
      <c r="U71" s="224"/>
      <c r="V71" s="249">
        <f>SUM(J71,L71,N71,P71,R71,T71)</f>
        <v>1884800</v>
      </c>
      <c r="W71" s="438"/>
      <c r="X71" s="258"/>
      <c r="Y71" s="395"/>
      <c r="Z71" s="223"/>
      <c r="AA71" s="223"/>
      <c r="AB71" s="223"/>
      <c r="AC71" s="223"/>
      <c r="AD71" s="223"/>
      <c r="AE71" s="223"/>
      <c r="AF71" s="223"/>
      <c r="AG71" s="223"/>
      <c r="AH71" s="223"/>
      <c r="AI71" s="223"/>
      <c r="AJ71" s="223"/>
      <c r="AK71" s="223"/>
      <c r="AL71" s="223"/>
      <c r="AM71" s="223"/>
      <c r="AN71" s="223"/>
      <c r="AO71" s="223"/>
      <c r="AP71" s="223"/>
      <c r="AQ71" s="223"/>
      <c r="AR71" s="223"/>
      <c r="AS71" s="223"/>
      <c r="AT71" s="223"/>
      <c r="AU71" s="223"/>
      <c r="AV71" s="223"/>
      <c r="AW71" s="223"/>
      <c r="AX71" s="223"/>
      <c r="AY71" s="223"/>
    </row>
    <row r="72" spans="1:51" s="311" customFormat="1" ht="12.75" x14ac:dyDescent="0.25">
      <c r="A72" s="396"/>
      <c r="B72" s="348"/>
      <c r="C72" s="397"/>
      <c r="D72" s="398" t="s">
        <v>142</v>
      </c>
      <c r="E72" s="399" t="s">
        <v>138</v>
      </c>
      <c r="F72" s="400">
        <v>220000</v>
      </c>
      <c r="G72" s="401" t="s">
        <v>143</v>
      </c>
      <c r="H72" s="389">
        <f>SUM(I72,K72,M72,O72,Q72,S72)</f>
        <v>5</v>
      </c>
      <c r="I72" s="401">
        <v>2</v>
      </c>
      <c r="J72" s="401">
        <f t="shared" si="16"/>
        <v>440000</v>
      </c>
      <c r="K72" s="401">
        <v>3</v>
      </c>
      <c r="L72" s="401">
        <f>K72*$F72</f>
        <v>660000</v>
      </c>
      <c r="M72" s="401"/>
      <c r="N72" s="401">
        <f>M72*$F72</f>
        <v>0</v>
      </c>
      <c r="O72" s="401"/>
      <c r="P72" s="401">
        <f>O72*$F72</f>
        <v>0</v>
      </c>
      <c r="Q72" s="401"/>
      <c r="R72" s="392">
        <f>Q72*$F72</f>
        <v>0</v>
      </c>
      <c r="S72" s="401"/>
      <c r="T72" s="389">
        <f>S72*$F72</f>
        <v>0</v>
      </c>
      <c r="U72" s="402"/>
      <c r="V72" s="249"/>
      <c r="W72" s="403"/>
      <c r="X72" s="341"/>
      <c r="Y72" s="223"/>
      <c r="Z72" s="223"/>
      <c r="AA72" s="223"/>
      <c r="AB72" s="223"/>
      <c r="AC72" s="223"/>
      <c r="AD72" s="223"/>
      <c r="AE72" s="223"/>
      <c r="AF72" s="223"/>
      <c r="AG72" s="223"/>
      <c r="AH72" s="223"/>
      <c r="AI72" s="223"/>
      <c r="AJ72" s="223"/>
      <c r="AK72" s="223"/>
      <c r="AL72" s="223"/>
      <c r="AM72" s="223"/>
      <c r="AN72" s="223"/>
      <c r="AO72" s="223"/>
      <c r="AP72" s="223"/>
      <c r="AQ72" s="223"/>
      <c r="AR72" s="223"/>
      <c r="AS72" s="223"/>
      <c r="AT72" s="223"/>
      <c r="AU72" s="223"/>
      <c r="AV72" s="223"/>
      <c r="AW72" s="223"/>
      <c r="AX72" s="223"/>
      <c r="AY72" s="223"/>
    </row>
    <row r="73" spans="1:51" s="311" customFormat="1" ht="12.75" x14ac:dyDescent="0.25">
      <c r="A73" s="396"/>
      <c r="B73" s="404"/>
      <c r="C73" s="423"/>
      <c r="D73" s="398" t="s">
        <v>144</v>
      </c>
      <c r="E73" s="405"/>
      <c r="F73" s="400"/>
      <c r="G73" s="401"/>
      <c r="H73" s="389"/>
      <c r="I73" s="401"/>
      <c r="J73" s="401"/>
      <c r="K73" s="401"/>
      <c r="L73" s="401"/>
      <c r="M73" s="401"/>
      <c r="N73" s="401"/>
      <c r="O73" s="401"/>
      <c r="P73" s="401"/>
      <c r="Q73" s="401"/>
      <c r="R73" s="392"/>
      <c r="S73" s="401"/>
      <c r="T73" s="389"/>
      <c r="U73" s="402"/>
      <c r="V73" s="249"/>
      <c r="W73" s="403"/>
      <c r="X73" s="341"/>
      <c r="Y73" s="223"/>
      <c r="Z73" s="223"/>
      <c r="AA73" s="223"/>
      <c r="AB73" s="223"/>
      <c r="AC73" s="223"/>
      <c r="AD73" s="223"/>
      <c r="AE73" s="223"/>
      <c r="AF73" s="223"/>
      <c r="AG73" s="223"/>
      <c r="AH73" s="223"/>
      <c r="AI73" s="223"/>
      <c r="AJ73" s="223"/>
      <c r="AK73" s="223"/>
      <c r="AL73" s="223"/>
      <c r="AM73" s="223"/>
      <c r="AN73" s="223"/>
      <c r="AO73" s="223"/>
      <c r="AP73" s="223"/>
      <c r="AQ73" s="223"/>
      <c r="AR73" s="223"/>
      <c r="AS73" s="223"/>
      <c r="AT73" s="223"/>
      <c r="AU73" s="223"/>
      <c r="AV73" s="223"/>
      <c r="AW73" s="223"/>
      <c r="AX73" s="223"/>
      <c r="AY73" s="223"/>
    </row>
    <row r="74" spans="1:51" s="311" customFormat="1" ht="25.5" x14ac:dyDescent="0.25">
      <c r="A74" s="396"/>
      <c r="B74" s="404"/>
      <c r="C74" s="423"/>
      <c r="D74" s="406" t="s">
        <v>145</v>
      </c>
      <c r="E74" s="399" t="s">
        <v>138</v>
      </c>
      <c r="F74" s="400">
        <v>1100</v>
      </c>
      <c r="G74" s="401" t="s">
        <v>146</v>
      </c>
      <c r="H74" s="389">
        <f>SUM(I74,K74,M74,O74,Q74,S74)</f>
        <v>144</v>
      </c>
      <c r="I74" s="401">
        <v>77</v>
      </c>
      <c r="J74" s="401">
        <f>I74*$F74</f>
        <v>84700</v>
      </c>
      <c r="K74" s="401">
        <v>67</v>
      </c>
      <c r="L74" s="401">
        <f>K74*$F74</f>
        <v>73700</v>
      </c>
      <c r="M74" s="401"/>
      <c r="N74" s="401">
        <f>M74*$F74</f>
        <v>0</v>
      </c>
      <c r="O74" s="401"/>
      <c r="P74" s="401">
        <f>O74*$F74</f>
        <v>0</v>
      </c>
      <c r="Q74" s="401"/>
      <c r="R74" s="392">
        <f>Q74*$F74</f>
        <v>0</v>
      </c>
      <c r="S74" s="401"/>
      <c r="T74" s="389">
        <f>S74*$F74</f>
        <v>0</v>
      </c>
      <c r="U74" s="402"/>
      <c r="V74" s="249"/>
      <c r="W74" s="403"/>
      <c r="X74" s="341"/>
      <c r="Y74" s="223"/>
      <c r="Z74" s="223"/>
      <c r="AA74" s="223"/>
      <c r="AB74" s="223"/>
      <c r="AC74" s="223"/>
      <c r="AD74" s="223"/>
      <c r="AE74" s="223"/>
      <c r="AF74" s="223"/>
      <c r="AG74" s="223"/>
      <c r="AH74" s="223"/>
      <c r="AI74" s="223"/>
      <c r="AJ74" s="223"/>
      <c r="AK74" s="223"/>
      <c r="AL74" s="223"/>
      <c r="AM74" s="223"/>
      <c r="AN74" s="223"/>
      <c r="AO74" s="223"/>
      <c r="AP74" s="223"/>
      <c r="AQ74" s="223"/>
      <c r="AR74" s="223"/>
      <c r="AS74" s="223"/>
      <c r="AT74" s="223"/>
      <c r="AU74" s="223"/>
      <c r="AV74" s="223"/>
      <c r="AW74" s="223"/>
      <c r="AX74" s="223"/>
      <c r="AY74" s="223"/>
    </row>
    <row r="75" spans="1:51" s="311" customFormat="1" ht="25.5" x14ac:dyDescent="0.25">
      <c r="A75" s="396"/>
      <c r="B75" s="404"/>
      <c r="C75" s="423"/>
      <c r="D75" s="406" t="s">
        <v>147</v>
      </c>
      <c r="E75" s="399" t="s">
        <v>138</v>
      </c>
      <c r="F75" s="400">
        <v>900</v>
      </c>
      <c r="G75" s="401" t="s">
        <v>146</v>
      </c>
      <c r="H75" s="389">
        <f>SUM(I75,K75,M75,O75,Q75,S75)</f>
        <v>696</v>
      </c>
      <c r="I75" s="401">
        <v>300</v>
      </c>
      <c r="J75" s="401">
        <f>I75*$F75</f>
        <v>270000</v>
      </c>
      <c r="K75" s="401">
        <v>396</v>
      </c>
      <c r="L75" s="401">
        <f>K75*$F75</f>
        <v>356400</v>
      </c>
      <c r="M75" s="401"/>
      <c r="N75" s="401">
        <f>M75*$F75</f>
        <v>0</v>
      </c>
      <c r="O75" s="401"/>
      <c r="P75" s="401">
        <f>O75*$F75</f>
        <v>0</v>
      </c>
      <c r="Q75" s="401"/>
      <c r="R75" s="392">
        <f>Q75*$F75</f>
        <v>0</v>
      </c>
      <c r="S75" s="401"/>
      <c r="T75" s="389">
        <f>S75*$F75</f>
        <v>0</v>
      </c>
      <c r="U75" s="402"/>
      <c r="V75" s="249"/>
      <c r="W75" s="403"/>
      <c r="X75" s="341"/>
      <c r="Y75" s="223"/>
      <c r="Z75" s="223"/>
      <c r="AA75" s="223"/>
      <c r="AB75" s="223"/>
      <c r="AC75" s="223"/>
      <c r="AD75" s="223"/>
      <c r="AE75" s="223"/>
      <c r="AF75" s="223"/>
      <c r="AG75" s="223"/>
      <c r="AH75" s="223"/>
      <c r="AI75" s="223"/>
      <c r="AJ75" s="223"/>
      <c r="AK75" s="223"/>
      <c r="AL75" s="223"/>
      <c r="AM75" s="223"/>
      <c r="AN75" s="223"/>
      <c r="AO75" s="223"/>
      <c r="AP75" s="223"/>
      <c r="AQ75" s="223"/>
      <c r="AR75" s="223"/>
      <c r="AS75" s="223"/>
      <c r="AT75" s="223"/>
      <c r="AU75" s="223"/>
      <c r="AV75" s="223"/>
      <c r="AW75" s="223"/>
      <c r="AX75" s="223"/>
      <c r="AY75" s="223"/>
    </row>
    <row r="76" spans="1:51" s="311" customFormat="1" ht="48" x14ac:dyDescent="0.25">
      <c r="A76" s="396"/>
      <c r="B76" s="404"/>
      <c r="C76" s="407" t="s">
        <v>148</v>
      </c>
      <c r="D76" s="398" t="s">
        <v>149</v>
      </c>
      <c r="E76" s="405" t="s">
        <v>150</v>
      </c>
      <c r="F76" s="345">
        <f>SUM(J74:J75,L74:L75,N74:N75,P74:P75,R74:R75,T74:T75)*0.1</f>
        <v>78480</v>
      </c>
      <c r="G76" s="346" t="s">
        <v>151</v>
      </c>
      <c r="H76" s="247">
        <f>SUM(I76,K76,M76,O76,Q76,S76)</f>
        <v>1</v>
      </c>
      <c r="I76" s="346">
        <f>I75/$H75</f>
        <v>0.43103448275862066</v>
      </c>
      <c r="J76" s="346">
        <f>I76*$F76</f>
        <v>33827.586206896551</v>
      </c>
      <c r="K76" s="346">
        <f>K75/$H75</f>
        <v>0.56896551724137934</v>
      </c>
      <c r="L76" s="346">
        <f>K76*$F76</f>
        <v>44652.413793103449</v>
      </c>
      <c r="M76" s="346">
        <f>M75/$H75</f>
        <v>0</v>
      </c>
      <c r="N76" s="346">
        <f>M76*$F76</f>
        <v>0</v>
      </c>
      <c r="O76" s="346">
        <f>O75/$H75</f>
        <v>0</v>
      </c>
      <c r="P76" s="346">
        <f>O76*$F76</f>
        <v>0</v>
      </c>
      <c r="Q76" s="346">
        <f>Q75/$H75</f>
        <v>0</v>
      </c>
      <c r="R76" s="246">
        <f>Q76*$F76</f>
        <v>0</v>
      </c>
      <c r="S76" s="346">
        <f>S75/$H75</f>
        <v>0</v>
      </c>
      <c r="T76" s="247">
        <f>S76*$F76</f>
        <v>0</v>
      </c>
      <c r="U76" s="224"/>
      <c r="V76" s="249">
        <f>SUM(J76,L76,N76,P76,R76,T76)</f>
        <v>78480</v>
      </c>
      <c r="W76" s="408"/>
      <c r="X76" s="341"/>
      <c r="Y76" s="223"/>
      <c r="Z76" s="223"/>
      <c r="AA76" s="223"/>
      <c r="AB76" s="223"/>
      <c r="AC76" s="223"/>
      <c r="AD76" s="223"/>
      <c r="AE76" s="223"/>
      <c r="AF76" s="223"/>
      <c r="AG76" s="223"/>
      <c r="AH76" s="223"/>
      <c r="AI76" s="223"/>
      <c r="AJ76" s="223"/>
      <c r="AK76" s="223"/>
      <c r="AL76" s="223"/>
      <c r="AM76" s="223"/>
      <c r="AN76" s="223"/>
      <c r="AO76" s="223"/>
      <c r="AP76" s="223"/>
      <c r="AQ76" s="223"/>
      <c r="AR76" s="223"/>
      <c r="AS76" s="223"/>
      <c r="AT76" s="223"/>
      <c r="AU76" s="223"/>
      <c r="AV76" s="223"/>
      <c r="AW76" s="223"/>
      <c r="AX76" s="223"/>
      <c r="AY76" s="223"/>
    </row>
    <row r="77" spans="1:51" s="311" customFormat="1" ht="25.5" x14ac:dyDescent="0.25">
      <c r="A77" s="396"/>
      <c r="B77" s="404"/>
      <c r="C77" s="394" t="s">
        <v>152</v>
      </c>
      <c r="D77" s="398" t="s">
        <v>153</v>
      </c>
      <c r="E77" s="405"/>
      <c r="F77" s="345"/>
      <c r="G77" s="346"/>
      <c r="H77" s="247"/>
      <c r="I77" s="346"/>
      <c r="J77" s="409">
        <f>SUM(J78:J79)</f>
        <v>31820</v>
      </c>
      <c r="K77" s="346"/>
      <c r="L77" s="346">
        <f>SUM(L78:L79)</f>
        <v>0</v>
      </c>
      <c r="M77" s="346"/>
      <c r="N77" s="346">
        <f>SUM(N78:N79)</f>
        <v>0</v>
      </c>
      <c r="O77" s="346"/>
      <c r="P77" s="346">
        <f>SUM(P78:P79)</f>
        <v>0</v>
      </c>
      <c r="Q77" s="346"/>
      <c r="R77" s="346">
        <f>SUM(R78:R79)</f>
        <v>0</v>
      </c>
      <c r="S77" s="346"/>
      <c r="T77" s="346">
        <f>SUM(T78:T79)</f>
        <v>0</v>
      </c>
      <c r="U77" s="224"/>
      <c r="V77" s="249">
        <f>SUM(J77,L77,N77,P77,R77,T77)</f>
        <v>31820</v>
      </c>
      <c r="W77" s="403"/>
      <c r="X77" s="341"/>
      <c r="Y77" s="223"/>
      <c r="Z77" s="223"/>
      <c r="AA77" s="223"/>
      <c r="AB77" s="223"/>
      <c r="AC77" s="223"/>
      <c r="AD77" s="223"/>
      <c r="AE77" s="223"/>
      <c r="AF77" s="223"/>
      <c r="AG77" s="223"/>
      <c r="AH77" s="223"/>
      <c r="AI77" s="223"/>
      <c r="AJ77" s="223"/>
      <c r="AK77" s="223"/>
      <c r="AL77" s="223"/>
      <c r="AM77" s="223"/>
      <c r="AN77" s="223"/>
      <c r="AO77" s="223"/>
      <c r="AP77" s="223"/>
      <c r="AQ77" s="223"/>
      <c r="AR77" s="223"/>
      <c r="AS77" s="223"/>
      <c r="AT77" s="223"/>
      <c r="AU77" s="223"/>
      <c r="AV77" s="223"/>
      <c r="AW77" s="223"/>
      <c r="AX77" s="223"/>
      <c r="AY77" s="223"/>
    </row>
    <row r="78" spans="1:51" s="311" customFormat="1" ht="12.75" x14ac:dyDescent="0.25">
      <c r="A78" s="396"/>
      <c r="B78" s="404"/>
      <c r="C78" s="423"/>
      <c r="D78" s="410" t="s">
        <v>154</v>
      </c>
      <c r="E78" s="405" t="s">
        <v>138</v>
      </c>
      <c r="F78" s="400">
        <v>250</v>
      </c>
      <c r="G78" s="401"/>
      <c r="H78" s="389">
        <f>SUM(I78,K78,M78,O78,Q78,S78)</f>
        <v>110</v>
      </c>
      <c r="I78" s="401">
        <v>110</v>
      </c>
      <c r="J78" s="401">
        <f>I78*$F78</f>
        <v>27500</v>
      </c>
      <c r="K78" s="401"/>
      <c r="L78" s="401">
        <f>K78*$F78</f>
        <v>0</v>
      </c>
      <c r="M78" s="401"/>
      <c r="N78" s="401">
        <f>M78*$F78</f>
        <v>0</v>
      </c>
      <c r="O78" s="401"/>
      <c r="P78" s="401">
        <f>O78*$F78</f>
        <v>0</v>
      </c>
      <c r="Q78" s="401"/>
      <c r="R78" s="392">
        <f>Q78*$F78</f>
        <v>0</v>
      </c>
      <c r="S78" s="401"/>
      <c r="T78" s="389">
        <f>S78*$F78</f>
        <v>0</v>
      </c>
      <c r="U78" s="224"/>
      <c r="V78" s="249"/>
      <c r="W78" s="403"/>
      <c r="X78" s="341"/>
      <c r="Y78" s="223"/>
      <c r="Z78" s="223"/>
      <c r="AA78" s="223"/>
      <c r="AB78" s="223"/>
      <c r="AC78" s="223"/>
      <c r="AD78" s="223"/>
      <c r="AE78" s="223"/>
      <c r="AF78" s="223"/>
      <c r="AG78" s="223"/>
      <c r="AH78" s="223"/>
      <c r="AI78" s="223"/>
      <c r="AJ78" s="223"/>
      <c r="AK78" s="223"/>
      <c r="AL78" s="223"/>
      <c r="AM78" s="223"/>
      <c r="AN78" s="223"/>
      <c r="AO78" s="223"/>
      <c r="AP78" s="223"/>
      <c r="AQ78" s="223"/>
      <c r="AR78" s="223"/>
      <c r="AS78" s="223"/>
      <c r="AT78" s="223"/>
      <c r="AU78" s="223"/>
      <c r="AV78" s="223"/>
      <c r="AW78" s="223"/>
      <c r="AX78" s="223"/>
      <c r="AY78" s="223"/>
    </row>
    <row r="79" spans="1:51" s="311" customFormat="1" ht="12.75" x14ac:dyDescent="0.25">
      <c r="A79" s="396"/>
      <c r="B79" s="404"/>
      <c r="C79" s="423"/>
      <c r="D79" s="406" t="s">
        <v>155</v>
      </c>
      <c r="E79" s="405" t="s">
        <v>138</v>
      </c>
      <c r="F79" s="400">
        <v>12</v>
      </c>
      <c r="G79" s="401"/>
      <c r="H79" s="389">
        <f>SUM(I79,K79,M79,O79,Q79,S79)</f>
        <v>360</v>
      </c>
      <c r="I79" s="401">
        <v>360</v>
      </c>
      <c r="J79" s="401">
        <f>I79*$F79</f>
        <v>4320</v>
      </c>
      <c r="K79" s="401"/>
      <c r="L79" s="401">
        <f>K79*$F79</f>
        <v>0</v>
      </c>
      <c r="M79" s="401"/>
      <c r="N79" s="401">
        <f>M79*$F79</f>
        <v>0</v>
      </c>
      <c r="O79" s="401"/>
      <c r="P79" s="401">
        <f>O79*$F79</f>
        <v>0</v>
      </c>
      <c r="Q79" s="401"/>
      <c r="R79" s="392">
        <f>Q79*$F79</f>
        <v>0</v>
      </c>
      <c r="S79" s="401"/>
      <c r="T79" s="389">
        <f>S79*$F79</f>
        <v>0</v>
      </c>
      <c r="U79" s="224"/>
      <c r="V79" s="249"/>
      <c r="W79" s="403"/>
      <c r="X79" s="341"/>
      <c r="Y79" s="223"/>
      <c r="Z79" s="223"/>
      <c r="AA79" s="223"/>
      <c r="AB79" s="223"/>
      <c r="AC79" s="223"/>
      <c r="AD79" s="223"/>
      <c r="AE79" s="223"/>
      <c r="AF79" s="223"/>
      <c r="AG79" s="223"/>
      <c r="AH79" s="223"/>
      <c r="AI79" s="223"/>
      <c r="AJ79" s="223"/>
      <c r="AK79" s="223"/>
      <c r="AL79" s="223"/>
      <c r="AM79" s="223"/>
      <c r="AN79" s="223"/>
      <c r="AO79" s="223"/>
      <c r="AP79" s="223"/>
      <c r="AQ79" s="223"/>
      <c r="AR79" s="223"/>
      <c r="AS79" s="223"/>
      <c r="AT79" s="223"/>
      <c r="AU79" s="223"/>
      <c r="AV79" s="223"/>
      <c r="AW79" s="223"/>
      <c r="AX79" s="223"/>
      <c r="AY79" s="223"/>
    </row>
    <row r="80" spans="1:51" s="311" customFormat="1" ht="48" x14ac:dyDescent="0.25">
      <c r="A80" s="396"/>
      <c r="B80" s="404"/>
      <c r="C80" s="411" t="s">
        <v>156</v>
      </c>
      <c r="D80" s="394" t="s">
        <v>157</v>
      </c>
      <c r="E80" s="405" t="s">
        <v>150</v>
      </c>
      <c r="F80" s="345">
        <v>200</v>
      </c>
      <c r="G80" s="346" t="s">
        <v>158</v>
      </c>
      <c r="H80" s="247">
        <f>SUM(I80,K80,M80,O80,Q80,S80)</f>
        <v>480</v>
      </c>
      <c r="I80" s="346">
        <f>8*12</f>
        <v>96</v>
      </c>
      <c r="J80" s="346">
        <f>I80*$F80</f>
        <v>19200</v>
      </c>
      <c r="K80" s="346">
        <f>I80</f>
        <v>96</v>
      </c>
      <c r="L80" s="346">
        <f>K80*$F80</f>
        <v>19200</v>
      </c>
      <c r="M80" s="346">
        <f>K80</f>
        <v>96</v>
      </c>
      <c r="N80" s="346">
        <f>M80*$F80</f>
        <v>19200</v>
      </c>
      <c r="O80" s="346">
        <f>M80</f>
        <v>96</v>
      </c>
      <c r="P80" s="346">
        <f>O80*$F80</f>
        <v>19200</v>
      </c>
      <c r="Q80" s="346">
        <f>O80</f>
        <v>96</v>
      </c>
      <c r="R80" s="246">
        <f>Q80*$F80</f>
        <v>19200</v>
      </c>
      <c r="S80" s="346"/>
      <c r="T80" s="247">
        <f>S80*$F80</f>
        <v>0</v>
      </c>
      <c r="U80" s="224"/>
      <c r="V80" s="249">
        <f>SUM(J80,L80,N80,P80,R80,T80)</f>
        <v>96000</v>
      </c>
      <c r="W80" s="403"/>
      <c r="X80" s="341"/>
      <c r="Y80" s="223"/>
      <c r="Z80" s="223"/>
      <c r="AA80" s="223"/>
      <c r="AB80" s="223"/>
      <c r="AC80" s="223"/>
      <c r="AD80" s="223"/>
      <c r="AE80" s="223"/>
      <c r="AF80" s="223"/>
      <c r="AG80" s="223"/>
      <c r="AH80" s="223"/>
      <c r="AI80" s="223"/>
      <c r="AJ80" s="223"/>
      <c r="AK80" s="223"/>
      <c r="AL80" s="223"/>
      <c r="AM80" s="223"/>
      <c r="AN80" s="223"/>
      <c r="AO80" s="223"/>
      <c r="AP80" s="223"/>
      <c r="AQ80" s="223"/>
      <c r="AR80" s="223"/>
      <c r="AS80" s="223"/>
      <c r="AT80" s="223"/>
      <c r="AU80" s="223"/>
      <c r="AV80" s="223"/>
      <c r="AW80" s="223"/>
      <c r="AX80" s="223"/>
      <c r="AY80" s="223"/>
    </row>
    <row r="81" spans="1:51" s="311" customFormat="1" ht="25.5" x14ac:dyDescent="0.25">
      <c r="A81" s="348"/>
      <c r="B81" s="404"/>
      <c r="C81" s="423"/>
      <c r="D81" s="406"/>
      <c r="E81" s="412"/>
      <c r="F81" s="345">
        <v>100</v>
      </c>
      <c r="G81" s="346" t="s">
        <v>158</v>
      </c>
      <c r="H81" s="247"/>
      <c r="I81" s="346"/>
      <c r="J81" s="346"/>
      <c r="K81" s="346"/>
      <c r="L81" s="346"/>
      <c r="M81" s="346"/>
      <c r="N81" s="346"/>
      <c r="O81" s="346"/>
      <c r="P81" s="346"/>
      <c r="Q81" s="346"/>
      <c r="R81" s="246"/>
      <c r="S81" s="346"/>
      <c r="T81" s="247">
        <f>S81*$F81</f>
        <v>0</v>
      </c>
      <c r="U81" s="224"/>
      <c r="V81" s="249"/>
      <c r="W81" s="403"/>
      <c r="X81" s="341"/>
      <c r="Y81" s="223"/>
      <c r="Z81" s="223"/>
      <c r="AA81" s="223"/>
      <c r="AB81" s="223"/>
      <c r="AC81" s="223"/>
      <c r="AD81" s="223"/>
      <c r="AE81" s="223"/>
      <c r="AF81" s="223"/>
      <c r="AG81" s="223"/>
      <c r="AH81" s="223"/>
      <c r="AI81" s="223"/>
      <c r="AJ81" s="223"/>
      <c r="AK81" s="223"/>
      <c r="AL81" s="223"/>
      <c r="AM81" s="223"/>
      <c r="AN81" s="223"/>
      <c r="AO81" s="223"/>
      <c r="AP81" s="223"/>
      <c r="AQ81" s="223"/>
      <c r="AR81" s="223"/>
      <c r="AS81" s="223"/>
      <c r="AT81" s="223"/>
      <c r="AU81" s="223"/>
      <c r="AV81" s="223"/>
      <c r="AW81" s="223"/>
      <c r="AX81" s="223"/>
      <c r="AY81" s="223"/>
    </row>
    <row r="83" spans="1:51" s="225" customFormat="1" ht="23.25" x14ac:dyDescent="0.25">
      <c r="A83" s="233" t="s">
        <v>159</v>
      </c>
      <c r="B83" s="234"/>
      <c r="C83" s="234"/>
      <c r="D83" s="235"/>
      <c r="E83" s="236"/>
      <c r="F83" s="238"/>
      <c r="G83" s="237"/>
      <c r="H83" s="238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24"/>
      <c r="V83" s="239"/>
      <c r="W83" s="240"/>
      <c r="X83" s="241"/>
      <c r="Y83" s="223"/>
      <c r="Z83" s="223"/>
      <c r="AA83" s="223"/>
      <c r="AB83" s="223"/>
      <c r="AC83" s="223"/>
      <c r="AD83" s="223"/>
      <c r="AE83" s="223"/>
      <c r="AF83" s="223"/>
      <c r="AG83" s="223"/>
      <c r="AH83" s="223"/>
      <c r="AI83" s="223"/>
      <c r="AJ83" s="223"/>
      <c r="AK83" s="223"/>
      <c r="AL83" s="223"/>
      <c r="AM83" s="223"/>
      <c r="AN83" s="223"/>
      <c r="AO83" s="223"/>
      <c r="AP83" s="223"/>
      <c r="AQ83" s="223"/>
      <c r="AR83" s="223"/>
      <c r="AS83" s="223"/>
      <c r="AT83" s="223"/>
      <c r="AU83" s="223"/>
      <c r="AV83" s="223"/>
      <c r="AW83" s="223"/>
      <c r="AX83" s="223"/>
      <c r="AY83" s="223"/>
    </row>
    <row r="84" spans="1:51" s="311" customFormat="1" ht="20.25" x14ac:dyDescent="0.25">
      <c r="B84" s="469" t="s">
        <v>160</v>
      </c>
      <c r="C84" s="470"/>
      <c r="E84" s="413"/>
      <c r="F84" s="414"/>
      <c r="J84" s="414"/>
      <c r="U84" s="224"/>
      <c r="V84" s="249">
        <f t="shared" ref="V84:V101" si="17">SUM(J84,L84,N84,P84,R84,T84)</f>
        <v>0</v>
      </c>
      <c r="W84" s="415">
        <f>SUM(V84:V95)</f>
        <v>2060000</v>
      </c>
      <c r="X84" s="416">
        <f>SUM(W84:W98)</f>
        <v>3800000</v>
      </c>
      <c r="Y84" s="223"/>
      <c r="Z84" s="223"/>
      <c r="AA84" s="223"/>
      <c r="AB84" s="223"/>
      <c r="AC84" s="223"/>
      <c r="AD84" s="223"/>
      <c r="AE84" s="223"/>
      <c r="AF84" s="223"/>
      <c r="AG84" s="223"/>
      <c r="AH84" s="223"/>
      <c r="AI84" s="223"/>
      <c r="AJ84" s="223"/>
      <c r="AK84" s="223"/>
      <c r="AL84" s="223"/>
      <c r="AM84" s="223"/>
      <c r="AN84" s="223"/>
      <c r="AO84" s="223"/>
      <c r="AP84" s="223"/>
      <c r="AQ84" s="223"/>
      <c r="AR84" s="223"/>
      <c r="AS84" s="223"/>
      <c r="AT84" s="223"/>
      <c r="AU84" s="223"/>
      <c r="AV84" s="223"/>
      <c r="AW84" s="223"/>
      <c r="AX84" s="223"/>
      <c r="AY84" s="223"/>
    </row>
    <row r="85" spans="1:51" s="311" customFormat="1" ht="25.5" x14ac:dyDescent="0.25">
      <c r="A85" s="417"/>
      <c r="C85" s="418" t="s">
        <v>161</v>
      </c>
      <c r="D85" s="311" t="s">
        <v>162</v>
      </c>
      <c r="E85" s="264" t="s">
        <v>163</v>
      </c>
      <c r="F85" s="312">
        <v>4405</v>
      </c>
      <c r="G85" s="311" t="s">
        <v>164</v>
      </c>
      <c r="H85" s="248">
        <f>SUM(I85,K85,M85,O85,Q85,S85)</f>
        <v>60</v>
      </c>
      <c r="I85" s="314">
        <v>12</v>
      </c>
      <c r="J85" s="314">
        <f>I85*$F85</f>
        <v>52860</v>
      </c>
      <c r="K85" s="314">
        <v>12</v>
      </c>
      <c r="L85" s="314">
        <f>K85*$F85</f>
        <v>52860</v>
      </c>
      <c r="M85" s="314">
        <v>12</v>
      </c>
      <c r="N85" s="314">
        <f>M85*$F85</f>
        <v>52860</v>
      </c>
      <c r="O85" s="314">
        <v>12</v>
      </c>
      <c r="P85" s="314">
        <f>O85*$F85</f>
        <v>52860</v>
      </c>
      <c r="Q85" s="314">
        <v>12</v>
      </c>
      <c r="R85" s="248">
        <f>Q85*$F85</f>
        <v>52860</v>
      </c>
      <c r="S85" s="314"/>
      <c r="T85" s="248">
        <f>S85*$F85</f>
        <v>0</v>
      </c>
      <c r="U85" s="315"/>
      <c r="V85" s="249">
        <f t="shared" si="17"/>
        <v>264300</v>
      </c>
      <c r="W85" s="419"/>
      <c r="X85" s="420"/>
      <c r="Y85" s="421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P85" s="223"/>
      <c r="AQ85" s="223"/>
      <c r="AR85" s="223"/>
      <c r="AS85" s="223"/>
      <c r="AT85" s="223"/>
      <c r="AU85" s="223"/>
      <c r="AV85" s="223"/>
      <c r="AW85" s="223"/>
      <c r="AX85" s="223"/>
      <c r="AY85" s="223"/>
    </row>
    <row r="86" spans="1:51" s="311" customFormat="1" ht="25.5" x14ac:dyDescent="0.25">
      <c r="A86" s="417"/>
      <c r="B86" s="310"/>
      <c r="C86" s="418"/>
      <c r="D86" s="311" t="s">
        <v>165</v>
      </c>
      <c r="E86" s="264" t="s">
        <v>163</v>
      </c>
      <c r="F86" s="312">
        <v>3800</v>
      </c>
      <c r="G86" s="311" t="s">
        <v>164</v>
      </c>
      <c r="H86" s="248">
        <f t="shared" ref="H86:H93" si="18">SUM(I86,K86,M86,O86,Q86,S86)</f>
        <v>60</v>
      </c>
      <c r="I86" s="314">
        <v>12</v>
      </c>
      <c r="J86" s="314">
        <f t="shared" ref="J86:J93" si="19">I86*$F86</f>
        <v>45600</v>
      </c>
      <c r="K86" s="314">
        <v>12</v>
      </c>
      <c r="L86" s="314">
        <f t="shared" ref="L86:L93" si="20">K86*$F86</f>
        <v>45600</v>
      </c>
      <c r="M86" s="314">
        <v>12</v>
      </c>
      <c r="N86" s="314">
        <f t="shared" ref="N86:N93" si="21">M86*$F86</f>
        <v>45600</v>
      </c>
      <c r="O86" s="314">
        <v>12</v>
      </c>
      <c r="P86" s="314">
        <f t="shared" ref="P86:P93" si="22">O86*$F86</f>
        <v>45600</v>
      </c>
      <c r="Q86" s="314">
        <v>12</v>
      </c>
      <c r="R86" s="248">
        <f t="shared" ref="R86:R93" si="23">Q86*$F86</f>
        <v>45600</v>
      </c>
      <c r="S86" s="314"/>
      <c r="T86" s="248">
        <f t="shared" ref="T86:T93" si="24">S86*$F86</f>
        <v>0</v>
      </c>
      <c r="U86" s="315"/>
      <c r="V86" s="249">
        <f t="shared" si="17"/>
        <v>228000</v>
      </c>
      <c r="W86" s="419"/>
      <c r="X86" s="420"/>
      <c r="Y86" s="223"/>
      <c r="Z86" s="223"/>
      <c r="AA86" s="223"/>
      <c r="AB86" s="223"/>
      <c r="AC86" s="223"/>
      <c r="AD86" s="223"/>
      <c r="AE86" s="223"/>
      <c r="AF86" s="223"/>
      <c r="AG86" s="223"/>
      <c r="AH86" s="223"/>
      <c r="AI86" s="223"/>
      <c r="AJ86" s="223"/>
      <c r="AK86" s="223"/>
      <c r="AL86" s="223"/>
      <c r="AM86" s="223"/>
      <c r="AN86" s="223"/>
      <c r="AO86" s="223"/>
      <c r="AP86" s="223"/>
      <c r="AQ86" s="223"/>
      <c r="AR86" s="223"/>
      <c r="AS86" s="223"/>
      <c r="AT86" s="223"/>
      <c r="AU86" s="223"/>
      <c r="AV86" s="223"/>
      <c r="AW86" s="223"/>
      <c r="AX86" s="223"/>
      <c r="AY86" s="223"/>
    </row>
    <row r="87" spans="1:51" s="311" customFormat="1" ht="25.5" x14ac:dyDescent="0.25">
      <c r="A87" s="417"/>
      <c r="B87" s="310"/>
      <c r="C87" s="418"/>
      <c r="D87" s="311" t="s">
        <v>166</v>
      </c>
      <c r="E87" s="264" t="s">
        <v>163</v>
      </c>
      <c r="F87" s="312">
        <v>3000</v>
      </c>
      <c r="G87" s="311" t="s">
        <v>164</v>
      </c>
      <c r="H87" s="248">
        <f>SUM(I87,K87,M87,O87,Q87,S87)</f>
        <v>48</v>
      </c>
      <c r="I87" s="314">
        <v>12</v>
      </c>
      <c r="J87" s="314">
        <f>I87*$F87</f>
        <v>36000</v>
      </c>
      <c r="K87" s="314">
        <v>12</v>
      </c>
      <c r="L87" s="314">
        <f t="shared" si="20"/>
        <v>36000</v>
      </c>
      <c r="M87" s="314">
        <v>12</v>
      </c>
      <c r="N87" s="314">
        <f>M87*$F87</f>
        <v>36000</v>
      </c>
      <c r="O87" s="314">
        <v>12</v>
      </c>
      <c r="P87" s="314">
        <f>O87*$F87</f>
        <v>36000</v>
      </c>
      <c r="Q87" s="314"/>
      <c r="R87" s="248">
        <f>Q87*$F87</f>
        <v>0</v>
      </c>
      <c r="S87" s="314"/>
      <c r="T87" s="248">
        <f>S87*$F87</f>
        <v>0</v>
      </c>
      <c r="U87" s="315"/>
      <c r="V87" s="249">
        <f t="shared" si="17"/>
        <v>144000</v>
      </c>
      <c r="W87" s="419"/>
      <c r="X87" s="420"/>
      <c r="Y87" s="223"/>
      <c r="Z87" s="223"/>
      <c r="AA87" s="223"/>
      <c r="AB87" s="223"/>
      <c r="AC87" s="223"/>
      <c r="AD87" s="223"/>
      <c r="AE87" s="223"/>
      <c r="AF87" s="223"/>
      <c r="AG87" s="223"/>
      <c r="AH87" s="223"/>
      <c r="AI87" s="223"/>
      <c r="AJ87" s="223"/>
      <c r="AK87" s="223"/>
      <c r="AL87" s="223"/>
      <c r="AM87" s="223"/>
      <c r="AN87" s="223"/>
      <c r="AO87" s="223"/>
      <c r="AP87" s="223"/>
      <c r="AQ87" s="223"/>
      <c r="AR87" s="223"/>
      <c r="AS87" s="223"/>
      <c r="AT87" s="223"/>
      <c r="AU87" s="223"/>
      <c r="AV87" s="223"/>
      <c r="AW87" s="223"/>
      <c r="AX87" s="223"/>
      <c r="AY87" s="223"/>
    </row>
    <row r="88" spans="1:51" s="311" customFormat="1" ht="25.5" x14ac:dyDescent="0.25">
      <c r="A88" s="417"/>
      <c r="B88" s="310"/>
      <c r="C88" s="418"/>
      <c r="D88" s="311" t="s">
        <v>167</v>
      </c>
      <c r="E88" s="264" t="s">
        <v>163</v>
      </c>
      <c r="F88" s="312">
        <v>3800</v>
      </c>
      <c r="G88" s="311" t="s">
        <v>164</v>
      </c>
      <c r="H88" s="248">
        <f t="shared" si="18"/>
        <v>60</v>
      </c>
      <c r="I88" s="314">
        <v>12</v>
      </c>
      <c r="J88" s="314">
        <f t="shared" si="19"/>
        <v>45600</v>
      </c>
      <c r="K88" s="314">
        <v>12</v>
      </c>
      <c r="L88" s="314">
        <f t="shared" si="20"/>
        <v>45600</v>
      </c>
      <c r="M88" s="314">
        <v>12</v>
      </c>
      <c r="N88" s="314">
        <f t="shared" si="21"/>
        <v>45600</v>
      </c>
      <c r="O88" s="314">
        <v>12</v>
      </c>
      <c r="P88" s="314">
        <f t="shared" si="22"/>
        <v>45600</v>
      </c>
      <c r="Q88" s="314">
        <v>12</v>
      </c>
      <c r="R88" s="248">
        <f t="shared" si="23"/>
        <v>45600</v>
      </c>
      <c r="S88" s="314"/>
      <c r="T88" s="248">
        <f t="shared" si="24"/>
        <v>0</v>
      </c>
      <c r="U88" s="315"/>
      <c r="V88" s="249">
        <f t="shared" si="17"/>
        <v>228000</v>
      </c>
      <c r="W88" s="419"/>
      <c r="X88" s="420"/>
      <c r="Y88" s="223"/>
      <c r="Z88" s="223"/>
      <c r="AA88" s="223"/>
      <c r="AB88" s="223"/>
      <c r="AC88" s="223"/>
      <c r="AD88" s="223"/>
      <c r="AE88" s="223"/>
      <c r="AF88" s="223"/>
      <c r="AG88" s="223"/>
      <c r="AH88" s="223"/>
      <c r="AI88" s="223"/>
      <c r="AJ88" s="223"/>
      <c r="AK88" s="223"/>
      <c r="AL88" s="223"/>
      <c r="AM88" s="223"/>
      <c r="AN88" s="223"/>
      <c r="AO88" s="223"/>
      <c r="AP88" s="223"/>
      <c r="AQ88" s="223"/>
      <c r="AR88" s="223"/>
      <c r="AS88" s="223"/>
      <c r="AT88" s="223"/>
      <c r="AU88" s="223"/>
      <c r="AV88" s="223"/>
      <c r="AW88" s="223"/>
      <c r="AX88" s="223"/>
      <c r="AY88" s="223"/>
    </row>
    <row r="89" spans="1:51" s="311" customFormat="1" ht="25.5" x14ac:dyDescent="0.25">
      <c r="A89" s="417"/>
      <c r="B89" s="310"/>
      <c r="C89" s="418"/>
      <c r="D89" s="311" t="s">
        <v>168</v>
      </c>
      <c r="E89" s="264" t="s">
        <v>163</v>
      </c>
      <c r="F89" s="312">
        <v>3800</v>
      </c>
      <c r="G89" s="311" t="s">
        <v>164</v>
      </c>
      <c r="H89" s="248">
        <f t="shared" si="18"/>
        <v>60</v>
      </c>
      <c r="I89" s="314">
        <v>12</v>
      </c>
      <c r="J89" s="314">
        <f t="shared" si="19"/>
        <v>45600</v>
      </c>
      <c r="K89" s="314">
        <v>12</v>
      </c>
      <c r="L89" s="314">
        <f t="shared" si="20"/>
        <v>45600</v>
      </c>
      <c r="M89" s="314">
        <v>12</v>
      </c>
      <c r="N89" s="314">
        <f t="shared" si="21"/>
        <v>45600</v>
      </c>
      <c r="O89" s="314">
        <v>12</v>
      </c>
      <c r="P89" s="314">
        <f t="shared" si="22"/>
        <v>45600</v>
      </c>
      <c r="Q89" s="314">
        <v>12</v>
      </c>
      <c r="R89" s="248">
        <f t="shared" si="23"/>
        <v>45600</v>
      </c>
      <c r="S89" s="314"/>
      <c r="T89" s="248">
        <f t="shared" si="24"/>
        <v>0</v>
      </c>
      <c r="U89" s="315"/>
      <c r="V89" s="249">
        <f t="shared" si="17"/>
        <v>228000</v>
      </c>
      <c r="W89" s="419"/>
      <c r="X89" s="420"/>
      <c r="Y89" s="223"/>
      <c r="Z89" s="223"/>
      <c r="AA89" s="223"/>
      <c r="AB89" s="223"/>
      <c r="AC89" s="223"/>
      <c r="AD89" s="223"/>
      <c r="AE89" s="223"/>
      <c r="AF89" s="223"/>
      <c r="AG89" s="223"/>
      <c r="AH89" s="223"/>
      <c r="AI89" s="223"/>
      <c r="AJ89" s="223"/>
      <c r="AK89" s="223"/>
      <c r="AL89" s="223"/>
      <c r="AM89" s="223"/>
      <c r="AN89" s="223"/>
      <c r="AO89" s="223"/>
      <c r="AP89" s="223"/>
      <c r="AQ89" s="223"/>
      <c r="AR89" s="223"/>
      <c r="AS89" s="223"/>
      <c r="AT89" s="223"/>
      <c r="AU89" s="223"/>
      <c r="AV89" s="223"/>
      <c r="AW89" s="223"/>
      <c r="AX89" s="223"/>
      <c r="AY89" s="223"/>
    </row>
    <row r="90" spans="1:51" s="311" customFormat="1" ht="25.5" x14ac:dyDescent="0.25">
      <c r="A90" s="417"/>
      <c r="B90" s="310"/>
      <c r="C90" s="418"/>
      <c r="D90" s="311" t="s">
        <v>169</v>
      </c>
      <c r="E90" s="264" t="s">
        <v>163</v>
      </c>
      <c r="F90" s="312">
        <v>4000</v>
      </c>
      <c r="G90" s="311" t="s">
        <v>164</v>
      </c>
      <c r="H90" s="248">
        <f t="shared" si="18"/>
        <v>60</v>
      </c>
      <c r="I90" s="314">
        <v>12</v>
      </c>
      <c r="J90" s="314">
        <f t="shared" si="19"/>
        <v>48000</v>
      </c>
      <c r="K90" s="314">
        <v>12</v>
      </c>
      <c r="L90" s="314">
        <f t="shared" si="20"/>
        <v>48000</v>
      </c>
      <c r="M90" s="314">
        <v>12</v>
      </c>
      <c r="N90" s="314">
        <f t="shared" si="21"/>
        <v>48000</v>
      </c>
      <c r="O90" s="314">
        <v>12</v>
      </c>
      <c r="P90" s="314">
        <f t="shared" si="22"/>
        <v>48000</v>
      </c>
      <c r="Q90" s="314">
        <v>12</v>
      </c>
      <c r="R90" s="248">
        <f t="shared" si="23"/>
        <v>48000</v>
      </c>
      <c r="S90" s="314"/>
      <c r="T90" s="248">
        <f t="shared" si="24"/>
        <v>0</v>
      </c>
      <c r="U90" s="315"/>
      <c r="V90" s="249">
        <f t="shared" si="17"/>
        <v>240000</v>
      </c>
      <c r="W90" s="419"/>
      <c r="X90" s="420"/>
      <c r="Y90" s="223"/>
      <c r="Z90" s="223"/>
      <c r="AA90" s="223"/>
      <c r="AB90" s="223"/>
      <c r="AC90" s="223"/>
      <c r="AD90" s="223"/>
      <c r="AE90" s="223"/>
      <c r="AF90" s="223"/>
      <c r="AG90" s="223"/>
      <c r="AH90" s="223"/>
      <c r="AI90" s="223"/>
      <c r="AJ90" s="223"/>
      <c r="AK90" s="223"/>
      <c r="AL90" s="223"/>
      <c r="AM90" s="223"/>
      <c r="AN90" s="223"/>
      <c r="AO90" s="223"/>
      <c r="AP90" s="223"/>
      <c r="AQ90" s="223"/>
      <c r="AR90" s="223"/>
      <c r="AS90" s="223"/>
      <c r="AT90" s="223"/>
      <c r="AU90" s="223"/>
      <c r="AV90" s="223"/>
      <c r="AW90" s="223"/>
      <c r="AX90" s="223"/>
      <c r="AY90" s="223"/>
    </row>
    <row r="91" spans="1:51" s="311" customFormat="1" ht="25.5" x14ac:dyDescent="0.25">
      <c r="A91" s="417"/>
      <c r="B91" s="310"/>
      <c r="C91" s="418"/>
      <c r="D91" s="311" t="s">
        <v>170</v>
      </c>
      <c r="E91" s="264" t="s">
        <v>163</v>
      </c>
      <c r="F91" s="312">
        <v>4000</v>
      </c>
      <c r="G91" s="311" t="s">
        <v>164</v>
      </c>
      <c r="H91" s="248">
        <f t="shared" si="18"/>
        <v>60</v>
      </c>
      <c r="I91" s="314">
        <v>12</v>
      </c>
      <c r="J91" s="314">
        <f t="shared" si="19"/>
        <v>48000</v>
      </c>
      <c r="K91" s="314">
        <v>12</v>
      </c>
      <c r="L91" s="314">
        <f t="shared" si="20"/>
        <v>48000</v>
      </c>
      <c r="M91" s="314">
        <v>12</v>
      </c>
      <c r="N91" s="314">
        <f t="shared" si="21"/>
        <v>48000</v>
      </c>
      <c r="O91" s="314">
        <v>12</v>
      </c>
      <c r="P91" s="314">
        <f t="shared" si="22"/>
        <v>48000</v>
      </c>
      <c r="Q91" s="314">
        <v>12</v>
      </c>
      <c r="R91" s="248">
        <f t="shared" si="23"/>
        <v>48000</v>
      </c>
      <c r="S91" s="314"/>
      <c r="T91" s="248">
        <f t="shared" si="24"/>
        <v>0</v>
      </c>
      <c r="U91" s="315"/>
      <c r="V91" s="249">
        <f t="shared" si="17"/>
        <v>240000</v>
      </c>
      <c r="W91" s="419"/>
      <c r="X91" s="420"/>
      <c r="Y91" s="223"/>
      <c r="Z91" s="223"/>
      <c r="AA91" s="223"/>
      <c r="AB91" s="223"/>
      <c r="AC91" s="223"/>
      <c r="AD91" s="223"/>
      <c r="AE91" s="223"/>
      <c r="AF91" s="223"/>
      <c r="AG91" s="223"/>
      <c r="AH91" s="223"/>
      <c r="AI91" s="223"/>
      <c r="AJ91" s="223"/>
      <c r="AK91" s="223"/>
      <c r="AL91" s="223"/>
      <c r="AM91" s="223"/>
      <c r="AN91" s="223"/>
      <c r="AO91" s="223"/>
      <c r="AP91" s="223"/>
      <c r="AQ91" s="223"/>
      <c r="AR91" s="223"/>
      <c r="AS91" s="223"/>
      <c r="AT91" s="223"/>
      <c r="AU91" s="223"/>
      <c r="AV91" s="223"/>
      <c r="AW91" s="223"/>
      <c r="AX91" s="223"/>
      <c r="AY91" s="223"/>
    </row>
    <row r="92" spans="1:51" s="311" customFormat="1" ht="25.5" x14ac:dyDescent="0.25">
      <c r="A92" s="417"/>
      <c r="B92" s="310"/>
      <c r="C92" s="418"/>
      <c r="D92" s="311" t="s">
        <v>171</v>
      </c>
      <c r="E92" s="264" t="s">
        <v>163</v>
      </c>
      <c r="F92" s="312">
        <v>4000</v>
      </c>
      <c r="G92" s="311" t="s">
        <v>164</v>
      </c>
      <c r="H92" s="248">
        <f>SUM(I92,K92,M92,O92,Q92,S92)</f>
        <v>60</v>
      </c>
      <c r="I92" s="314">
        <v>12</v>
      </c>
      <c r="J92" s="314">
        <f>I92*$F92</f>
        <v>48000</v>
      </c>
      <c r="K92" s="314">
        <v>12</v>
      </c>
      <c r="L92" s="314">
        <f t="shared" si="20"/>
        <v>48000</v>
      </c>
      <c r="M92" s="314">
        <v>12</v>
      </c>
      <c r="N92" s="314">
        <f>M92*$F92</f>
        <v>48000</v>
      </c>
      <c r="O92" s="314">
        <v>12</v>
      </c>
      <c r="P92" s="314">
        <f>O92*$F92</f>
        <v>48000</v>
      </c>
      <c r="Q92" s="314">
        <v>12</v>
      </c>
      <c r="R92" s="248">
        <f>Q92*$F92</f>
        <v>48000</v>
      </c>
      <c r="S92" s="314"/>
      <c r="T92" s="248">
        <f>S92*$F92</f>
        <v>0</v>
      </c>
      <c r="U92" s="315"/>
      <c r="V92" s="249">
        <f t="shared" si="17"/>
        <v>240000</v>
      </c>
      <c r="W92" s="419"/>
      <c r="X92" s="420"/>
      <c r="Y92" s="223"/>
      <c r="Z92" s="223"/>
      <c r="AA92" s="223"/>
      <c r="AB92" s="223"/>
      <c r="AC92" s="223"/>
      <c r="AD92" s="223"/>
      <c r="AE92" s="223"/>
      <c r="AF92" s="223"/>
      <c r="AG92" s="223"/>
      <c r="AH92" s="223"/>
      <c r="AI92" s="223"/>
      <c r="AJ92" s="223"/>
      <c r="AK92" s="223"/>
      <c r="AL92" s="223"/>
      <c r="AM92" s="223"/>
      <c r="AN92" s="223"/>
      <c r="AO92" s="223"/>
      <c r="AP92" s="223"/>
      <c r="AQ92" s="223"/>
      <c r="AR92" s="223"/>
      <c r="AS92" s="223"/>
      <c r="AT92" s="223"/>
      <c r="AU92" s="223"/>
      <c r="AV92" s="223"/>
      <c r="AW92" s="223"/>
      <c r="AX92" s="223"/>
      <c r="AY92" s="223"/>
    </row>
    <row r="93" spans="1:51" s="311" customFormat="1" ht="25.5" x14ac:dyDescent="0.25">
      <c r="A93" s="417"/>
      <c r="B93" s="310"/>
      <c r="C93" s="418"/>
      <c r="D93" s="311" t="s">
        <v>172</v>
      </c>
      <c r="E93" s="264" t="s">
        <v>163</v>
      </c>
      <c r="F93" s="312">
        <v>2500</v>
      </c>
      <c r="G93" s="311" t="s">
        <v>164</v>
      </c>
      <c r="H93" s="248">
        <f t="shared" si="18"/>
        <v>60</v>
      </c>
      <c r="I93" s="314">
        <v>12</v>
      </c>
      <c r="J93" s="314">
        <f t="shared" si="19"/>
        <v>30000</v>
      </c>
      <c r="K93" s="314">
        <v>12</v>
      </c>
      <c r="L93" s="314">
        <f t="shared" si="20"/>
        <v>30000</v>
      </c>
      <c r="M93" s="314">
        <v>12</v>
      </c>
      <c r="N93" s="314">
        <f t="shared" si="21"/>
        <v>30000</v>
      </c>
      <c r="O93" s="314">
        <v>12</v>
      </c>
      <c r="P93" s="314">
        <f t="shared" si="22"/>
        <v>30000</v>
      </c>
      <c r="Q93" s="314">
        <v>12</v>
      </c>
      <c r="R93" s="248">
        <f t="shared" si="23"/>
        <v>30000</v>
      </c>
      <c r="S93" s="314"/>
      <c r="T93" s="248">
        <f t="shared" si="24"/>
        <v>0</v>
      </c>
      <c r="U93" s="315"/>
      <c r="V93" s="249">
        <f t="shared" si="17"/>
        <v>150000</v>
      </c>
      <c r="W93" s="419"/>
      <c r="X93" s="420"/>
      <c r="Y93" s="223"/>
      <c r="Z93" s="223"/>
      <c r="AA93" s="223"/>
      <c r="AB93" s="223"/>
      <c r="AC93" s="223"/>
      <c r="AD93" s="223"/>
      <c r="AE93" s="223"/>
      <c r="AF93" s="223"/>
      <c r="AG93" s="223"/>
      <c r="AH93" s="223"/>
      <c r="AI93" s="223"/>
      <c r="AJ93" s="223"/>
      <c r="AK93" s="223"/>
      <c r="AL93" s="223"/>
      <c r="AM93" s="223"/>
      <c r="AN93" s="223"/>
      <c r="AO93" s="223"/>
      <c r="AP93" s="223"/>
      <c r="AQ93" s="223"/>
      <c r="AR93" s="223"/>
      <c r="AS93" s="223"/>
      <c r="AT93" s="223"/>
      <c r="AU93" s="223"/>
      <c r="AV93" s="223"/>
      <c r="AW93" s="223"/>
      <c r="AX93" s="223"/>
      <c r="AY93" s="223"/>
    </row>
    <row r="94" spans="1:51" s="311" customFormat="1" ht="16.5" x14ac:dyDescent="0.25">
      <c r="A94" s="417"/>
      <c r="B94" s="310"/>
      <c r="C94" s="418" t="s">
        <v>173</v>
      </c>
      <c r="E94" s="264" t="s">
        <v>47</v>
      </c>
      <c r="F94" s="312">
        <v>25700</v>
      </c>
      <c r="G94" s="311" t="s">
        <v>174</v>
      </c>
      <c r="H94" s="248">
        <f>SUM(I94,K94,M94,O94,Q94,S94)</f>
        <v>1</v>
      </c>
      <c r="I94" s="314">
        <v>1</v>
      </c>
      <c r="J94" s="314">
        <f>I94*$F94</f>
        <v>25700</v>
      </c>
      <c r="K94" s="314"/>
      <c r="L94" s="314">
        <f>K94*$F94</f>
        <v>0</v>
      </c>
      <c r="M94" s="314"/>
      <c r="N94" s="314">
        <f>M94*$F94</f>
        <v>0</v>
      </c>
      <c r="O94" s="314"/>
      <c r="P94" s="314">
        <f>O94*$F94</f>
        <v>0</v>
      </c>
      <c r="Q94" s="314"/>
      <c r="R94" s="248">
        <f>Q94*$F94</f>
        <v>0</v>
      </c>
      <c r="S94" s="314"/>
      <c r="T94" s="248">
        <f>S94*$F94</f>
        <v>0</v>
      </c>
      <c r="U94" s="315"/>
      <c r="V94" s="249">
        <f t="shared" si="17"/>
        <v>25700</v>
      </c>
      <c r="W94" s="419"/>
      <c r="X94" s="420"/>
      <c r="Y94" s="223"/>
      <c r="Z94" s="223"/>
      <c r="AA94" s="223"/>
      <c r="AB94" s="223"/>
      <c r="AC94" s="223"/>
      <c r="AD94" s="223"/>
      <c r="AE94" s="223"/>
      <c r="AF94" s="223"/>
      <c r="AG94" s="223"/>
      <c r="AH94" s="223"/>
      <c r="AI94" s="223"/>
      <c r="AJ94" s="223"/>
      <c r="AK94" s="223"/>
      <c r="AL94" s="223"/>
      <c r="AM94" s="223"/>
      <c r="AN94" s="223"/>
      <c r="AO94" s="223"/>
      <c r="AP94" s="223"/>
      <c r="AQ94" s="223"/>
      <c r="AR94" s="223"/>
      <c r="AS94" s="223"/>
      <c r="AT94" s="223"/>
      <c r="AU94" s="223"/>
      <c r="AV94" s="223"/>
      <c r="AW94" s="223"/>
      <c r="AX94" s="223"/>
      <c r="AY94" s="223"/>
    </row>
    <row r="95" spans="1:51" s="311" customFormat="1" ht="25.5" x14ac:dyDescent="0.25">
      <c r="A95" s="422"/>
      <c r="B95" s="310"/>
      <c r="C95" s="418" t="s">
        <v>175</v>
      </c>
      <c r="E95" s="264" t="s">
        <v>101</v>
      </c>
      <c r="F95" s="312">
        <v>1200</v>
      </c>
      <c r="G95" s="311" t="s">
        <v>176</v>
      </c>
      <c r="H95" s="248">
        <f>SUM(I95,K95,M95,O95,Q95,S95)</f>
        <v>60</v>
      </c>
      <c r="I95" s="314">
        <v>12</v>
      </c>
      <c r="J95" s="314">
        <f>I95*$F95</f>
        <v>14400</v>
      </c>
      <c r="K95" s="314">
        <v>12</v>
      </c>
      <c r="L95" s="314">
        <f>K95*$F95</f>
        <v>14400</v>
      </c>
      <c r="M95" s="314">
        <v>12</v>
      </c>
      <c r="N95" s="314">
        <f>M95*$F95</f>
        <v>14400</v>
      </c>
      <c r="O95" s="314">
        <v>12</v>
      </c>
      <c r="P95" s="314">
        <f>O95*$F95</f>
        <v>14400</v>
      </c>
      <c r="Q95" s="314">
        <v>12</v>
      </c>
      <c r="R95" s="248">
        <f>Q95*$F95</f>
        <v>14400</v>
      </c>
      <c r="S95" s="314"/>
      <c r="T95" s="248">
        <f>S95*$F95</f>
        <v>0</v>
      </c>
      <c r="U95" s="315"/>
      <c r="V95" s="249">
        <f t="shared" si="17"/>
        <v>72000</v>
      </c>
      <c r="W95" s="419"/>
      <c r="X95" s="420"/>
      <c r="Y95" s="223"/>
      <c r="Z95" s="223"/>
      <c r="AA95" s="223"/>
      <c r="AB95" s="223"/>
      <c r="AC95" s="223"/>
      <c r="AD95" s="223"/>
      <c r="AE95" s="223"/>
      <c r="AF95" s="223"/>
      <c r="AG95" s="223"/>
      <c r="AH95" s="223"/>
      <c r="AI95" s="223"/>
      <c r="AJ95" s="223"/>
      <c r="AK95" s="223"/>
      <c r="AL95" s="223"/>
      <c r="AM95" s="223"/>
      <c r="AN95" s="223"/>
      <c r="AO95" s="223"/>
      <c r="AP95" s="223"/>
      <c r="AQ95" s="223"/>
      <c r="AR95" s="223"/>
      <c r="AS95" s="223"/>
      <c r="AT95" s="223"/>
      <c r="AU95" s="223"/>
      <c r="AV95" s="223"/>
      <c r="AW95" s="223"/>
      <c r="AX95" s="223"/>
      <c r="AY95" s="223"/>
    </row>
    <row r="96" spans="1:51" s="311" customFormat="1" ht="25.5" customHeight="1" x14ac:dyDescent="0.25">
      <c r="A96" s="417"/>
      <c r="B96" s="469" t="s">
        <v>177</v>
      </c>
      <c r="C96" s="470"/>
      <c r="E96" s="264" t="s">
        <v>87</v>
      </c>
      <c r="F96" s="414"/>
      <c r="H96" s="248"/>
      <c r="I96" s="314"/>
      <c r="J96" s="314"/>
      <c r="K96" s="314"/>
      <c r="L96" s="314"/>
      <c r="M96" s="314"/>
      <c r="N96" s="314"/>
      <c r="O96" s="314"/>
      <c r="P96" s="314"/>
      <c r="Q96" s="314"/>
      <c r="R96" s="248"/>
      <c r="S96" s="314"/>
      <c r="T96" s="248"/>
      <c r="U96" s="315"/>
      <c r="V96" s="249">
        <f t="shared" si="17"/>
        <v>0</v>
      </c>
      <c r="W96" s="419"/>
      <c r="X96" s="420"/>
      <c r="Y96" s="223"/>
      <c r="Z96" s="223"/>
      <c r="AA96" s="223"/>
      <c r="AB96" s="223"/>
      <c r="AC96" s="223"/>
      <c r="AD96" s="223"/>
      <c r="AE96" s="223"/>
      <c r="AF96" s="223"/>
      <c r="AG96" s="223"/>
      <c r="AH96" s="223"/>
      <c r="AI96" s="223"/>
      <c r="AJ96" s="223"/>
      <c r="AK96" s="223"/>
      <c r="AL96" s="223"/>
      <c r="AM96" s="223"/>
      <c r="AN96" s="223"/>
      <c r="AO96" s="223"/>
      <c r="AP96" s="223"/>
      <c r="AQ96" s="223"/>
      <c r="AR96" s="223"/>
      <c r="AS96" s="223"/>
      <c r="AT96" s="223"/>
      <c r="AU96" s="223"/>
      <c r="AV96" s="223"/>
      <c r="AW96" s="223"/>
      <c r="AX96" s="223"/>
      <c r="AY96" s="223"/>
    </row>
    <row r="97" spans="1:51" s="311" customFormat="1" ht="25.5" x14ac:dyDescent="0.25">
      <c r="A97" s="417"/>
      <c r="C97" s="418" t="s">
        <v>178</v>
      </c>
      <c r="D97" s="311" t="s">
        <v>179</v>
      </c>
      <c r="E97" s="264" t="s">
        <v>180</v>
      </c>
      <c r="F97" s="312">
        <v>300000</v>
      </c>
      <c r="G97" s="246" t="s">
        <v>60</v>
      </c>
      <c r="H97" s="247">
        <f>SUM(I97,K97,M97,O97,Q97,S97)</f>
        <v>1</v>
      </c>
      <c r="I97" s="313">
        <v>0.2</v>
      </c>
      <c r="J97" s="246">
        <f>I97*$F97</f>
        <v>60000</v>
      </c>
      <c r="K97" s="313">
        <v>0.2</v>
      </c>
      <c r="L97" s="246">
        <f>K97*$F97</f>
        <v>60000</v>
      </c>
      <c r="M97" s="313">
        <v>0.2</v>
      </c>
      <c r="N97" s="246">
        <f>M97*$F97</f>
        <v>60000</v>
      </c>
      <c r="O97" s="313">
        <v>0.2</v>
      </c>
      <c r="P97" s="246">
        <f>O97*$F97</f>
        <v>60000</v>
      </c>
      <c r="Q97" s="313">
        <v>0.2</v>
      </c>
      <c r="R97" s="246">
        <f>Q97*$F97</f>
        <v>60000</v>
      </c>
      <c r="S97" s="313"/>
      <c r="T97" s="314"/>
      <c r="U97" s="315"/>
      <c r="V97" s="249">
        <f>SUM(J97,L97,N97,P97,R97,T97)</f>
        <v>300000</v>
      </c>
      <c r="W97" s="415">
        <f>SUM(V97:V99)</f>
        <v>1740000</v>
      </c>
      <c r="X97" s="420"/>
      <c r="Y97" s="223"/>
      <c r="Z97" s="223"/>
      <c r="AA97" s="223"/>
      <c r="AB97" s="223"/>
      <c r="AC97" s="223"/>
      <c r="AD97" s="223"/>
      <c r="AE97" s="223"/>
      <c r="AF97" s="223"/>
      <c r="AG97" s="223"/>
      <c r="AH97" s="223"/>
      <c r="AI97" s="223"/>
      <c r="AJ97" s="223"/>
      <c r="AK97" s="223"/>
      <c r="AL97" s="223"/>
      <c r="AM97" s="223"/>
      <c r="AN97" s="223"/>
      <c r="AO97" s="223"/>
      <c r="AP97" s="223"/>
      <c r="AQ97" s="223"/>
      <c r="AR97" s="223"/>
      <c r="AS97" s="223"/>
      <c r="AT97" s="223"/>
      <c r="AU97" s="223"/>
      <c r="AV97" s="223"/>
      <c r="AW97" s="223"/>
      <c r="AX97" s="223"/>
      <c r="AY97" s="223"/>
    </row>
    <row r="98" spans="1:51" s="311" customFormat="1" ht="25.5" x14ac:dyDescent="0.25">
      <c r="A98" s="417"/>
      <c r="B98" s="310"/>
      <c r="C98" s="418" t="s">
        <v>181</v>
      </c>
      <c r="D98" s="311" t="s">
        <v>182</v>
      </c>
      <c r="E98" s="264" t="s">
        <v>163</v>
      </c>
      <c r="F98" s="312">
        <v>180000</v>
      </c>
      <c r="G98" s="246" t="s">
        <v>60</v>
      </c>
      <c r="H98" s="247">
        <f>SUM(I98,K98,M98,O98,Q98,S98)</f>
        <v>1</v>
      </c>
      <c r="I98" s="246"/>
      <c r="J98" s="246">
        <f>I98*$F98</f>
        <v>0</v>
      </c>
      <c r="K98" s="246"/>
      <c r="L98" s="246">
        <f>K98*$F98</f>
        <v>0</v>
      </c>
      <c r="M98" s="246">
        <v>0.2</v>
      </c>
      <c r="N98" s="246">
        <f>M98*$F98</f>
        <v>36000</v>
      </c>
      <c r="O98" s="246">
        <v>0.2</v>
      </c>
      <c r="P98" s="246">
        <f>O98*$F98</f>
        <v>36000</v>
      </c>
      <c r="Q98" s="246">
        <v>0.6</v>
      </c>
      <c r="R98" s="246">
        <f>Q98*$F98</f>
        <v>108000</v>
      </c>
      <c r="S98" s="246"/>
      <c r="T98" s="246">
        <f>S98*$F98</f>
        <v>0</v>
      </c>
      <c r="U98" s="224"/>
      <c r="V98" s="249">
        <f>SUM(J98,L98,N98,P98,R98,T98)</f>
        <v>180000</v>
      </c>
      <c r="X98" s="420"/>
      <c r="Y98" s="223"/>
      <c r="Z98" s="223"/>
      <c r="AA98" s="223"/>
      <c r="AB98" s="223"/>
      <c r="AC98" s="223"/>
      <c r="AD98" s="223"/>
      <c r="AE98" s="223"/>
      <c r="AF98" s="223"/>
      <c r="AG98" s="223"/>
      <c r="AH98" s="223"/>
      <c r="AI98" s="223"/>
      <c r="AJ98" s="223"/>
      <c r="AK98" s="223"/>
      <c r="AL98" s="223"/>
      <c r="AM98" s="223"/>
      <c r="AN98" s="223"/>
      <c r="AO98" s="223"/>
      <c r="AP98" s="223"/>
      <c r="AQ98" s="223"/>
      <c r="AR98" s="223"/>
      <c r="AS98" s="223"/>
      <c r="AT98" s="223"/>
      <c r="AU98" s="223"/>
      <c r="AV98" s="223"/>
      <c r="AW98" s="223"/>
      <c r="AX98" s="223"/>
      <c r="AY98" s="223"/>
    </row>
    <row r="99" spans="1:51" ht="38.25" x14ac:dyDescent="0.25">
      <c r="A99" s="447"/>
      <c r="B99" s="447"/>
      <c r="C99" s="367" t="s">
        <v>183</v>
      </c>
      <c r="D99" s="407" t="s">
        <v>184</v>
      </c>
      <c r="E99" s="264" t="s">
        <v>87</v>
      </c>
      <c r="F99" s="312">
        <v>1260000</v>
      </c>
      <c r="G99" s="246" t="s">
        <v>60</v>
      </c>
      <c r="H99" s="247">
        <f>SUM(I99,K99,M99,O99,Q99,S99)</f>
        <v>1</v>
      </c>
      <c r="I99" s="246">
        <v>0.15</v>
      </c>
      <c r="J99" s="246">
        <f>I99*$F99</f>
        <v>189000</v>
      </c>
      <c r="K99" s="246">
        <v>0.25</v>
      </c>
      <c r="L99" s="246">
        <f>K99*$F99</f>
        <v>315000</v>
      </c>
      <c r="M99" s="246"/>
      <c r="N99" s="246">
        <f>M99*$F99</f>
        <v>0</v>
      </c>
      <c r="O99" s="246">
        <v>0.35</v>
      </c>
      <c r="P99" s="246">
        <f>O99*$F99</f>
        <v>441000</v>
      </c>
      <c r="Q99" s="246">
        <v>0.25</v>
      </c>
      <c r="R99" s="246">
        <f>Q99*$F99</f>
        <v>315000</v>
      </c>
      <c r="S99" s="246"/>
      <c r="T99" s="246">
        <f>S99*$F99</f>
        <v>0</v>
      </c>
      <c r="U99" s="224"/>
      <c r="V99" s="249">
        <f t="shared" si="17"/>
        <v>1260000</v>
      </c>
      <c r="W99" s="447"/>
      <c r="X99" s="447"/>
      <c r="Y99" s="442"/>
      <c r="Z99" s="442"/>
      <c r="AA99" s="442"/>
      <c r="AB99" s="442"/>
      <c r="AC99" s="442"/>
      <c r="AD99" s="442"/>
      <c r="AE99" s="442"/>
      <c r="AF99" s="442"/>
      <c r="AG99" s="442"/>
      <c r="AH99" s="442"/>
      <c r="AI99" s="442"/>
      <c r="AJ99" s="442"/>
      <c r="AK99" s="442"/>
      <c r="AL99" s="442"/>
      <c r="AM99" s="442"/>
      <c r="AN99" s="442"/>
      <c r="AO99" s="442"/>
      <c r="AP99" s="442"/>
      <c r="AQ99" s="442"/>
      <c r="AR99" s="442"/>
      <c r="AS99" s="442"/>
      <c r="AT99" s="442"/>
      <c r="AU99" s="442"/>
      <c r="AV99" s="442"/>
      <c r="AW99" s="442"/>
      <c r="AX99" s="442"/>
      <c r="AY99" s="442"/>
    </row>
    <row r="100" spans="1:51" s="225" customFormat="1" ht="23.25" x14ac:dyDescent="0.25">
      <c r="A100" s="233"/>
      <c r="B100" s="234"/>
      <c r="C100" s="234"/>
      <c r="D100" s="235"/>
      <c r="E100" s="236"/>
      <c r="F100" s="238"/>
      <c r="G100" s="237"/>
      <c r="H100" s="238"/>
      <c r="I100" s="237"/>
      <c r="J100" s="237"/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24"/>
      <c r="V100" s="239"/>
      <c r="W100" s="240"/>
      <c r="X100" s="241"/>
      <c r="Y100" s="223"/>
      <c r="Z100" s="223"/>
      <c r="AA100" s="223"/>
      <c r="AB100" s="223"/>
      <c r="AC100" s="223"/>
      <c r="AD100" s="223"/>
      <c r="AE100" s="223"/>
      <c r="AF100" s="223"/>
      <c r="AG100" s="223"/>
      <c r="AH100" s="223"/>
      <c r="AI100" s="223"/>
      <c r="AJ100" s="223"/>
      <c r="AK100" s="223"/>
      <c r="AL100" s="223"/>
      <c r="AM100" s="223"/>
      <c r="AN100" s="223"/>
      <c r="AO100" s="223"/>
      <c r="AP100" s="223"/>
      <c r="AQ100" s="223"/>
      <c r="AR100" s="223"/>
      <c r="AS100" s="223"/>
      <c r="AT100" s="223"/>
      <c r="AU100" s="223"/>
      <c r="AV100" s="223"/>
      <c r="AW100" s="223"/>
      <c r="AX100" s="223"/>
      <c r="AY100" s="223"/>
    </row>
    <row r="101" spans="1:51" s="311" customFormat="1" ht="16.5" x14ac:dyDescent="0.25">
      <c r="B101" s="463"/>
      <c r="C101" s="464"/>
      <c r="E101" s="413"/>
      <c r="F101" s="414"/>
      <c r="H101" s="247">
        <f>SUM(I101,K101,M101,O101,Q101,S101)</f>
        <v>1</v>
      </c>
      <c r="I101" s="246"/>
      <c r="J101" s="246">
        <f>I101*$F101</f>
        <v>0</v>
      </c>
      <c r="K101" s="246"/>
      <c r="L101" s="246">
        <f>K101*$F101</f>
        <v>0</v>
      </c>
      <c r="M101" s="246">
        <v>0.4</v>
      </c>
      <c r="N101" s="246">
        <f>M101*$F101</f>
        <v>0</v>
      </c>
      <c r="O101" s="246">
        <v>0.3</v>
      </c>
      <c r="P101" s="246">
        <f>O101*$F101</f>
        <v>0</v>
      </c>
      <c r="Q101" s="246">
        <v>0.3</v>
      </c>
      <c r="R101" s="246">
        <f>Q101*$F101</f>
        <v>0</v>
      </c>
      <c r="S101" s="246"/>
      <c r="T101" s="246">
        <f>S101*$F101</f>
        <v>0</v>
      </c>
      <c r="U101" s="224"/>
      <c r="V101" s="249">
        <f t="shared" si="17"/>
        <v>0</v>
      </c>
      <c r="W101" s="419">
        <f>V101</f>
        <v>0</v>
      </c>
      <c r="X101" s="424">
        <f>SUM(W101)</f>
        <v>0</v>
      </c>
      <c r="Y101" s="425"/>
      <c r="Z101" s="223"/>
      <c r="AA101" s="223"/>
      <c r="AB101" s="223"/>
      <c r="AC101" s="223"/>
      <c r="AD101" s="223"/>
      <c r="AE101" s="223"/>
      <c r="AF101" s="223"/>
      <c r="AG101" s="223"/>
      <c r="AH101" s="223"/>
      <c r="AI101" s="223"/>
      <c r="AJ101" s="223"/>
      <c r="AK101" s="223"/>
      <c r="AL101" s="223"/>
      <c r="AM101" s="223"/>
      <c r="AN101" s="223"/>
      <c r="AO101" s="223"/>
      <c r="AP101" s="223"/>
      <c r="AQ101" s="223"/>
      <c r="AR101" s="223"/>
      <c r="AS101" s="223"/>
      <c r="AT101" s="223"/>
      <c r="AU101" s="223"/>
      <c r="AV101" s="223"/>
      <c r="AW101" s="223"/>
      <c r="AX101" s="223"/>
      <c r="AY101" s="223"/>
    </row>
    <row r="102" spans="1:51" s="373" customFormat="1" ht="12.75" x14ac:dyDescent="0.25">
      <c r="A102" s="426"/>
      <c r="B102" s="426"/>
      <c r="C102" s="368"/>
      <c r="D102" s="427"/>
      <c r="E102" s="428"/>
      <c r="F102" s="375"/>
      <c r="G102" s="429"/>
      <c r="H102" s="430"/>
      <c r="I102" s="429"/>
      <c r="J102" s="429"/>
      <c r="K102" s="429"/>
      <c r="L102" s="429"/>
      <c r="M102" s="429"/>
      <c r="N102" s="429"/>
      <c r="O102" s="429"/>
      <c r="P102" s="429"/>
      <c r="Q102" s="429"/>
      <c r="R102" s="429"/>
      <c r="S102" s="429"/>
      <c r="T102" s="429"/>
      <c r="U102" s="431"/>
      <c r="V102" s="432"/>
      <c r="X102" s="223"/>
      <c r="Y102" s="223"/>
      <c r="Z102" s="223"/>
      <c r="AA102" s="223"/>
      <c r="AB102" s="223"/>
      <c r="AC102" s="223"/>
      <c r="AD102" s="223"/>
      <c r="AE102" s="223"/>
      <c r="AF102" s="223"/>
      <c r="AG102" s="223"/>
      <c r="AH102" s="223"/>
      <c r="AI102" s="223"/>
      <c r="AJ102" s="223"/>
      <c r="AK102" s="223"/>
      <c r="AL102" s="223"/>
      <c r="AM102" s="223"/>
      <c r="AN102" s="223"/>
      <c r="AO102" s="223"/>
      <c r="AP102" s="223"/>
      <c r="AQ102" s="223"/>
      <c r="AR102" s="223"/>
      <c r="AS102" s="223"/>
      <c r="AT102" s="223"/>
      <c r="AU102" s="223"/>
      <c r="AV102" s="223"/>
      <c r="AW102" s="223"/>
      <c r="AX102" s="223"/>
      <c r="AY102" s="223"/>
    </row>
    <row r="104" spans="1:51" ht="18.75" x14ac:dyDescent="0.25">
      <c r="A104" s="447"/>
      <c r="B104" s="447"/>
      <c r="C104" s="447"/>
      <c r="D104" s="453" t="s">
        <v>185</v>
      </c>
      <c r="E104" s="454"/>
      <c r="F104" s="447"/>
      <c r="G104" s="447"/>
      <c r="H104" s="455"/>
      <c r="I104" s="455"/>
      <c r="J104" s="434">
        <f>SUM(J8:J17,J33:J36,J40:J67,J71,J76:J77,J80:J101)</f>
        <v>4328400.9192068968</v>
      </c>
      <c r="K104" s="435"/>
      <c r="L104" s="434">
        <f>SUM(L8:L17,L33:L36,L40:L67,L71,L76:L77,L80:L101)</f>
        <v>18526717.137082055</v>
      </c>
      <c r="M104" s="435"/>
      <c r="N104" s="434">
        <f>SUM(N8:N17,N33:N36,N40:N67,N71,N76:N77,N80:N101)</f>
        <v>15916177.567896549</v>
      </c>
      <c r="O104" s="435"/>
      <c r="P104" s="434">
        <f>SUM(P8:P17,P33:P36,P40:P67,P71,P76:P77,P80:P101)</f>
        <v>12148950.408282727</v>
      </c>
      <c r="Q104" s="435"/>
      <c r="R104" s="434">
        <f>SUM(R8:R17,R33:R36,R40:R67,R71,R76:R77,R80:R101)</f>
        <v>9079753.9641984329</v>
      </c>
      <c r="S104" s="435"/>
      <c r="T104" s="434">
        <f>SUM(T8:T17,T33:T36,T40:T67,T71,T76:T77,T80:T101)</f>
        <v>0</v>
      </c>
      <c r="U104" s="456"/>
      <c r="V104" s="457">
        <f>SUM(V8:V17,V33:V36,V40:V101)</f>
        <v>59999999.99666667</v>
      </c>
      <c r="W104" s="437">
        <f>SUM(W8:W101)</f>
        <v>59999999.99666667</v>
      </c>
      <c r="X104" s="437">
        <f>SUM(X8:X101)</f>
        <v>59999999.99666667</v>
      </c>
      <c r="Y104" s="442"/>
      <c r="Z104" s="442"/>
      <c r="AA104" s="442"/>
      <c r="AB104" s="442"/>
      <c r="AC104" s="442"/>
      <c r="AD104" s="442"/>
      <c r="AE104" s="442"/>
      <c r="AF104" s="442"/>
      <c r="AG104" s="442"/>
      <c r="AH104" s="442"/>
      <c r="AI104" s="442"/>
      <c r="AJ104" s="442"/>
      <c r="AK104" s="442"/>
      <c r="AL104" s="442"/>
      <c r="AM104" s="442"/>
      <c r="AN104" s="442"/>
      <c r="AO104" s="442"/>
      <c r="AP104" s="442"/>
      <c r="AQ104" s="442"/>
      <c r="AR104" s="442"/>
      <c r="AS104" s="442"/>
      <c r="AT104" s="442"/>
      <c r="AU104" s="442"/>
      <c r="AV104" s="442"/>
      <c r="AW104" s="442"/>
      <c r="AX104" s="442"/>
      <c r="AY104" s="442"/>
    </row>
    <row r="105" spans="1:51" x14ac:dyDescent="0.25">
      <c r="A105" s="447"/>
      <c r="B105" s="447"/>
      <c r="C105" s="447"/>
      <c r="D105" s="447"/>
      <c r="E105" s="454"/>
      <c r="F105" s="447"/>
      <c r="G105" s="447"/>
      <c r="H105" s="447"/>
      <c r="I105" s="447"/>
      <c r="J105" s="458">
        <f>J104/$V105</f>
        <v>7.214001532412273E-2</v>
      </c>
      <c r="K105" s="447"/>
      <c r="L105" s="458">
        <f>L104/$V105</f>
        <v>0.30877861896852199</v>
      </c>
      <c r="M105" s="447"/>
      <c r="N105" s="458">
        <f>N104/$V105</f>
        <v>0.26526962614634636</v>
      </c>
      <c r="O105" s="447"/>
      <c r="P105" s="458">
        <f>P104/$V105</f>
        <v>0.20248250681596117</v>
      </c>
      <c r="Q105" s="447"/>
      <c r="R105" s="458">
        <f>R104/$V105</f>
        <v>0.15132923274504773</v>
      </c>
      <c r="S105" s="447"/>
      <c r="T105" s="458">
        <f>T104/$V105</f>
        <v>0</v>
      </c>
      <c r="U105" s="456"/>
      <c r="V105" s="459">
        <f>SUM(J104:T104)</f>
        <v>59999999.996666662</v>
      </c>
      <c r="W105" s="447"/>
      <c r="X105" s="447"/>
      <c r="Y105" s="442"/>
      <c r="Z105" s="442"/>
      <c r="AA105" s="442"/>
      <c r="AB105" s="442"/>
      <c r="AC105" s="442"/>
      <c r="AD105" s="442"/>
      <c r="AE105" s="442"/>
      <c r="AF105" s="442"/>
      <c r="AG105" s="442"/>
      <c r="AH105" s="442"/>
      <c r="AI105" s="442"/>
      <c r="AJ105" s="442"/>
      <c r="AK105" s="442"/>
      <c r="AL105" s="442"/>
      <c r="AM105" s="442"/>
      <c r="AN105" s="442"/>
      <c r="AO105" s="442"/>
      <c r="AP105" s="442"/>
      <c r="AQ105" s="442"/>
      <c r="AR105" s="442"/>
      <c r="AS105" s="442"/>
      <c r="AT105" s="442"/>
      <c r="AU105" s="442"/>
      <c r="AV105" s="442"/>
      <c r="AW105" s="442"/>
      <c r="AX105" s="442"/>
      <c r="AY105" s="442"/>
    </row>
    <row r="106" spans="1:51" x14ac:dyDescent="0.25">
      <c r="A106" s="447"/>
      <c r="B106" s="447"/>
      <c r="C106" s="447"/>
      <c r="D106" s="447"/>
      <c r="E106" s="454"/>
      <c r="F106" s="447"/>
      <c r="G106" s="447"/>
      <c r="H106" s="447"/>
      <c r="I106" s="447"/>
      <c r="J106" s="447"/>
      <c r="K106" s="447"/>
      <c r="L106" s="447"/>
      <c r="M106" s="447"/>
      <c r="N106" s="447"/>
      <c r="O106" s="447"/>
      <c r="P106" s="447"/>
      <c r="Q106" s="447"/>
      <c r="R106" s="447"/>
      <c r="S106" s="447"/>
      <c r="T106" s="447"/>
      <c r="U106" s="456"/>
      <c r="V106" s="447"/>
      <c r="W106" s="459">
        <f>W104-V105</f>
        <v>0</v>
      </c>
      <c r="X106" s="447"/>
      <c r="Y106" s="442"/>
      <c r="Z106" s="442"/>
      <c r="AA106" s="442"/>
      <c r="AB106" s="442"/>
      <c r="AC106" s="442"/>
      <c r="AD106" s="442"/>
      <c r="AE106" s="442"/>
      <c r="AF106" s="442"/>
      <c r="AG106" s="442"/>
      <c r="AH106" s="442"/>
      <c r="AI106" s="442"/>
      <c r="AJ106" s="442"/>
      <c r="AK106" s="442"/>
      <c r="AL106" s="442"/>
      <c r="AM106" s="442"/>
      <c r="AN106" s="442"/>
      <c r="AO106" s="442"/>
      <c r="AP106" s="442"/>
      <c r="AQ106" s="442"/>
      <c r="AR106" s="442"/>
      <c r="AS106" s="442"/>
      <c r="AT106" s="442"/>
      <c r="AU106" s="442"/>
      <c r="AV106" s="442"/>
      <c r="AW106" s="442"/>
      <c r="AX106" s="442"/>
      <c r="AY106" s="442"/>
    </row>
    <row r="107" spans="1:51" x14ac:dyDescent="0.25">
      <c r="A107" s="447"/>
      <c r="B107" s="447"/>
      <c r="C107" s="447"/>
      <c r="D107" s="447"/>
      <c r="E107" s="454"/>
      <c r="F107" s="447"/>
      <c r="G107" s="447"/>
      <c r="H107" s="447"/>
      <c r="I107" s="447"/>
      <c r="J107" s="460">
        <f>SUM(J8:J15,J17,J33,J36,J40,J41:J49,J54:J64,J67,J71,J76,J77,J80,J85:J99,J101)</f>
        <v>4208400.9192068968</v>
      </c>
      <c r="K107" s="461"/>
      <c r="L107" s="460">
        <f>SUM(L8:L15,L17,L33,L36,L40,L41:L49,L54:L64,L67,L71,L76,L77,L80,L85:L99,L101)</f>
        <v>18106717.137082055</v>
      </c>
      <c r="M107" s="461"/>
      <c r="N107" s="460">
        <f>SUM(N8:N15,N17,N33,N36,N40,N41:N49,N54:N64,N67,N71,N76,N77,N80,N85:N99,N101)</f>
        <v>15556177.567896549</v>
      </c>
      <c r="O107" s="461"/>
      <c r="P107" s="460">
        <f>SUM(P8:P15,P17,P33,P36,P40,P41:P49,P54:P64,P67,P71,P76,P77,P80,P85:P99,P101)</f>
        <v>11848950.408282727</v>
      </c>
      <c r="Q107" s="461"/>
      <c r="R107" s="460">
        <f>SUM(R8:R15,R17,R33,R36,R40,R41:R49,R54:R64,R67,R71,R76,R77,R80,R85:R99,R101)</f>
        <v>9079753.9641984329</v>
      </c>
      <c r="S107" s="461"/>
      <c r="T107" s="460">
        <f>SUM(T8:T15,T17,T33,T36,T40,T41:T49,T54:T64,T67,T71,T76,T77,T80,T85:T99,T101)</f>
        <v>0</v>
      </c>
      <c r="U107" s="456"/>
      <c r="V107" s="460">
        <f>SUM(J107:T107)</f>
        <v>58799999.996666662</v>
      </c>
      <c r="W107" s="447"/>
      <c r="X107" s="459">
        <f>X104-60000000</f>
        <v>-3.3333301544189453E-3</v>
      </c>
      <c r="Y107" s="442"/>
      <c r="Z107" s="442"/>
      <c r="AA107" s="442"/>
      <c r="AB107" s="442"/>
      <c r="AC107" s="442"/>
      <c r="AD107" s="442"/>
      <c r="AE107" s="442"/>
      <c r="AF107" s="442"/>
      <c r="AG107" s="442"/>
      <c r="AH107" s="442"/>
      <c r="AI107" s="442"/>
      <c r="AJ107" s="442"/>
      <c r="AK107" s="442"/>
      <c r="AL107" s="442"/>
      <c r="AM107" s="442"/>
      <c r="AN107" s="442"/>
      <c r="AO107" s="442"/>
      <c r="AP107" s="442"/>
      <c r="AQ107" s="442"/>
      <c r="AR107" s="442"/>
      <c r="AS107" s="442"/>
      <c r="AT107" s="442"/>
      <c r="AU107" s="442"/>
      <c r="AV107" s="442"/>
      <c r="AW107" s="442"/>
      <c r="AX107" s="442"/>
      <c r="AY107" s="442"/>
    </row>
  </sheetData>
  <mergeCells count="28">
    <mergeCell ref="V4:V5"/>
    <mergeCell ref="A3:T3"/>
    <mergeCell ref="B84:C84"/>
    <mergeCell ref="B66:C66"/>
    <mergeCell ref="B96:C96"/>
    <mergeCell ref="B53:C53"/>
    <mergeCell ref="B35:C35"/>
    <mergeCell ref="B17:C17"/>
    <mergeCell ref="Q4:R5"/>
    <mergeCell ref="S4:T5"/>
    <mergeCell ref="B47:C47"/>
    <mergeCell ref="B9:C9"/>
    <mergeCell ref="B101:C101"/>
    <mergeCell ref="W4:W5"/>
    <mergeCell ref="X4:X5"/>
    <mergeCell ref="B8:C8"/>
    <mergeCell ref="A4:A5"/>
    <mergeCell ref="B4:B5"/>
    <mergeCell ref="C4:C5"/>
    <mergeCell ref="D4:D5"/>
    <mergeCell ref="E4:E5"/>
    <mergeCell ref="F4:F5"/>
    <mergeCell ref="G4:G5"/>
    <mergeCell ref="H4:H5"/>
    <mergeCell ref="M4:N5"/>
    <mergeCell ref="O4:P5"/>
    <mergeCell ref="I4:J5"/>
    <mergeCell ref="K4:L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10"/>
  <sheetViews>
    <sheetView topLeftCell="E54" zoomScale="115" zoomScaleNormal="115" workbookViewId="0">
      <selection activeCell="I11" sqref="I11"/>
    </sheetView>
  </sheetViews>
  <sheetFormatPr defaultColWidth="9.140625" defaultRowHeight="15" x14ac:dyDescent="0.25"/>
  <cols>
    <col min="2" max="2" width="12" customWidth="1"/>
    <col min="4" max="4" width="15.140625" style="5" customWidth="1"/>
    <col min="5" max="5" width="22.28515625" style="6" customWidth="1"/>
    <col min="6" max="6" width="35.140625" customWidth="1"/>
    <col min="7" max="7" width="31.28515625" customWidth="1"/>
    <col min="8" max="8" width="12.85546875" customWidth="1"/>
    <col min="9" max="9" width="22" bestFit="1" customWidth="1"/>
    <col min="10" max="10" width="15.7109375" customWidth="1"/>
    <col min="11" max="11" width="22.7109375" customWidth="1"/>
    <col min="12" max="12" width="15.7109375" customWidth="1"/>
    <col min="13" max="13" width="23" customWidth="1"/>
    <col min="14" max="14" width="27.5703125" customWidth="1"/>
    <col min="15" max="15" width="22" customWidth="1"/>
    <col min="16" max="16" width="15.5703125" customWidth="1"/>
    <col min="17" max="18" width="15" customWidth="1"/>
    <col min="19" max="19" width="31.7109375" customWidth="1"/>
    <col min="20" max="20" width="14.85546875" style="59" customWidth="1"/>
    <col min="21" max="21" width="9.140625" style="23"/>
    <col min="22" max="22" width="59.42578125" style="23" customWidth="1"/>
    <col min="23" max="23" width="68.5703125" style="23" customWidth="1"/>
    <col min="24" max="24" width="57.42578125" style="23" customWidth="1"/>
    <col min="25" max="36" width="9.140625" style="23"/>
  </cols>
  <sheetData>
    <row r="1" spans="1:39" s="23" customFormat="1" ht="26.25" x14ac:dyDescent="0.25">
      <c r="A1" s="499" t="s">
        <v>186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/>
      <c r="S1" s="501"/>
      <c r="T1" s="20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2"/>
    </row>
    <row r="2" spans="1:39" s="23" customFormat="1" ht="15.75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</row>
    <row r="3" spans="1:39" s="23" customFormat="1" x14ac:dyDescent="0.25">
      <c r="A3" s="26" t="s">
        <v>187</v>
      </c>
      <c r="B3" s="27"/>
      <c r="C3" s="28" t="s">
        <v>188</v>
      </c>
      <c r="D3" s="28"/>
      <c r="E3" s="29"/>
      <c r="F3" s="29"/>
      <c r="G3" s="29"/>
      <c r="H3" s="30"/>
      <c r="I3" s="502" t="s">
        <v>189</v>
      </c>
      <c r="J3" s="503"/>
      <c r="K3" s="503"/>
      <c r="L3" s="31" t="s">
        <v>190</v>
      </c>
      <c r="M3" s="32"/>
      <c r="N3" s="32"/>
      <c r="O3" s="32"/>
      <c r="P3" s="32"/>
      <c r="Q3" s="32"/>
      <c r="R3" s="32"/>
      <c r="S3" s="33"/>
      <c r="T3" s="34"/>
    </row>
    <row r="4" spans="1:39" s="23" customFormat="1" x14ac:dyDescent="0.25">
      <c r="A4" s="26" t="s">
        <v>191</v>
      </c>
      <c r="B4" s="27"/>
      <c r="C4" s="28" t="s">
        <v>192</v>
      </c>
      <c r="D4" s="28"/>
      <c r="E4" s="29"/>
      <c r="F4" s="29"/>
      <c r="G4" s="29"/>
      <c r="H4" s="30"/>
      <c r="I4" s="502" t="s">
        <v>193</v>
      </c>
      <c r="J4" s="503"/>
      <c r="K4" s="503"/>
      <c r="L4" s="488" t="s">
        <v>194</v>
      </c>
      <c r="M4" s="489"/>
      <c r="N4" s="489"/>
      <c r="O4" s="489"/>
      <c r="P4" s="489"/>
      <c r="Q4" s="489"/>
      <c r="R4" s="489"/>
      <c r="S4" s="490"/>
      <c r="T4" s="37"/>
    </row>
    <row r="5" spans="1:39" s="23" customFormat="1" x14ac:dyDescent="0.25">
      <c r="A5" s="26" t="s">
        <v>195</v>
      </c>
      <c r="B5" s="27"/>
      <c r="C5" s="38" t="s">
        <v>196</v>
      </c>
      <c r="D5" s="38"/>
      <c r="E5" s="35"/>
      <c r="F5" s="35"/>
      <c r="G5" s="35"/>
      <c r="H5" s="36"/>
      <c r="I5" s="502" t="s">
        <v>197</v>
      </c>
      <c r="J5" s="503"/>
      <c r="K5" s="503"/>
      <c r="L5" s="39" t="s">
        <v>198</v>
      </c>
      <c r="M5" s="29"/>
      <c r="N5" s="29"/>
      <c r="O5" s="29"/>
      <c r="P5" s="29"/>
      <c r="Q5" s="29"/>
      <c r="R5" s="29"/>
      <c r="S5" s="30"/>
      <c r="T5" s="37"/>
    </row>
    <row r="6" spans="1:39" x14ac:dyDescent="0.25">
      <c r="A6" s="504" t="s">
        <v>199</v>
      </c>
      <c r="B6" s="505"/>
      <c r="C6" s="40" t="s">
        <v>200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1"/>
    </row>
    <row r="7" spans="1:39" s="46" customFormat="1" ht="18.75" x14ac:dyDescent="0.25">
      <c r="A7" s="491" t="s">
        <v>36</v>
      </c>
      <c r="B7" s="491"/>
      <c r="C7" s="491"/>
      <c r="D7" s="491"/>
      <c r="E7" s="491"/>
      <c r="F7" s="491"/>
      <c r="G7" s="491"/>
      <c r="H7" s="491"/>
      <c r="I7" s="491"/>
      <c r="J7" s="491"/>
      <c r="K7" s="491"/>
      <c r="L7" s="491"/>
      <c r="M7" s="491"/>
      <c r="N7" s="491"/>
      <c r="O7" s="491"/>
      <c r="P7" s="491"/>
      <c r="Q7" s="491"/>
      <c r="R7" s="491"/>
      <c r="S7" s="491"/>
      <c r="T7" s="42"/>
      <c r="U7" s="43"/>
      <c r="V7" s="43"/>
      <c r="W7" s="44"/>
      <c r="X7" s="43"/>
      <c r="Y7" s="43"/>
      <c r="Z7" s="43"/>
      <c r="AA7" s="45"/>
      <c r="AB7" s="45"/>
      <c r="AC7" s="45"/>
      <c r="AD7" s="45"/>
      <c r="AE7" s="45"/>
      <c r="AF7" s="45"/>
      <c r="AG7" s="45"/>
      <c r="AH7" s="45"/>
      <c r="AI7" s="45"/>
      <c r="AJ7" s="45"/>
    </row>
    <row r="8" spans="1:39" s="46" customFormat="1" x14ac:dyDescent="0.25">
      <c r="A8" s="495" t="s">
        <v>201</v>
      </c>
      <c r="B8" s="495" t="s">
        <v>202</v>
      </c>
      <c r="C8" s="495" t="s">
        <v>203</v>
      </c>
      <c r="D8" s="496" t="s">
        <v>204</v>
      </c>
      <c r="E8" s="496" t="s">
        <v>205</v>
      </c>
      <c r="F8" s="496" t="s">
        <v>206</v>
      </c>
      <c r="G8" s="496" t="s">
        <v>207</v>
      </c>
      <c r="H8" s="496" t="s">
        <v>208</v>
      </c>
      <c r="I8" s="496" t="s">
        <v>209</v>
      </c>
      <c r="J8" s="496"/>
      <c r="K8" s="496"/>
      <c r="L8" s="496"/>
      <c r="M8" s="496" t="s">
        <v>210</v>
      </c>
      <c r="N8" s="496" t="s">
        <v>211</v>
      </c>
      <c r="O8" s="496" t="s">
        <v>212</v>
      </c>
      <c r="P8" s="496"/>
      <c r="Q8" s="495" t="s">
        <v>213</v>
      </c>
      <c r="R8" s="495" t="s">
        <v>214</v>
      </c>
      <c r="S8" s="496" t="s">
        <v>215</v>
      </c>
      <c r="T8" s="47"/>
      <c r="U8" s="43"/>
      <c r="V8" s="48" t="s">
        <v>216</v>
      </c>
      <c r="W8" s="43"/>
      <c r="X8" s="43"/>
      <c r="Y8" s="43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</row>
    <row r="9" spans="1:39" s="46" customFormat="1" ht="76.5" x14ac:dyDescent="0.25">
      <c r="A9" s="495"/>
      <c r="B9" s="495"/>
      <c r="C9" s="495"/>
      <c r="D9" s="496"/>
      <c r="E9" s="496"/>
      <c r="F9" s="496"/>
      <c r="G9" s="496"/>
      <c r="H9" s="496"/>
      <c r="I9" s="215" t="s">
        <v>217</v>
      </c>
      <c r="J9" s="216" t="s">
        <v>218</v>
      </c>
      <c r="K9" s="216" t="s">
        <v>219</v>
      </c>
      <c r="L9" s="216" t="s">
        <v>220</v>
      </c>
      <c r="M9" s="496"/>
      <c r="N9" s="496"/>
      <c r="O9" s="216" t="s">
        <v>221</v>
      </c>
      <c r="P9" s="216" t="s">
        <v>222</v>
      </c>
      <c r="Q9" s="495"/>
      <c r="R9" s="495"/>
      <c r="S9" s="496"/>
      <c r="T9" s="47"/>
      <c r="U9" s="43"/>
      <c r="V9" s="48" t="s">
        <v>223</v>
      </c>
      <c r="W9" s="43"/>
      <c r="X9" s="43"/>
      <c r="Y9" s="43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</row>
    <row r="10" spans="1:39" s="46" customFormat="1" ht="18.75" x14ac:dyDescent="0.25">
      <c r="A10" s="491" t="s">
        <v>36</v>
      </c>
      <c r="B10" s="491"/>
      <c r="C10" s="491"/>
      <c r="D10" s="491"/>
      <c r="E10" s="491"/>
      <c r="F10" s="491"/>
      <c r="G10" s="491"/>
      <c r="H10" s="491"/>
      <c r="I10" s="491"/>
      <c r="J10" s="491"/>
      <c r="K10" s="491"/>
      <c r="L10" s="491"/>
      <c r="M10" s="491"/>
      <c r="N10" s="491"/>
      <c r="O10" s="491"/>
      <c r="P10" s="491"/>
      <c r="Q10" s="491"/>
      <c r="R10" s="491"/>
      <c r="S10" s="491"/>
      <c r="T10" s="42"/>
      <c r="U10" s="43"/>
      <c r="V10" s="43"/>
      <c r="W10" s="44"/>
      <c r="X10" s="43"/>
      <c r="Y10" s="43"/>
      <c r="Z10" s="43"/>
      <c r="AA10" s="45"/>
      <c r="AB10" s="45"/>
      <c r="AC10" s="45"/>
      <c r="AD10" s="45"/>
      <c r="AE10" s="45"/>
      <c r="AF10" s="45"/>
      <c r="AG10" s="45"/>
      <c r="AH10" s="45"/>
      <c r="AI10" s="45"/>
      <c r="AJ10" s="45"/>
    </row>
    <row r="11" spans="1:39" ht="63.75" x14ac:dyDescent="0.25">
      <c r="A11" s="198" t="s">
        <v>224</v>
      </c>
      <c r="B11" s="50"/>
      <c r="C11" s="50"/>
      <c r="D11" s="61" t="s">
        <v>225</v>
      </c>
      <c r="E11" s="51" t="str">
        <f>'Costeo detallado'!C10</f>
        <v>1.2.1 Construción de escuelas de modalidad alternativa</v>
      </c>
      <c r="F11" s="51" t="str">
        <f>'Costeo detallado'!D10</f>
        <v>Módulos de 3 aulas -7o, 8o y 9o, y dos sanitarios.</v>
      </c>
      <c r="G11" s="51" t="s">
        <v>226</v>
      </c>
      <c r="H11" s="52"/>
      <c r="I11" s="173">
        <f>'Costeo detallado'!V10</f>
        <v>5000000</v>
      </c>
      <c r="J11" s="174">
        <v>1</v>
      </c>
      <c r="K11" s="174">
        <v>0</v>
      </c>
      <c r="L11" s="51"/>
      <c r="M11" s="51" t="str">
        <f>'Costeo detallado'!$A$7</f>
        <v>Componente I:  Cobertura de servicios del tercer ciclo de educación básica con énfasis en zonas rurales del occidente del país</v>
      </c>
      <c r="N11" s="51" t="s">
        <v>223</v>
      </c>
      <c r="O11" s="65">
        <v>43160</v>
      </c>
      <c r="P11" s="65">
        <v>43344</v>
      </c>
      <c r="Q11" s="53"/>
      <c r="R11" s="53" t="s">
        <v>227</v>
      </c>
      <c r="S11" s="4" t="s">
        <v>228</v>
      </c>
      <c r="T11" s="54"/>
      <c r="U11" s="55"/>
      <c r="V11" s="56"/>
      <c r="W11" s="55"/>
      <c r="X11" s="55"/>
      <c r="Y11" s="55"/>
    </row>
    <row r="12" spans="1:39" hidden="1" x14ac:dyDescent="0.25">
      <c r="D12" s="49" t="s">
        <v>229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57"/>
      <c r="R12" s="57"/>
      <c r="S12" s="57"/>
      <c r="T12" s="54"/>
      <c r="U12" s="55"/>
      <c r="V12" s="56" t="s">
        <v>230</v>
      </c>
      <c r="W12" s="55"/>
      <c r="X12" s="55"/>
      <c r="Y12" s="55"/>
    </row>
    <row r="13" spans="1:39" hidden="1" x14ac:dyDescent="0.25">
      <c r="D13" s="3" t="s">
        <v>229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57"/>
      <c r="R13" s="57"/>
      <c r="S13" s="57"/>
      <c r="T13" s="54"/>
      <c r="U13" s="55"/>
      <c r="V13" s="56" t="s">
        <v>231</v>
      </c>
      <c r="W13" s="55"/>
      <c r="X13" s="55"/>
      <c r="Y13" s="55"/>
    </row>
    <row r="14" spans="1:39" hidden="1" x14ac:dyDescent="0.25">
      <c r="D14" s="3" t="s">
        <v>229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57"/>
      <c r="R14" s="57"/>
      <c r="S14" s="57"/>
      <c r="T14" s="54"/>
      <c r="U14" s="55"/>
      <c r="V14" s="56" t="s">
        <v>232</v>
      </c>
      <c r="W14" s="55"/>
      <c r="X14" s="55"/>
      <c r="Y14" s="55"/>
    </row>
    <row r="15" spans="1:39" hidden="1" x14ac:dyDescent="0.25">
      <c r="D15" s="13" t="s">
        <v>229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58"/>
      <c r="R15" s="58"/>
      <c r="S15" s="58"/>
      <c r="T15" s="54"/>
      <c r="U15" s="55"/>
      <c r="V15" s="56" t="s">
        <v>233</v>
      </c>
      <c r="W15" s="55"/>
      <c r="X15" s="55"/>
      <c r="Y15" s="55"/>
    </row>
    <row r="16" spans="1:39" ht="18.75" x14ac:dyDescent="0.25">
      <c r="A16" s="492" t="s">
        <v>138</v>
      </c>
      <c r="B16" s="493"/>
      <c r="C16" s="493"/>
      <c r="D16" s="493"/>
      <c r="E16" s="493"/>
      <c r="F16" s="493"/>
      <c r="G16" s="493"/>
      <c r="H16" s="493"/>
      <c r="I16" s="493"/>
      <c r="J16" s="493"/>
      <c r="K16" s="493"/>
      <c r="L16" s="493"/>
      <c r="M16" s="493"/>
      <c r="N16" s="493"/>
      <c r="O16" s="493"/>
      <c r="P16" s="493"/>
      <c r="Q16" s="493"/>
      <c r="R16" s="493"/>
      <c r="S16" s="494"/>
      <c r="V16" s="56" t="s">
        <v>234</v>
      </c>
    </row>
    <row r="17" spans="1:25" ht="63.75" x14ac:dyDescent="0.25">
      <c r="A17" s="60" t="s">
        <v>235</v>
      </c>
      <c r="B17" s="61"/>
      <c r="C17" s="61"/>
      <c r="D17" s="62" t="s">
        <v>225</v>
      </c>
      <c r="E17" s="51" t="str">
        <f>'Costeo detallado'!C13</f>
        <v>1.2.4 Mobiliario</v>
      </c>
      <c r="F17" s="51" t="str">
        <f>'Costeo detallado'!D13</f>
        <v>Sillas, mesas y libreros</v>
      </c>
      <c r="G17" s="51" t="s">
        <v>236</v>
      </c>
      <c r="H17" s="52"/>
      <c r="I17" s="63">
        <f>'Costeo detallado'!V13</f>
        <v>50000</v>
      </c>
      <c r="J17" s="174">
        <v>1</v>
      </c>
      <c r="K17" s="174">
        <v>0</v>
      </c>
      <c r="L17" s="64"/>
      <c r="M17" s="51" t="str">
        <f>'Costeo detallado'!$A$7</f>
        <v>Componente I:  Cobertura de servicios del tercer ciclo de educación básica con énfasis en zonas rurales del occidente del país</v>
      </c>
      <c r="N17" s="51" t="s">
        <v>223</v>
      </c>
      <c r="O17" s="65">
        <v>43344</v>
      </c>
      <c r="P17" s="65">
        <v>43525</v>
      </c>
      <c r="Q17" s="66"/>
      <c r="R17" s="53" t="s">
        <v>227</v>
      </c>
      <c r="S17" s="4" t="s">
        <v>237</v>
      </c>
      <c r="T17" s="54"/>
      <c r="U17" s="55"/>
      <c r="V17" s="56" t="s">
        <v>238</v>
      </c>
      <c r="W17" s="55"/>
      <c r="X17" s="55"/>
      <c r="Y17" s="55"/>
    </row>
    <row r="18" spans="1:25" ht="63.75" x14ac:dyDescent="0.25">
      <c r="A18" s="116" t="s">
        <v>239</v>
      </c>
      <c r="B18" s="116"/>
      <c r="C18" s="116"/>
      <c r="D18" s="67" t="s">
        <v>225</v>
      </c>
      <c r="E18" s="51" t="str">
        <f>'Costeo detallado'!C14</f>
        <v>1.2.5 Equipo</v>
      </c>
      <c r="F18" s="51" t="str">
        <f>'Costeo detallado'!D14</f>
        <v>Computadoras tipo laptop, básicas, 1 por cada 3 alumnos</v>
      </c>
      <c r="G18" s="4" t="s">
        <v>226</v>
      </c>
      <c r="H18" s="4"/>
      <c r="I18" s="63">
        <f>'Costeo detallado'!V14</f>
        <v>450000</v>
      </c>
      <c r="J18" s="174">
        <v>1</v>
      </c>
      <c r="K18" s="174">
        <v>0</v>
      </c>
      <c r="L18" s="8"/>
      <c r="M18" s="51" t="str">
        <f>'Costeo detallado'!$A$7</f>
        <v>Componente I:  Cobertura de servicios del tercer ciclo de educación básica con énfasis en zonas rurales del occidente del país</v>
      </c>
      <c r="N18" s="51" t="s">
        <v>223</v>
      </c>
      <c r="O18" s="65">
        <v>43344</v>
      </c>
      <c r="P18" s="65">
        <v>43525</v>
      </c>
      <c r="Q18" s="15"/>
      <c r="R18" s="53" t="s">
        <v>227</v>
      </c>
      <c r="S18" s="4" t="s">
        <v>237</v>
      </c>
      <c r="T18" s="54"/>
      <c r="U18" s="55"/>
      <c r="V18" s="56" t="s">
        <v>240</v>
      </c>
      <c r="W18" s="55"/>
      <c r="X18" s="55"/>
      <c r="Y18" s="55"/>
    </row>
    <row r="19" spans="1:25" ht="63.75" x14ac:dyDescent="0.25">
      <c r="A19" s="69" t="s">
        <v>241</v>
      </c>
      <c r="B19" s="69"/>
      <c r="C19" s="68"/>
      <c r="D19" s="178" t="s">
        <v>225</v>
      </c>
      <c r="E19" s="80" t="str">
        <f>'Costeo detallado'!C33</f>
        <v xml:space="preserve">2.1.9 Transporte de acompañantes en zonas rurales, incluyendo seguros y paquetes de mantenimiento. </v>
      </c>
      <c r="F19" s="80" t="str">
        <f>'Costeo detallado'!D33</f>
        <v>Motocicleta p/zonas rurales, una por supervisor/acompañante (el tipo de medio de transporte podría variar de acuerdo a las necesdidades)</v>
      </c>
      <c r="G19" s="80" t="s">
        <v>242</v>
      </c>
      <c r="H19" s="80"/>
      <c r="I19" s="179">
        <f>'Costeo detallado'!V33</f>
        <v>372166.66666666669</v>
      </c>
      <c r="J19" s="174">
        <v>1</v>
      </c>
      <c r="K19" s="174">
        <v>0</v>
      </c>
      <c r="L19" s="80"/>
      <c r="M19" s="80" t="str">
        <f>'Costeo detallado'!$A$16</f>
        <v>Componente II:  Aumento de competencias para el trabajo y la vida en el tercer ciclo de educación básica</v>
      </c>
      <c r="N19" s="51" t="s">
        <v>223</v>
      </c>
      <c r="O19" s="65">
        <v>43344</v>
      </c>
      <c r="P19" s="65">
        <v>43525</v>
      </c>
      <c r="Q19" s="15"/>
      <c r="R19" s="53" t="s">
        <v>227</v>
      </c>
      <c r="S19" s="88" t="s">
        <v>229</v>
      </c>
      <c r="T19" s="54"/>
      <c r="U19" s="55"/>
      <c r="V19" s="56" t="s">
        <v>243</v>
      </c>
      <c r="W19" s="55"/>
      <c r="X19" s="55"/>
      <c r="Y19" s="55"/>
    </row>
    <row r="20" spans="1:25" ht="63.75" x14ac:dyDescent="0.25">
      <c r="A20" s="69" t="s">
        <v>244</v>
      </c>
      <c r="B20" s="69"/>
      <c r="C20" s="68"/>
      <c r="D20" s="67" t="s">
        <v>225</v>
      </c>
      <c r="E20" s="497" t="str">
        <f>'Costeo detallado'!C42</f>
        <v>2.2.4 Materiales didácticos para mejorar la calidad educativa</v>
      </c>
      <c r="F20" s="180" t="s">
        <v>245</v>
      </c>
      <c r="G20" s="4" t="s">
        <v>226</v>
      </c>
      <c r="H20" s="4"/>
      <c r="I20" s="175">
        <f>'Costeo detallado'!V44</f>
        <v>10128000</v>
      </c>
      <c r="J20" s="174">
        <v>1</v>
      </c>
      <c r="K20" s="174">
        <v>0</v>
      </c>
      <c r="L20" s="80"/>
      <c r="M20" s="80" t="str">
        <f>'Costeo detallado'!$A$16</f>
        <v>Componente II:  Aumento de competencias para el trabajo y la vida en el tercer ciclo de educación básica</v>
      </c>
      <c r="N20" s="51" t="s">
        <v>223</v>
      </c>
      <c r="O20" s="65">
        <v>43647</v>
      </c>
      <c r="P20" s="65">
        <v>43770</v>
      </c>
      <c r="Q20" s="15"/>
      <c r="R20" s="53" t="s">
        <v>227</v>
      </c>
      <c r="S20" s="88" t="s">
        <v>229</v>
      </c>
      <c r="V20" s="56" t="s">
        <v>246</v>
      </c>
    </row>
    <row r="21" spans="1:25" ht="63.75" x14ac:dyDescent="0.25">
      <c r="A21" s="69" t="s">
        <v>244</v>
      </c>
      <c r="B21" s="69"/>
      <c r="C21" s="68"/>
      <c r="D21" s="67" t="s">
        <v>225</v>
      </c>
      <c r="E21" s="498"/>
      <c r="F21" s="180" t="s">
        <v>247</v>
      </c>
      <c r="G21" s="4" t="s">
        <v>226</v>
      </c>
      <c r="H21" s="4"/>
      <c r="I21" s="175">
        <f>'Costeo detallado'!V43</f>
        <v>1000000</v>
      </c>
      <c r="J21" s="174">
        <v>1</v>
      </c>
      <c r="K21" s="174">
        <v>0</v>
      </c>
      <c r="L21" s="80"/>
      <c r="M21" s="80" t="str">
        <f>'Costeo detallado'!$A$16</f>
        <v>Componente II:  Aumento de competencias para el trabajo y la vida en el tercer ciclo de educación básica</v>
      </c>
      <c r="N21" s="51" t="s">
        <v>223</v>
      </c>
      <c r="O21" s="65">
        <v>43647</v>
      </c>
      <c r="P21" s="65">
        <v>43770</v>
      </c>
      <c r="Q21" s="15"/>
      <c r="R21" s="53" t="s">
        <v>227</v>
      </c>
      <c r="S21" s="88" t="s">
        <v>229</v>
      </c>
      <c r="V21" s="56" t="s">
        <v>242</v>
      </c>
    </row>
    <row r="22" spans="1:25" ht="63.75" x14ac:dyDescent="0.25">
      <c r="A22" s="69" t="s">
        <v>248</v>
      </c>
      <c r="B22" s="69"/>
      <c r="C22" s="68"/>
      <c r="D22" s="67" t="s">
        <v>225</v>
      </c>
      <c r="E22" s="180" t="str">
        <f>'Costeo detallado'!C71</f>
        <v>3.2.2 Adquisición y distribución de Equipamiento Informático de para permitir la  conectividad.</v>
      </c>
      <c r="F22" s="180" t="str">
        <f>'Costeo detallado'!D71</f>
        <v xml:space="preserve">Equipamiento necesario para operar el sistema de información educativa, incluyendo paquete de mantenimiento y garantías. </v>
      </c>
      <c r="G22" s="4" t="s">
        <v>226</v>
      </c>
      <c r="H22" s="4"/>
      <c r="I22" s="175">
        <f>'Costeo detallado'!V71</f>
        <v>1884800</v>
      </c>
      <c r="J22" s="174">
        <v>1</v>
      </c>
      <c r="K22" s="174">
        <v>0</v>
      </c>
      <c r="L22" s="80"/>
      <c r="M22" s="80" t="str">
        <f>'Costeo detallado'!$A$52</f>
        <v>Componente III:  Fortalecimiento de la capacidad de gestión administrativa y pedagógica.</v>
      </c>
      <c r="N22" s="51" t="s">
        <v>223</v>
      </c>
      <c r="O22" s="11">
        <v>43252</v>
      </c>
      <c r="P22" s="176">
        <v>43466</v>
      </c>
      <c r="Q22" s="15"/>
      <c r="R22" s="53" t="s">
        <v>227</v>
      </c>
      <c r="S22" s="88" t="s">
        <v>229</v>
      </c>
      <c r="V22" s="56" t="s">
        <v>226</v>
      </c>
    </row>
    <row r="23" spans="1:25" ht="63.75" x14ac:dyDescent="0.25">
      <c r="A23" s="69" t="s">
        <v>249</v>
      </c>
      <c r="B23" s="69"/>
      <c r="C23" s="68"/>
      <c r="D23" s="67" t="s">
        <v>225</v>
      </c>
      <c r="E23" s="180" t="str">
        <f>'Costeo detallado'!C77</f>
        <v>3.2.4 Equipo de Red</v>
      </c>
      <c r="F23" s="180" t="str">
        <f>'Costeo detallado'!D77</f>
        <v>Equipo para Red del Sistema de Información Educativa (incluyendo paquete de mantenimiento y garantías)</v>
      </c>
      <c r="G23" s="4" t="s">
        <v>236</v>
      </c>
      <c r="H23" s="4"/>
      <c r="I23" s="175">
        <f>'Costeo detallado'!V77</f>
        <v>31820</v>
      </c>
      <c r="J23" s="174">
        <v>1</v>
      </c>
      <c r="K23" s="174">
        <v>0</v>
      </c>
      <c r="L23" s="80"/>
      <c r="M23" s="80" t="str">
        <f>'Costeo detallado'!$A$52</f>
        <v>Componente III:  Fortalecimiento de la capacidad de gestión administrativa y pedagógica.</v>
      </c>
      <c r="N23" s="51" t="s">
        <v>223</v>
      </c>
      <c r="O23" s="11">
        <v>43252</v>
      </c>
      <c r="P23" s="176">
        <v>43374</v>
      </c>
      <c r="Q23" s="15"/>
      <c r="R23" s="53" t="s">
        <v>227</v>
      </c>
      <c r="S23" s="88" t="s">
        <v>229</v>
      </c>
      <c r="V23" s="56"/>
    </row>
    <row r="24" spans="1:25" ht="25.5" x14ac:dyDescent="0.25">
      <c r="A24" s="69" t="s">
        <v>250</v>
      </c>
      <c r="B24" s="69"/>
      <c r="C24" s="68"/>
      <c r="D24" s="67" t="s">
        <v>225</v>
      </c>
      <c r="E24" s="180" t="str">
        <f>'Costeo detallado'!C94</f>
        <v>4.1.2 Equipamiento de unidad</v>
      </c>
      <c r="F24" s="180" t="s">
        <v>251</v>
      </c>
      <c r="G24" s="4" t="s">
        <v>236</v>
      </c>
      <c r="H24" s="4"/>
      <c r="I24" s="175">
        <f>'Costeo detallado'!V94</f>
        <v>25700</v>
      </c>
      <c r="J24" s="174">
        <v>1</v>
      </c>
      <c r="K24" s="174">
        <v>0</v>
      </c>
      <c r="L24" s="80"/>
      <c r="M24" s="80" t="str">
        <f>'Costeo detallado'!$A$83</f>
        <v>Administración, monitoreo y evaluación del proyecto</v>
      </c>
      <c r="N24" s="51" t="s">
        <v>223</v>
      </c>
      <c r="O24" s="11">
        <v>43252</v>
      </c>
      <c r="P24" s="176">
        <v>43374</v>
      </c>
      <c r="Q24" s="15"/>
      <c r="R24" s="53" t="s">
        <v>227</v>
      </c>
      <c r="S24" s="88" t="s">
        <v>229</v>
      </c>
      <c r="V24" s="56"/>
    </row>
    <row r="25" spans="1:25" x14ac:dyDescent="0.25">
      <c r="A25" s="69"/>
      <c r="B25" s="69"/>
      <c r="C25" s="68"/>
      <c r="D25" s="67"/>
      <c r="E25" s="180"/>
      <c r="F25" s="180"/>
      <c r="G25" s="4"/>
      <c r="H25" s="4"/>
      <c r="I25" s="175"/>
      <c r="J25" s="174"/>
      <c r="K25" s="174"/>
      <c r="L25" s="80"/>
      <c r="M25" s="80"/>
      <c r="N25" s="51"/>
      <c r="O25" s="65"/>
      <c r="P25" s="65"/>
      <c r="Q25" s="15"/>
      <c r="R25" s="53"/>
      <c r="S25" s="4"/>
      <c r="V25" s="56"/>
    </row>
    <row r="26" spans="1:25" x14ac:dyDescent="0.25">
      <c r="A26" s="69"/>
      <c r="B26" s="69"/>
      <c r="C26" s="68"/>
      <c r="D26" s="67"/>
      <c r="E26" s="181"/>
      <c r="F26" s="80"/>
      <c r="G26" s="4"/>
      <c r="H26" s="4"/>
      <c r="I26" s="175"/>
      <c r="J26" s="8"/>
      <c r="K26" s="8"/>
      <c r="L26" s="8"/>
      <c r="M26" s="4"/>
      <c r="N26" s="4"/>
      <c r="O26" s="9"/>
      <c r="P26" s="9"/>
      <c r="Q26" s="15"/>
      <c r="R26" s="15"/>
      <c r="S26" s="4"/>
      <c r="V26" s="56" t="s">
        <v>236</v>
      </c>
    </row>
    <row r="27" spans="1:25" ht="18.75" x14ac:dyDescent="0.25">
      <c r="A27" s="492" t="s">
        <v>150</v>
      </c>
      <c r="B27" s="493"/>
      <c r="C27" s="493"/>
      <c r="D27" s="493"/>
      <c r="E27" s="493"/>
      <c r="F27" s="493"/>
      <c r="G27" s="493"/>
      <c r="H27" s="493"/>
      <c r="I27" s="493"/>
      <c r="J27" s="493"/>
      <c r="K27" s="493"/>
      <c r="L27" s="493"/>
      <c r="M27" s="493"/>
      <c r="N27" s="493"/>
      <c r="O27" s="493"/>
      <c r="P27" s="493"/>
      <c r="Q27" s="493"/>
      <c r="R27" s="493"/>
      <c r="S27" s="494"/>
      <c r="T27" s="54"/>
      <c r="U27" s="55"/>
      <c r="V27" s="71" t="s">
        <v>252</v>
      </c>
      <c r="W27" s="55"/>
      <c r="X27" s="55"/>
      <c r="Y27" s="55"/>
    </row>
    <row r="28" spans="1:25" ht="63.75" x14ac:dyDescent="0.25">
      <c r="A28" s="69" t="s">
        <v>253</v>
      </c>
      <c r="B28" s="69"/>
      <c r="C28" s="68"/>
      <c r="D28" s="67" t="s">
        <v>225</v>
      </c>
      <c r="E28" s="4" t="str">
        <f>'Costeo detallado'!C76</f>
        <v>3.2.3 Distribución de Equipo</v>
      </c>
      <c r="F28" s="4" t="str">
        <f>'Costeo detallado'!D76</f>
        <v>Distribución de equipo 10% del costo total del equipo (incluye seguro)</v>
      </c>
      <c r="G28" s="4" t="s">
        <v>236</v>
      </c>
      <c r="H28" s="4"/>
      <c r="I28" s="175">
        <f>'Costeo detallado'!V76</f>
        <v>78480</v>
      </c>
      <c r="J28" s="174">
        <v>1</v>
      </c>
      <c r="K28" s="174">
        <v>0</v>
      </c>
      <c r="L28" s="80"/>
      <c r="M28" s="80" t="str">
        <f>'Costeo detallado'!$A$52</f>
        <v>Componente III:  Fortalecimiento de la capacidad de gestión administrativa y pedagógica.</v>
      </c>
      <c r="N28" s="51" t="s">
        <v>223</v>
      </c>
      <c r="O28" s="11">
        <v>43252</v>
      </c>
      <c r="P28" s="176">
        <v>43405</v>
      </c>
      <c r="Q28" s="15"/>
      <c r="R28" s="53" t="s">
        <v>227</v>
      </c>
      <c r="S28" s="88" t="s">
        <v>229</v>
      </c>
      <c r="V28" s="70"/>
    </row>
    <row r="29" spans="1:25" ht="63.75" x14ac:dyDescent="0.25">
      <c r="A29" s="116" t="s">
        <v>254</v>
      </c>
      <c r="B29" s="69"/>
      <c r="C29" s="68"/>
      <c r="D29" s="67" t="s">
        <v>225</v>
      </c>
      <c r="E29" s="186" t="str">
        <f>'Costeo detallado'!C80</f>
        <v>3.2.5 Conectividad para uso de sistemas de información durante la vida del proyecto</v>
      </c>
      <c r="F29" s="186" t="str">
        <f>'Costeo detallado'!D80</f>
        <v>Conectividad para las oficinas de la SEDU en los departamentos beneficiados por la operación (contingencia mientras los asume la SEDUC)</v>
      </c>
      <c r="G29" s="4" t="s">
        <v>236</v>
      </c>
      <c r="H29" s="4"/>
      <c r="I29" s="175">
        <f>'Costeo detallado'!V80</f>
        <v>96000</v>
      </c>
      <c r="J29" s="174">
        <v>1</v>
      </c>
      <c r="K29" s="174">
        <v>0</v>
      </c>
      <c r="L29" s="80"/>
      <c r="M29" s="80" t="str">
        <f>'Costeo detallado'!$A$52</f>
        <v>Componente III:  Fortalecimiento de la capacidad de gestión administrativa y pedagógica.</v>
      </c>
      <c r="N29" s="51" t="s">
        <v>223</v>
      </c>
      <c r="O29" s="11">
        <v>43252</v>
      </c>
      <c r="P29" s="176">
        <v>43405</v>
      </c>
      <c r="Q29" s="15"/>
      <c r="R29" s="53" t="s">
        <v>227</v>
      </c>
      <c r="S29" s="88" t="s">
        <v>229</v>
      </c>
      <c r="V29" s="70"/>
    </row>
    <row r="30" spans="1:25" x14ac:dyDescent="0.25">
      <c r="B30" s="69"/>
      <c r="C30" s="68"/>
      <c r="D30" s="67"/>
      <c r="E30" s="72"/>
      <c r="F30" s="4"/>
      <c r="G30" s="4"/>
      <c r="H30" s="4"/>
      <c r="I30" s="7"/>
      <c r="J30" s="8"/>
      <c r="K30" s="8"/>
      <c r="L30" s="8"/>
      <c r="M30" s="4"/>
      <c r="N30" s="4"/>
      <c r="O30" s="9"/>
      <c r="P30" s="9"/>
      <c r="Q30" s="15"/>
      <c r="R30" s="15"/>
      <c r="S30" s="4"/>
      <c r="V30" s="70"/>
    </row>
    <row r="31" spans="1:25" ht="18.75" x14ac:dyDescent="0.25">
      <c r="A31" s="491" t="s">
        <v>255</v>
      </c>
      <c r="B31" s="491"/>
      <c r="C31" s="491"/>
      <c r="D31" s="491"/>
      <c r="E31" s="491"/>
      <c r="F31" s="491"/>
      <c r="G31" s="491"/>
      <c r="H31" s="491"/>
      <c r="I31" s="491"/>
      <c r="J31" s="491"/>
      <c r="K31" s="491"/>
      <c r="L31" s="491"/>
      <c r="M31" s="491"/>
      <c r="N31" s="491"/>
      <c r="O31" s="491"/>
      <c r="P31" s="491"/>
      <c r="Q31" s="491"/>
      <c r="R31" s="491"/>
      <c r="S31" s="491"/>
      <c r="V31" s="70"/>
    </row>
    <row r="32" spans="1:25" ht="63.75" x14ac:dyDescent="0.25">
      <c r="A32" s="69">
        <v>2.1</v>
      </c>
      <c r="B32" s="116"/>
      <c r="C32" s="2"/>
      <c r="D32" s="3" t="s">
        <v>225</v>
      </c>
      <c r="E32" s="117" t="str">
        <f>'Costeo detallado'!B17</f>
        <v>2.1 Formación docente</v>
      </c>
      <c r="F32" s="103" t="s">
        <v>256</v>
      </c>
      <c r="G32" s="4" t="s">
        <v>257</v>
      </c>
      <c r="H32" s="10"/>
      <c r="I32" s="175">
        <f>'Costeo detallado'!V17</f>
        <v>7899833.3300000001</v>
      </c>
      <c r="J32" s="174">
        <v>1</v>
      </c>
      <c r="K32" s="174">
        <v>0</v>
      </c>
      <c r="L32" s="4"/>
      <c r="M32" s="4" t="str">
        <f>'Costeo detallado'!$A$16</f>
        <v>Componente II:  Aumento de competencias para el trabajo y la vida en el tercer ciclo de educación básica</v>
      </c>
      <c r="N32" s="4" t="s">
        <v>223</v>
      </c>
      <c r="O32" s="11">
        <v>43252</v>
      </c>
      <c r="P32" s="176">
        <v>43466</v>
      </c>
      <c r="Q32" s="4"/>
      <c r="R32" s="4" t="s">
        <v>227</v>
      </c>
      <c r="S32" s="177" t="s">
        <v>229</v>
      </c>
      <c r="V32" s="70"/>
    </row>
    <row r="33" spans="1:22" ht="225" x14ac:dyDescent="0.25">
      <c r="A33" s="116">
        <v>2.2000000000000002</v>
      </c>
      <c r="B33" s="116"/>
      <c r="C33" s="2"/>
      <c r="D33" s="3" t="s">
        <v>225</v>
      </c>
      <c r="E33" s="103" t="str">
        <f>'Costeo detallado'!B35</f>
        <v>2.2 Mejora de las condiciones para el aprendizaje en la escuela</v>
      </c>
      <c r="F33" s="19" t="str">
        <f>'Costeo detallado'!D36</f>
        <v>ACTIVIDADES GENERALES: La consultoría deberá desarrollar e implementar una estrategia para el nivel básico  i) un programa de mejoramiento de clima escolar y prevencion de violencia; ii) desarrollo de guías y materiales necesarios para implementar las acciones de retención y transición estudiantil; iii) capacitación a directores en gestión escolar, y liderazgo pedagógico; iv) desarrollo de una propuesta para eliminar la barreras a la asistencia escolar vía una solución de transporte.</v>
      </c>
      <c r="G33" s="4" t="s">
        <v>257</v>
      </c>
      <c r="H33" s="2"/>
      <c r="I33" s="175">
        <f>'Costeo detallado'!V36</f>
        <v>2900000</v>
      </c>
      <c r="J33" s="174">
        <v>1</v>
      </c>
      <c r="K33" s="174">
        <v>0</v>
      </c>
      <c r="L33" s="2"/>
      <c r="M33" s="4" t="str">
        <f>'Costeo detallado'!$A$16</f>
        <v>Componente II:  Aumento de competencias para el trabajo y la vida en el tercer ciclo de educación básica</v>
      </c>
      <c r="N33" s="4" t="s">
        <v>223</v>
      </c>
      <c r="O33" s="9">
        <v>43252</v>
      </c>
      <c r="P33" s="15">
        <v>43405</v>
      </c>
      <c r="Q33" s="4"/>
      <c r="R33" s="4" t="s">
        <v>227</v>
      </c>
      <c r="S33" s="116" t="s">
        <v>229</v>
      </c>
      <c r="V33" s="70"/>
    </row>
    <row r="34" spans="1:22" ht="51" x14ac:dyDescent="0.25">
      <c r="A34" s="116" t="s">
        <v>258</v>
      </c>
      <c r="B34" s="116"/>
      <c r="C34" s="2"/>
      <c r="D34" s="73" t="s">
        <v>225</v>
      </c>
      <c r="E34" s="182" t="str">
        <f>'Costeo detallado'!C99</f>
        <v>4.2.3 Evaluación de impacto</v>
      </c>
      <c r="F34" s="182" t="str">
        <f>'Costeo detallado'!D99</f>
        <v>Evaluación de los efectos directos del proyecto, incluyendo la aplicación de  un instrumento para la observación y evaluación de las prácticas docentes</v>
      </c>
      <c r="G34" s="14" t="s">
        <v>257</v>
      </c>
      <c r="H34" s="2"/>
      <c r="I34" s="184">
        <f>'Costeo detallado'!V99</f>
        <v>1260000</v>
      </c>
      <c r="J34" s="174">
        <v>1</v>
      </c>
      <c r="K34" s="174">
        <v>0</v>
      </c>
      <c r="L34" s="2"/>
      <c r="M34" s="80" t="str">
        <f>'Costeo detallado'!$A$83</f>
        <v>Administración, monitoreo y evaluación del proyecto</v>
      </c>
      <c r="N34" s="4" t="s">
        <v>223</v>
      </c>
      <c r="O34" s="9">
        <v>43252</v>
      </c>
      <c r="P34" s="85">
        <v>43466</v>
      </c>
      <c r="Q34" s="4"/>
      <c r="R34" s="4" t="s">
        <v>227</v>
      </c>
      <c r="S34" s="116" t="s">
        <v>229</v>
      </c>
      <c r="V34" s="70"/>
    </row>
    <row r="35" spans="1:22" ht="127.5" x14ac:dyDescent="0.25">
      <c r="A35" s="116" t="s">
        <v>259</v>
      </c>
      <c r="B35" s="116"/>
      <c r="C35" s="2"/>
      <c r="D35" s="73" t="s">
        <v>225</v>
      </c>
      <c r="E35" s="182" t="str">
        <f>'Costeo detallado'!C48</f>
        <v>2.3.2 Fortalecimiento en el diseño y aplicación de pruebas estandarizadas -habilidades de aprestamiento para el trabajo para su aplicación, análisis, diseminación y uso de la información, a nivel muestral</v>
      </c>
      <c r="F35" s="182" t="str">
        <f>'Costeo detallado'!D48</f>
        <v>Asistencia técnica y acompañamiento</v>
      </c>
      <c r="G35" s="14" t="s">
        <v>257</v>
      </c>
      <c r="H35" s="2"/>
      <c r="I35" s="184">
        <f>'Costeo detallado'!V48</f>
        <v>1500000</v>
      </c>
      <c r="J35" s="174">
        <v>1</v>
      </c>
      <c r="K35" s="174">
        <v>0</v>
      </c>
      <c r="L35" s="2"/>
      <c r="M35" s="4" t="str">
        <f>'Costeo detallado'!$A$16</f>
        <v>Componente II:  Aumento de competencias para el trabajo y la vida en el tercer ciclo de educación básica</v>
      </c>
      <c r="N35" s="4" t="s">
        <v>223</v>
      </c>
      <c r="O35" s="9">
        <v>43252</v>
      </c>
      <c r="P35" s="85">
        <v>43466</v>
      </c>
      <c r="Q35" s="4"/>
      <c r="R35" s="4" t="s">
        <v>227</v>
      </c>
      <c r="S35" s="116" t="s">
        <v>229</v>
      </c>
      <c r="V35" s="70"/>
    </row>
    <row r="36" spans="1:22" ht="63.75" x14ac:dyDescent="0.25">
      <c r="A36" s="116" t="s">
        <v>260</v>
      </c>
      <c r="B36" s="116"/>
      <c r="C36" s="2"/>
      <c r="D36" s="73" t="s">
        <v>225</v>
      </c>
      <c r="E36" s="182" t="str">
        <f>'Costeo detallado'!C46</f>
        <v>2.2.5 Piloto para la incorporación de programas de aprendizaje asistidos por computadora</v>
      </c>
      <c r="F36" s="182" t="str">
        <f>'Costeo detallado'!D46</f>
        <v>Asistencia técnica y acompañamiento</v>
      </c>
      <c r="G36" s="14" t="s">
        <v>257</v>
      </c>
      <c r="H36" s="2"/>
      <c r="I36" s="184">
        <f>'Costeo detallado'!V46</f>
        <v>2000000</v>
      </c>
      <c r="J36" s="174">
        <v>1</v>
      </c>
      <c r="K36" s="174">
        <v>0</v>
      </c>
      <c r="L36" s="2"/>
      <c r="M36" s="4" t="str">
        <f>'Costeo detallado'!$A$16</f>
        <v>Componente II:  Aumento de competencias para el trabajo y la vida en el tercer ciclo de educación básica</v>
      </c>
      <c r="N36" s="4" t="s">
        <v>223</v>
      </c>
      <c r="O36" s="9">
        <v>43525</v>
      </c>
      <c r="P36" s="85">
        <v>43709</v>
      </c>
      <c r="Q36" s="4"/>
      <c r="R36" s="4" t="s">
        <v>227</v>
      </c>
      <c r="S36" s="116" t="s">
        <v>229</v>
      </c>
      <c r="V36" s="70"/>
    </row>
    <row r="37" spans="1:22" s="23" customFormat="1" ht="72.75" customHeight="1" x14ac:dyDescent="0.25">
      <c r="A37" s="69" t="s">
        <v>261</v>
      </c>
      <c r="B37" s="69"/>
      <c r="C37" s="68"/>
      <c r="D37" s="74" t="s">
        <v>225</v>
      </c>
      <c r="E37" s="75" t="str">
        <f>'Costeo detallado'!C34</f>
        <v>2.1.10 Comunicación Social para el Cambio</v>
      </c>
      <c r="F37" s="75" t="str">
        <f>'Costeo detallado'!D34</f>
        <v>Para la elaboración de una estrategia de comunicación y campaña para promover las intervenciones del proyecto y el cambio de paradígma en la educación, e incentivar a los docentes.</v>
      </c>
      <c r="G37" s="14" t="s">
        <v>257</v>
      </c>
      <c r="H37" s="68"/>
      <c r="I37" s="191">
        <f>'Costeo detallado'!V34</f>
        <v>1200000</v>
      </c>
      <c r="J37" s="174">
        <v>1</v>
      </c>
      <c r="K37" s="174">
        <v>0</v>
      </c>
      <c r="L37" s="185"/>
      <c r="M37" s="4" t="str">
        <f>'Costeo detallado'!$A$16</f>
        <v>Componente II:  Aumento de competencias para el trabajo y la vida en el tercer ciclo de educación básica</v>
      </c>
      <c r="N37" s="4" t="s">
        <v>223</v>
      </c>
      <c r="O37" s="9">
        <v>43252</v>
      </c>
      <c r="P37" s="85">
        <v>43466</v>
      </c>
      <c r="Q37" s="4"/>
      <c r="R37" s="4" t="s">
        <v>227</v>
      </c>
      <c r="S37" s="116" t="s">
        <v>229</v>
      </c>
      <c r="T37" s="59"/>
      <c r="V37" s="70"/>
    </row>
    <row r="38" spans="1:22" ht="150" x14ac:dyDescent="0.25">
      <c r="A38" s="116" t="s">
        <v>262</v>
      </c>
      <c r="B38" s="116"/>
      <c r="C38" s="2"/>
      <c r="D38" s="73" t="s">
        <v>225</v>
      </c>
      <c r="E38" s="182" t="str">
        <f>'Costeo detallado'!C67</f>
        <v>3.2.1 Sistema de Información Educativa (con paquete de mantenimiento y garantías)</v>
      </c>
      <c r="F38" s="183" t="str">
        <f>'Costeo detallado'!D67</f>
        <v xml:space="preserve">Apoyo a la automatización de procesos transaccionales estableciendo comunicación y articulación entre las diferentes bases de datos para contar con un sistema integrado de información educativa que permita gestionar y tomar decisiones relacionadas con el aseguramiento de la calidad educativa. </v>
      </c>
      <c r="G38" s="14" t="s">
        <v>257</v>
      </c>
      <c r="H38" s="2"/>
      <c r="I38" s="184">
        <f>'Costeo detallado'!V67</f>
        <v>3800000</v>
      </c>
      <c r="J38" s="174">
        <v>1</v>
      </c>
      <c r="K38" s="174">
        <v>0</v>
      </c>
      <c r="L38" s="185"/>
      <c r="M38" s="14" t="str">
        <f>'Costeo detallado'!$A$52</f>
        <v>Componente III:  Fortalecimiento de la capacidad de gestión administrativa y pedagógica.</v>
      </c>
      <c r="N38" s="4" t="s">
        <v>223</v>
      </c>
      <c r="O38" s="9">
        <v>43252</v>
      </c>
      <c r="P38" s="85">
        <v>43466</v>
      </c>
      <c r="Q38" s="4"/>
      <c r="R38" s="4" t="s">
        <v>227</v>
      </c>
      <c r="S38" s="116" t="s">
        <v>229</v>
      </c>
      <c r="V38" s="70"/>
    </row>
    <row r="39" spans="1:22" ht="63.75" x14ac:dyDescent="0.25">
      <c r="A39" s="116" t="s">
        <v>263</v>
      </c>
      <c r="B39" s="116"/>
      <c r="C39" s="2"/>
      <c r="D39" s="73" t="s">
        <v>225</v>
      </c>
      <c r="E39" s="182" t="str">
        <f>'Costeo detallado'!C57</f>
        <v>3.1.4 Fortalecimiento de las áreas técnicas de la SEDU</v>
      </c>
      <c r="F39" s="182" t="str">
        <f>'Costeo detallado'!D57</f>
        <v>Asistencia ténica para el fortalecimiento de la SEDU</v>
      </c>
      <c r="G39" s="14" t="s">
        <v>257</v>
      </c>
      <c r="H39" s="2"/>
      <c r="I39" s="184">
        <f>'Costeo detallado'!V57</f>
        <v>244900</v>
      </c>
      <c r="J39" s="174">
        <v>1</v>
      </c>
      <c r="K39" s="174">
        <v>0</v>
      </c>
      <c r="L39" s="185"/>
      <c r="M39" s="14" t="str">
        <f>'Costeo detallado'!$A$52</f>
        <v>Componente III:  Fortalecimiento de la capacidad de gestión administrativa y pedagógica.</v>
      </c>
      <c r="N39" s="4" t="s">
        <v>223</v>
      </c>
      <c r="O39" s="9">
        <v>43252</v>
      </c>
      <c r="P39" s="85">
        <v>43466</v>
      </c>
      <c r="Q39" s="4"/>
      <c r="R39" s="4" t="s">
        <v>227</v>
      </c>
      <c r="S39" s="116" t="s">
        <v>229</v>
      </c>
      <c r="V39" s="70"/>
    </row>
    <row r="40" spans="1:22" ht="78.75" customHeight="1" x14ac:dyDescent="0.25">
      <c r="A40" s="116" t="s">
        <v>264</v>
      </c>
      <c r="B40" s="116"/>
      <c r="C40" s="2"/>
      <c r="D40" s="73" t="s">
        <v>225</v>
      </c>
      <c r="E40" s="182" t="str">
        <f>'Costeo detallado'!C58</f>
        <v>3.1.5 Fortalecimiento a la Dirección General de Modalidades Educativas. Subdirección General de Jóvenes y Adultos</v>
      </c>
      <c r="F40" s="182" t="str">
        <f>'Costeo detallado'!D58</f>
        <v xml:space="preserve">3.2.5.1 Asistencia Técnica al área de modalidades alternativas (Subdirección General de Jóvenes y Adultos) </v>
      </c>
      <c r="G40" s="14" t="s">
        <v>257</v>
      </c>
      <c r="H40" s="2"/>
      <c r="I40" s="184">
        <f>'Costeo detallado'!V58</f>
        <v>180000</v>
      </c>
      <c r="J40" s="174">
        <v>1</v>
      </c>
      <c r="K40" s="174">
        <v>0</v>
      </c>
      <c r="L40" s="185"/>
      <c r="M40" s="14" t="str">
        <f>'Costeo detallado'!$A$52</f>
        <v>Componente III:  Fortalecimiento de la capacidad de gestión administrativa y pedagógica.</v>
      </c>
      <c r="N40" s="4" t="s">
        <v>223</v>
      </c>
      <c r="O40" s="9">
        <v>43252</v>
      </c>
      <c r="P40" s="85">
        <v>43466</v>
      </c>
      <c r="Q40" s="4"/>
      <c r="R40" s="4" t="s">
        <v>227</v>
      </c>
      <c r="S40" s="116" t="s">
        <v>229</v>
      </c>
      <c r="V40" s="70"/>
    </row>
    <row r="41" spans="1:22" s="23" customFormat="1" ht="38.25" x14ac:dyDescent="0.25">
      <c r="A41" s="69" t="s">
        <v>265</v>
      </c>
      <c r="B41" s="69"/>
      <c r="C41" s="68"/>
      <c r="D41" s="74" t="s">
        <v>225</v>
      </c>
      <c r="E41" s="75" t="str">
        <f>'Costeo detallado'!C97</f>
        <v>4.2.1 Auditoría</v>
      </c>
      <c r="F41" s="75" t="str">
        <f>'Costeo detallado'!D97</f>
        <v>Auditoría financiera del proyecto</v>
      </c>
      <c r="G41" s="75" t="s">
        <v>266</v>
      </c>
      <c r="H41" s="68"/>
      <c r="I41" s="76">
        <f>'Costeo detallado'!V97</f>
        <v>300000</v>
      </c>
      <c r="J41" s="174">
        <v>1</v>
      </c>
      <c r="K41" s="174">
        <v>0</v>
      </c>
      <c r="M41" s="203" t="str">
        <f>'Costeo detallado'!$A$83</f>
        <v>Administración, monitoreo y evaluación del proyecto</v>
      </c>
      <c r="N41" s="4" t="s">
        <v>223</v>
      </c>
      <c r="O41" s="9">
        <v>43252</v>
      </c>
      <c r="P41" s="85">
        <v>43466</v>
      </c>
      <c r="Q41" s="4"/>
      <c r="R41" s="4" t="s">
        <v>227</v>
      </c>
      <c r="S41" s="116" t="s">
        <v>229</v>
      </c>
      <c r="T41" s="59"/>
      <c r="V41" s="70"/>
    </row>
    <row r="42" spans="1:22" s="23" customFormat="1" x14ac:dyDescent="0.25">
      <c r="A42" s="68"/>
      <c r="B42" s="69"/>
      <c r="C42" s="68"/>
      <c r="D42" s="74"/>
      <c r="E42" s="75"/>
      <c r="F42" s="75"/>
      <c r="G42" s="75"/>
      <c r="H42" s="68"/>
      <c r="I42" s="76"/>
      <c r="J42" s="77"/>
      <c r="K42" s="77"/>
      <c r="M42" s="75"/>
      <c r="N42" s="75"/>
      <c r="O42" s="78"/>
      <c r="P42" s="79"/>
      <c r="Q42" s="80"/>
      <c r="R42" s="80"/>
      <c r="S42" s="68"/>
      <c r="T42" s="59"/>
      <c r="V42" s="70"/>
    </row>
    <row r="43" spans="1:22" x14ac:dyDescent="0.25">
      <c r="A43" s="81"/>
      <c r="B43" s="82"/>
      <c r="C43" s="81"/>
      <c r="D43" s="73"/>
      <c r="E43" s="14"/>
      <c r="F43" s="14"/>
      <c r="G43" s="14"/>
      <c r="H43" s="81"/>
      <c r="I43" s="16"/>
      <c r="J43" s="83"/>
      <c r="K43" s="83"/>
      <c r="M43" s="14"/>
      <c r="N43" s="14"/>
      <c r="O43" s="84"/>
      <c r="P43" s="85"/>
      <c r="Q43" s="14"/>
      <c r="R43" s="14"/>
      <c r="S43" s="2"/>
      <c r="V43" s="86" t="s">
        <v>267</v>
      </c>
    </row>
    <row r="44" spans="1:22" ht="18.75" x14ac:dyDescent="0.25">
      <c r="A44" s="492" t="s">
        <v>268</v>
      </c>
      <c r="B44" s="493"/>
      <c r="C44" s="493"/>
      <c r="D44" s="493"/>
      <c r="E44" s="493"/>
      <c r="F44" s="493"/>
      <c r="G44" s="493"/>
      <c r="H44" s="493"/>
      <c r="I44" s="493"/>
      <c r="J44" s="493"/>
      <c r="K44" s="493"/>
      <c r="L44" s="493"/>
      <c r="M44" s="493"/>
      <c r="N44" s="493"/>
      <c r="O44" s="493"/>
      <c r="P44" s="493"/>
      <c r="Q44" s="493"/>
      <c r="R44" s="493"/>
      <c r="S44" s="494"/>
      <c r="V44" s="87" t="s">
        <v>269</v>
      </c>
    </row>
    <row r="45" spans="1:22" ht="2.25" customHeight="1" x14ac:dyDescent="0.25">
      <c r="A45" s="68"/>
      <c r="B45" s="69">
        <v>21</v>
      </c>
      <c r="C45" s="68"/>
      <c r="D45" s="88" t="s">
        <v>270</v>
      </c>
      <c r="E45" s="80"/>
      <c r="F45" s="80"/>
      <c r="G45" s="80"/>
      <c r="H45" s="68"/>
      <c r="I45" s="89"/>
      <c r="J45" s="77"/>
      <c r="K45" s="77"/>
      <c r="L45" s="68"/>
      <c r="M45" s="80"/>
      <c r="N45" s="80"/>
      <c r="O45" s="78"/>
      <c r="P45" s="78"/>
      <c r="Q45" s="80"/>
      <c r="R45" s="80"/>
      <c r="S45" s="9"/>
      <c r="V45" s="87" t="s">
        <v>266</v>
      </c>
    </row>
    <row r="46" spans="1:22" ht="63.75" x14ac:dyDescent="0.25">
      <c r="A46" s="69" t="s">
        <v>271</v>
      </c>
      <c r="B46" s="69"/>
      <c r="C46" s="68"/>
      <c r="D46" s="88" t="s">
        <v>225</v>
      </c>
      <c r="E46" s="80" t="str">
        <f>'Costeo detallado'!C11</f>
        <v>1.2.2 Gestores Legales</v>
      </c>
      <c r="F46" s="80" t="str">
        <f>'Costeo detallado'!D11</f>
        <v>Contratación de 2 gestores legales para gestionar la legalidad de la construcción de los centros</v>
      </c>
      <c r="G46" s="80" t="s">
        <v>266</v>
      </c>
      <c r="H46" s="68"/>
      <c r="I46" s="179">
        <f>'Costeo detallado'!V11</f>
        <v>96000</v>
      </c>
      <c r="J46" s="174">
        <v>1</v>
      </c>
      <c r="K46" s="174">
        <v>0</v>
      </c>
      <c r="L46" s="68"/>
      <c r="M46" s="51" t="str">
        <f>'Costeo detallado'!$A$7</f>
        <v>Componente I:  Cobertura de servicios del tercer ciclo de educación básica con énfasis en zonas rurales del occidente del país</v>
      </c>
      <c r="N46" s="80" t="s">
        <v>223</v>
      </c>
      <c r="O46" s="78">
        <v>43191</v>
      </c>
      <c r="P46" s="78">
        <v>43313</v>
      </c>
      <c r="Q46" s="80"/>
      <c r="R46" s="53" t="s">
        <v>227</v>
      </c>
      <c r="S46" s="9" t="s">
        <v>272</v>
      </c>
      <c r="V46" s="87"/>
    </row>
    <row r="47" spans="1:22" ht="63.75" x14ac:dyDescent="0.25">
      <c r="A47" s="69" t="s">
        <v>273</v>
      </c>
      <c r="B47" s="69"/>
      <c r="C47" s="68"/>
      <c r="D47" s="88" t="s">
        <v>225</v>
      </c>
      <c r="E47" s="80" t="str">
        <f>'Costeo detallado'!C12</f>
        <v>1.2.3 Diseño y supervisión de obra</v>
      </c>
      <c r="F47" s="80" t="str">
        <f>'Costeo detallado'!D12</f>
        <v>1 supervisor por cada 5 centros. Estos supervisores son responsables también del diseño, esta ha sido la práctica</v>
      </c>
      <c r="G47" s="80" t="s">
        <v>266</v>
      </c>
      <c r="H47" s="68"/>
      <c r="I47" s="179">
        <f>'Costeo detallado'!V12</f>
        <v>216000</v>
      </c>
      <c r="J47" s="174">
        <v>1</v>
      </c>
      <c r="K47" s="174">
        <v>0</v>
      </c>
      <c r="L47" s="68"/>
      <c r="M47" s="51" t="str">
        <f>'Costeo detallado'!$A$7</f>
        <v>Componente I:  Cobertura de servicios del tercer ciclo de educación básica con énfasis en zonas rurales del occidente del país</v>
      </c>
      <c r="N47" s="80" t="s">
        <v>223</v>
      </c>
      <c r="O47" s="78">
        <v>43191</v>
      </c>
      <c r="P47" s="78">
        <v>43313</v>
      </c>
      <c r="Q47" s="80"/>
      <c r="R47" s="53" t="s">
        <v>227</v>
      </c>
      <c r="S47" s="9" t="s">
        <v>274</v>
      </c>
      <c r="V47" s="87"/>
    </row>
    <row r="48" spans="1:22" ht="63.75" x14ac:dyDescent="0.25">
      <c r="A48" s="69" t="s">
        <v>275</v>
      </c>
      <c r="B48" s="69"/>
      <c r="C48" s="68"/>
      <c r="D48" s="88" t="s">
        <v>225</v>
      </c>
      <c r="E48" s="80" t="str">
        <f>'Costeo detallado'!C54</f>
        <v>3.1.1 Fortalecimiento de la Unidad de Sistemas d Información de la SEDUC</v>
      </c>
      <c r="F48" s="80" t="str">
        <f>'Costeo detallado'!D54</f>
        <v>Personal de apoyo Financiamiento con reducción gradual: Año 1, 100%; Año 2, 75%; Año 3; 50%; Año 4, 25%; y Año 5, 0%</v>
      </c>
      <c r="G48" s="80" t="s">
        <v>266</v>
      </c>
      <c r="H48" s="68"/>
      <c r="I48" s="179">
        <f>'Costeo detallado'!V54</f>
        <v>490000</v>
      </c>
      <c r="J48" s="174">
        <v>1</v>
      </c>
      <c r="K48" s="174">
        <v>0</v>
      </c>
      <c r="L48" s="68"/>
      <c r="M48" s="14" t="str">
        <f>'Costeo detallado'!$A$52</f>
        <v>Componente III:  Fortalecimiento de la capacidad de gestión administrativa y pedagógica.</v>
      </c>
      <c r="N48" s="80" t="s">
        <v>223</v>
      </c>
      <c r="O48" s="78">
        <v>43191</v>
      </c>
      <c r="P48" s="78">
        <v>43313</v>
      </c>
      <c r="Q48" s="80"/>
      <c r="R48" s="53" t="s">
        <v>227</v>
      </c>
      <c r="S48" s="9" t="s">
        <v>276</v>
      </c>
      <c r="V48" s="87"/>
    </row>
    <row r="49" spans="1:24" ht="63.75" x14ac:dyDescent="0.25">
      <c r="A49" s="69" t="s">
        <v>264</v>
      </c>
      <c r="B49" s="69"/>
      <c r="C49" s="68"/>
      <c r="D49" s="88" t="s">
        <v>225</v>
      </c>
      <c r="E49" s="80" t="str">
        <f>'Costeo detallado'!C58</f>
        <v>3.1.5 Fortalecimiento a la Dirección General de Modalidades Educativas. Subdirección General de Jóvenes y Adultos</v>
      </c>
      <c r="F49" s="80" t="str">
        <f>'Costeo detallado'!D59</f>
        <v>3.2.5.2 Personal de apoyo Financiamiento con reducción gradual: Año 1 y 2, 100%; Año 3, 75%; Año 4; 50%; Año 5, 25%</v>
      </c>
      <c r="G49" s="80" t="s">
        <v>266</v>
      </c>
      <c r="H49" s="68"/>
      <c r="I49" s="179">
        <f>'Costeo detallado'!V59</f>
        <v>84000</v>
      </c>
      <c r="J49" s="174">
        <v>1</v>
      </c>
      <c r="K49" s="174">
        <v>0</v>
      </c>
      <c r="L49" s="68"/>
      <c r="M49" s="14" t="str">
        <f>'Costeo detallado'!$A$52</f>
        <v>Componente III:  Fortalecimiento de la capacidad de gestión administrativa y pedagógica.</v>
      </c>
      <c r="N49" s="80" t="s">
        <v>223</v>
      </c>
      <c r="O49" s="78">
        <v>43191</v>
      </c>
      <c r="P49" s="78">
        <v>43313</v>
      </c>
      <c r="Q49" s="80"/>
      <c r="R49" s="53" t="s">
        <v>227</v>
      </c>
      <c r="S49" s="9" t="s">
        <v>277</v>
      </c>
      <c r="V49" s="87"/>
    </row>
    <row r="50" spans="1:24" ht="63.75" x14ac:dyDescent="0.25">
      <c r="A50" s="69" t="s">
        <v>278</v>
      </c>
      <c r="B50" s="69"/>
      <c r="C50" s="68"/>
      <c r="D50" s="88" t="s">
        <v>225</v>
      </c>
      <c r="E50" s="80" t="str">
        <f>'Costeo detallado'!D60</f>
        <v>3.2.6.1 Asistencia Técnica para innovación educativa</v>
      </c>
      <c r="F50" s="80" t="str">
        <f>'Costeo detallado'!D60</f>
        <v>3.2.6.1 Asistencia Técnica para innovación educativa</v>
      </c>
      <c r="G50" s="80" t="s">
        <v>266</v>
      </c>
      <c r="H50" s="2"/>
      <c r="I50" s="187">
        <f>'Costeo detallado'!V60</f>
        <v>76000</v>
      </c>
      <c r="J50" s="174">
        <v>1</v>
      </c>
      <c r="K50" s="174">
        <v>0</v>
      </c>
      <c r="L50" s="68"/>
      <c r="M50" s="14" t="str">
        <f>'Costeo detallado'!$A$52</f>
        <v>Componente III:  Fortalecimiento de la capacidad de gestión administrativa y pedagógica.</v>
      </c>
      <c r="N50" s="80" t="s">
        <v>223</v>
      </c>
      <c r="O50" s="78">
        <v>43191</v>
      </c>
      <c r="P50" s="78">
        <v>43313</v>
      </c>
      <c r="Q50" s="80"/>
      <c r="R50" s="53" t="s">
        <v>227</v>
      </c>
      <c r="S50" s="9" t="s">
        <v>279</v>
      </c>
      <c r="V50" s="87"/>
    </row>
    <row r="51" spans="1:24" ht="89.25" x14ac:dyDescent="0.25">
      <c r="A51" s="69" t="s">
        <v>280</v>
      </c>
      <c r="B51" s="69"/>
      <c r="C51" s="68"/>
      <c r="D51" s="88" t="s">
        <v>225</v>
      </c>
      <c r="E51" s="80" t="str">
        <f>'Costeo detallado'!D61</f>
        <v>3.2.6.2 Lider de innovación educativa Financiamiento con reducción gradual: Año 1 y 2, 100%; Año 3, 75%; Año 4; 50%; Año 5, 25%; </v>
      </c>
      <c r="F51" s="103" t="str">
        <f>'Costeo detallado'!D61</f>
        <v>3.2.6.2 Lider de innovación educativa Financiamiento con reducción gradual: Año 1 y 2, 100%; Año 3, 75%; Año 4; 50%; Año 5, 25%; </v>
      </c>
      <c r="G51" s="80" t="s">
        <v>266</v>
      </c>
      <c r="H51" s="2"/>
      <c r="I51" s="187">
        <f>'Costeo detallado'!V61</f>
        <v>42000</v>
      </c>
      <c r="J51" s="174">
        <v>1</v>
      </c>
      <c r="K51" s="174">
        <v>0</v>
      </c>
      <c r="L51" s="68"/>
      <c r="M51" s="14" t="str">
        <f>'Costeo detallado'!$A$52</f>
        <v>Componente III:  Fortalecimiento de la capacidad de gestión administrativa y pedagógica.</v>
      </c>
      <c r="N51" s="80" t="s">
        <v>223</v>
      </c>
      <c r="O51" s="78">
        <v>43191</v>
      </c>
      <c r="P51" s="78">
        <v>43313</v>
      </c>
      <c r="Q51" s="80"/>
      <c r="R51" s="53" t="s">
        <v>227</v>
      </c>
      <c r="S51" s="188" t="s">
        <v>229</v>
      </c>
      <c r="V51" s="87"/>
    </row>
    <row r="52" spans="1:24" ht="63.75" x14ac:dyDescent="0.25">
      <c r="A52" s="69" t="s">
        <v>281</v>
      </c>
      <c r="B52" s="69"/>
      <c r="C52" s="68"/>
      <c r="D52" s="88" t="s">
        <v>225</v>
      </c>
      <c r="E52" s="80" t="str">
        <f>'Costeo detallado'!C63</f>
        <v>3.1.7 Fortalecimiento de la Subdirección General de Educación Básica</v>
      </c>
      <c r="F52" s="80" t="str">
        <f>'Costeo detallado'!D63</f>
        <v>3.2.7.1 Asdistencia Técnica para la SGEB</v>
      </c>
      <c r="G52" s="80" t="s">
        <v>266</v>
      </c>
      <c r="H52" s="2"/>
      <c r="I52" s="187">
        <f>'Costeo detallado'!V63</f>
        <v>76000</v>
      </c>
      <c r="J52" s="174">
        <v>1</v>
      </c>
      <c r="K52" s="174">
        <v>0</v>
      </c>
      <c r="L52" s="68"/>
      <c r="M52" s="14" t="str">
        <f>'Costeo detallado'!$A$52</f>
        <v>Componente III:  Fortalecimiento de la capacidad de gestión administrativa y pedagógica.</v>
      </c>
      <c r="N52" s="80" t="s">
        <v>223</v>
      </c>
      <c r="O52" s="78">
        <v>43191</v>
      </c>
      <c r="P52" s="78">
        <v>43313</v>
      </c>
      <c r="Q52" s="80"/>
      <c r="R52" s="53" t="s">
        <v>227</v>
      </c>
      <c r="S52" s="9" t="s">
        <v>279</v>
      </c>
      <c r="V52" s="87"/>
    </row>
    <row r="53" spans="1:24" ht="63.75" x14ac:dyDescent="0.25">
      <c r="A53" s="69" t="s">
        <v>282</v>
      </c>
      <c r="B53" s="69"/>
      <c r="C53" s="68"/>
      <c r="D53" s="88" t="s">
        <v>225</v>
      </c>
      <c r="E53" s="80" t="str">
        <f>'Costeo detallado'!C64</f>
        <v>3.1.8 Fortalecimiento del área de infraestructura educativa</v>
      </c>
      <c r="F53" s="80" t="str">
        <f>'Costeo detallado'!D64</f>
        <v>3.2.8.1 Asistencia Técnica para infraestructura</v>
      </c>
      <c r="G53" s="80" t="s">
        <v>266</v>
      </c>
      <c r="H53" s="2"/>
      <c r="I53" s="187">
        <f>'Costeo detallado'!V64</f>
        <v>76000</v>
      </c>
      <c r="J53" s="174">
        <v>1</v>
      </c>
      <c r="K53" s="174">
        <v>0</v>
      </c>
      <c r="L53" s="68"/>
      <c r="M53" s="14" t="str">
        <f>'Costeo detallado'!$A$52</f>
        <v>Componente III:  Fortalecimiento de la capacidad de gestión administrativa y pedagógica.</v>
      </c>
      <c r="N53" s="80" t="s">
        <v>223</v>
      </c>
      <c r="O53" s="78">
        <v>43191</v>
      </c>
      <c r="P53" s="78">
        <v>43313</v>
      </c>
      <c r="Q53" s="80"/>
      <c r="R53" s="53" t="s">
        <v>227</v>
      </c>
      <c r="S53" s="9" t="s">
        <v>279</v>
      </c>
      <c r="V53" s="87"/>
    </row>
    <row r="54" spans="1:24" ht="210" x14ac:dyDescent="0.25">
      <c r="A54" s="69" t="s">
        <v>283</v>
      </c>
      <c r="B54" s="69"/>
      <c r="C54" s="68"/>
      <c r="D54" s="88" t="s">
        <v>225</v>
      </c>
      <c r="E54" s="80" t="str">
        <f>'Costeo detallado'!C85</f>
        <v>4.1.1 Salarios del personal de la unidad</v>
      </c>
      <c r="F54" s="103" t="s">
        <v>284</v>
      </c>
      <c r="G54" s="80" t="s">
        <v>266</v>
      </c>
      <c r="H54" s="2"/>
      <c r="I54" s="189">
        <f>SUM('Costeo detallado'!V85:V93)</f>
        <v>1962300</v>
      </c>
      <c r="J54" s="174">
        <v>1</v>
      </c>
      <c r="K54" s="174">
        <v>0</v>
      </c>
      <c r="L54" s="2"/>
      <c r="M54" s="190" t="str">
        <f>'Costeo detallado'!$A$83</f>
        <v>Administración, monitoreo y evaluación del proyecto</v>
      </c>
      <c r="N54" s="80" t="s">
        <v>223</v>
      </c>
      <c r="O54" s="78">
        <v>43191</v>
      </c>
      <c r="P54" s="78">
        <v>43313</v>
      </c>
      <c r="Q54" s="80"/>
      <c r="R54" s="53" t="s">
        <v>227</v>
      </c>
      <c r="S54" s="19" t="s">
        <v>285</v>
      </c>
      <c r="V54" s="87"/>
    </row>
    <row r="55" spans="1:24" ht="45" x14ac:dyDescent="0.25">
      <c r="A55" s="69" t="s">
        <v>286</v>
      </c>
      <c r="B55" s="69"/>
      <c r="C55" s="68"/>
      <c r="D55" s="88" t="s">
        <v>225</v>
      </c>
      <c r="E55" s="80" t="str">
        <f>'Costeo detallado'!C98</f>
        <v>4.2.2 Informes de medio término y fiinal incluyendo el PCR</v>
      </c>
      <c r="F55" s="80" t="str">
        <f>'Costeo detallado'!D98</f>
        <v>Informes de medio término y final del proyecto</v>
      </c>
      <c r="G55" s="80" t="s">
        <v>266</v>
      </c>
      <c r="H55" s="2"/>
      <c r="I55" s="192">
        <f>'Costeo detallado'!V98</f>
        <v>180000</v>
      </c>
      <c r="J55" s="174">
        <v>1</v>
      </c>
      <c r="K55" s="174">
        <v>0</v>
      </c>
      <c r="L55" s="2"/>
      <c r="M55" s="190" t="str">
        <f>'Costeo detallado'!$A$83</f>
        <v>Administración, monitoreo y evaluación del proyecto</v>
      </c>
      <c r="N55" s="80" t="s">
        <v>223</v>
      </c>
      <c r="O55" s="78">
        <v>43922</v>
      </c>
      <c r="P55" s="78">
        <v>44013</v>
      </c>
      <c r="Q55" s="80"/>
      <c r="R55" s="53" t="s">
        <v>227</v>
      </c>
      <c r="S55" s="188" t="s">
        <v>229</v>
      </c>
      <c r="V55" s="87"/>
    </row>
    <row r="56" spans="1:24" ht="15.75" thickBot="1" x14ac:dyDescent="0.3">
      <c r="M56" s="123"/>
      <c r="V56" s="87"/>
    </row>
    <row r="57" spans="1:24" x14ac:dyDescent="0.25">
      <c r="A57" s="486" t="s">
        <v>287</v>
      </c>
      <c r="B57" s="486"/>
      <c r="C57" s="486"/>
      <c r="D57" s="486"/>
      <c r="E57" s="486"/>
      <c r="F57" s="486"/>
      <c r="G57" s="486"/>
      <c r="H57" s="487"/>
      <c r="I57" s="208">
        <f>SUM(I11,I17:I26,I28:I29,I32:I41,I46:I55)</f>
        <v>43699999.99666667</v>
      </c>
      <c r="J57" s="209" t="s">
        <v>288</v>
      </c>
      <c r="V57" s="86" t="s">
        <v>257</v>
      </c>
    </row>
    <row r="58" spans="1:24" x14ac:dyDescent="0.25">
      <c r="A58" s="486" t="s">
        <v>289</v>
      </c>
      <c r="B58" s="486"/>
      <c r="C58" s="486"/>
      <c r="D58" s="486"/>
      <c r="E58" s="486"/>
      <c r="F58" s="486"/>
      <c r="G58" s="486"/>
      <c r="H58" s="487"/>
      <c r="I58" s="210">
        <f>'Costeo detallado'!V8</f>
        <v>16187999.999999998</v>
      </c>
      <c r="J58" s="211" t="s">
        <v>290</v>
      </c>
      <c r="V58" s="86" t="s">
        <v>291</v>
      </c>
      <c r="W58" s="70"/>
    </row>
    <row r="59" spans="1:24" x14ac:dyDescent="0.25">
      <c r="A59" s="486" t="s">
        <v>292</v>
      </c>
      <c r="B59" s="486"/>
      <c r="C59" s="486"/>
      <c r="D59" s="486"/>
      <c r="E59" s="486"/>
      <c r="F59" s="486"/>
      <c r="G59" s="486"/>
      <c r="H59" s="487"/>
      <c r="I59" s="210"/>
      <c r="J59" s="212"/>
      <c r="X59" s="70"/>
    </row>
    <row r="60" spans="1:24" x14ac:dyDescent="0.25">
      <c r="A60" s="486" t="s">
        <v>293</v>
      </c>
      <c r="B60" s="486"/>
      <c r="C60" s="486"/>
      <c r="D60" s="486"/>
      <c r="E60" s="486"/>
      <c r="F60" s="486"/>
      <c r="G60" s="486"/>
      <c r="H60" s="487"/>
      <c r="I60" s="210">
        <f>'Costeo detallado'!V40</f>
        <v>0</v>
      </c>
      <c r="J60" s="212"/>
      <c r="W60" s="90"/>
      <c r="X60" s="70"/>
    </row>
    <row r="61" spans="1:24" x14ac:dyDescent="0.25">
      <c r="A61" s="486" t="s">
        <v>294</v>
      </c>
      <c r="B61" s="486"/>
      <c r="C61" s="486"/>
      <c r="D61" s="486"/>
      <c r="E61" s="486"/>
      <c r="F61" s="486"/>
      <c r="G61" s="486"/>
      <c r="H61" s="487"/>
      <c r="I61" s="210">
        <f>'Costeo detallado'!V62</f>
        <v>40000</v>
      </c>
      <c r="J61" s="211" t="s">
        <v>295</v>
      </c>
      <c r="W61" s="90"/>
      <c r="X61" s="70"/>
    </row>
    <row r="62" spans="1:24" x14ac:dyDescent="0.25">
      <c r="A62" s="486" t="s">
        <v>296</v>
      </c>
      <c r="B62" s="486"/>
      <c r="C62" s="486"/>
      <c r="D62" s="486"/>
      <c r="E62" s="486"/>
      <c r="F62" s="486"/>
      <c r="G62" s="486"/>
      <c r="H62" s="487"/>
      <c r="I62" s="210">
        <f>'Costeo detallado'!V101</f>
        <v>0</v>
      </c>
      <c r="J62" s="211" t="s">
        <v>9</v>
      </c>
      <c r="W62" s="90"/>
      <c r="X62" s="70"/>
    </row>
    <row r="63" spans="1:24" ht="15.75" thickBot="1" x14ac:dyDescent="0.3">
      <c r="A63" s="486" t="s">
        <v>297</v>
      </c>
      <c r="B63" s="486"/>
      <c r="C63" s="486"/>
      <c r="D63" s="486"/>
      <c r="E63" s="486"/>
      <c r="F63" s="486"/>
      <c r="G63" s="486"/>
      <c r="H63" s="487"/>
      <c r="I63" s="213">
        <f>'Costeo detallado'!V95</f>
        <v>72000</v>
      </c>
      <c r="J63" s="214" t="s">
        <v>298</v>
      </c>
      <c r="W63" s="90"/>
      <c r="X63" s="70"/>
    </row>
    <row r="64" spans="1:24" x14ac:dyDescent="0.25">
      <c r="A64" s="18"/>
      <c r="B64" s="18"/>
      <c r="C64" s="18"/>
      <c r="D64" s="17"/>
      <c r="E64" s="18"/>
      <c r="F64" s="18"/>
      <c r="G64" s="18"/>
      <c r="H64" s="18"/>
      <c r="I64" s="1">
        <f>SUM(I57:I63)</f>
        <v>59999999.99666667</v>
      </c>
      <c r="W64" s="90"/>
      <c r="X64" s="70"/>
    </row>
    <row r="65" spans="1:24" x14ac:dyDescent="0.25">
      <c r="A65" s="18"/>
      <c r="B65" s="18"/>
      <c r="C65" s="18"/>
      <c r="D65" s="17"/>
      <c r="E65" s="18"/>
      <c r="F65" s="18"/>
      <c r="G65" s="18"/>
      <c r="H65" s="18"/>
      <c r="I65" s="1">
        <f>I64-60000000</f>
        <v>-3.3333301544189453E-3</v>
      </c>
      <c r="W65" s="91" t="s">
        <v>299</v>
      </c>
      <c r="X65" s="92" t="s">
        <v>300</v>
      </c>
    </row>
    <row r="66" spans="1:24" x14ac:dyDescent="0.25">
      <c r="W66" s="91" t="s">
        <v>301</v>
      </c>
      <c r="X66" s="92" t="s">
        <v>300</v>
      </c>
    </row>
    <row r="67" spans="1:24" x14ac:dyDescent="0.25">
      <c r="W67" s="91" t="s">
        <v>302</v>
      </c>
      <c r="X67" s="92" t="s">
        <v>300</v>
      </c>
    </row>
    <row r="68" spans="1:24" x14ac:dyDescent="0.25">
      <c r="U68" s="93" t="s">
        <v>303</v>
      </c>
      <c r="W68" s="91" t="s">
        <v>299</v>
      </c>
      <c r="X68" s="92" t="s">
        <v>304</v>
      </c>
    </row>
    <row r="69" spans="1:24" x14ac:dyDescent="0.25">
      <c r="U69" s="93"/>
      <c r="W69" s="91" t="s">
        <v>301</v>
      </c>
      <c r="X69" s="92" t="s">
        <v>304</v>
      </c>
    </row>
    <row r="70" spans="1:24" x14ac:dyDescent="0.25">
      <c r="U70" s="94"/>
      <c r="W70" s="92"/>
      <c r="X70" s="92"/>
    </row>
    <row r="71" spans="1:24" x14ac:dyDescent="0.25">
      <c r="U71" s="94"/>
      <c r="W71" s="92"/>
      <c r="X71" s="92"/>
    </row>
    <row r="72" spans="1:24" x14ac:dyDescent="0.25">
      <c r="U72" s="94"/>
      <c r="W72" s="92"/>
      <c r="X72" s="92"/>
    </row>
    <row r="73" spans="1:24" x14ac:dyDescent="0.25">
      <c r="U73" s="94"/>
      <c r="W73" s="92"/>
      <c r="X73" s="92"/>
    </row>
    <row r="74" spans="1:24" x14ac:dyDescent="0.25">
      <c r="U74" s="94"/>
      <c r="W74" s="92"/>
      <c r="X74" s="92"/>
    </row>
    <row r="75" spans="1:24" x14ac:dyDescent="0.25">
      <c r="U75" s="94"/>
      <c r="W75" s="92"/>
      <c r="X75" s="92"/>
    </row>
    <row r="76" spans="1:24" x14ac:dyDescent="0.25">
      <c r="U76" s="94"/>
      <c r="W76" s="92"/>
      <c r="X76" s="92"/>
    </row>
    <row r="77" spans="1:24" ht="15.75" thickBot="1" x14ac:dyDescent="0.3">
      <c r="U77" s="95"/>
      <c r="W77" s="92"/>
      <c r="X77" s="92"/>
    </row>
    <row r="78" spans="1:24" x14ac:dyDescent="0.25">
      <c r="W78" s="92" t="s">
        <v>305</v>
      </c>
      <c r="X78" s="92" t="s">
        <v>306</v>
      </c>
    </row>
    <row r="79" spans="1:24" x14ac:dyDescent="0.25">
      <c r="W79" s="92" t="s">
        <v>307</v>
      </c>
      <c r="X79" s="92" t="s">
        <v>306</v>
      </c>
    </row>
    <row r="80" spans="1:24" x14ac:dyDescent="0.25">
      <c r="W80" s="92"/>
      <c r="X80" s="92" t="s">
        <v>308</v>
      </c>
    </row>
    <row r="81" spans="23:24" x14ac:dyDescent="0.25">
      <c r="W81" s="92"/>
      <c r="X81" s="92" t="s">
        <v>308</v>
      </c>
    </row>
    <row r="82" spans="23:24" x14ac:dyDescent="0.25">
      <c r="W82" s="70"/>
      <c r="X82" s="70"/>
    </row>
    <row r="83" spans="23:24" x14ac:dyDescent="0.25">
      <c r="W83" s="92"/>
      <c r="X83" s="92"/>
    </row>
    <row r="84" spans="23:24" x14ac:dyDescent="0.25">
      <c r="W84" s="92"/>
      <c r="X84" s="92"/>
    </row>
    <row r="85" spans="23:24" x14ac:dyDescent="0.25">
      <c r="W85" s="92"/>
      <c r="X85" s="92"/>
    </row>
    <row r="86" spans="23:24" x14ac:dyDescent="0.25">
      <c r="W86" s="92" t="s">
        <v>309</v>
      </c>
      <c r="X86" s="92" t="s">
        <v>300</v>
      </c>
    </row>
    <row r="87" spans="23:24" x14ac:dyDescent="0.25">
      <c r="W87" s="92" t="s">
        <v>310</v>
      </c>
      <c r="X87" s="92" t="s">
        <v>300</v>
      </c>
    </row>
    <row r="88" spans="23:24" x14ac:dyDescent="0.25">
      <c r="W88" s="92" t="s">
        <v>311</v>
      </c>
      <c r="X88" s="92" t="s">
        <v>300</v>
      </c>
    </row>
    <row r="89" spans="23:24" x14ac:dyDescent="0.25">
      <c r="W89" s="92" t="s">
        <v>312</v>
      </c>
      <c r="X89" s="92" t="s">
        <v>300</v>
      </c>
    </row>
    <row r="90" spans="23:24" x14ac:dyDescent="0.25">
      <c r="W90" s="70"/>
      <c r="X90" s="70"/>
    </row>
    <row r="91" spans="23:24" x14ac:dyDescent="0.25">
      <c r="W91" s="92" t="s">
        <v>313</v>
      </c>
      <c r="X91" s="92" t="s">
        <v>304</v>
      </c>
    </row>
    <row r="92" spans="23:24" x14ac:dyDescent="0.25">
      <c r="W92" s="92" t="s">
        <v>314</v>
      </c>
      <c r="X92" s="92" t="s">
        <v>304</v>
      </c>
    </row>
    <row r="93" spans="23:24" x14ac:dyDescent="0.25">
      <c r="W93" s="92" t="s">
        <v>315</v>
      </c>
      <c r="X93" s="92" t="s">
        <v>304</v>
      </c>
    </row>
    <row r="94" spans="23:24" x14ac:dyDescent="0.25">
      <c r="W94" s="92" t="s">
        <v>316</v>
      </c>
      <c r="X94" s="92" t="s">
        <v>304</v>
      </c>
    </row>
    <row r="95" spans="23:24" ht="15.75" thickBot="1" x14ac:dyDescent="0.3">
      <c r="W95" s="96"/>
      <c r="X95" s="92"/>
    </row>
    <row r="96" spans="23:24" x14ac:dyDescent="0.25">
      <c r="W96" s="97" t="s">
        <v>317</v>
      </c>
      <c r="X96" s="91" t="s">
        <v>318</v>
      </c>
    </row>
    <row r="97" spans="23:24" x14ac:dyDescent="0.25">
      <c r="W97" s="98" t="s">
        <v>319</v>
      </c>
      <c r="X97" s="91" t="s">
        <v>318</v>
      </c>
    </row>
    <row r="98" spans="23:24" x14ac:dyDescent="0.25">
      <c r="W98" s="99" t="s">
        <v>320</v>
      </c>
      <c r="X98" s="91" t="s">
        <v>318</v>
      </c>
    </row>
    <row r="99" spans="23:24" ht="15.75" thickBot="1" x14ac:dyDescent="0.3">
      <c r="W99" s="100" t="s">
        <v>310</v>
      </c>
      <c r="X99" s="91" t="s">
        <v>318</v>
      </c>
    </row>
    <row r="100" spans="23:24" x14ac:dyDescent="0.25">
      <c r="W100" s="101" t="s">
        <v>321</v>
      </c>
      <c r="X100" s="92" t="s">
        <v>306</v>
      </c>
    </row>
    <row r="101" spans="23:24" x14ac:dyDescent="0.25">
      <c r="W101" s="92" t="s">
        <v>319</v>
      </c>
      <c r="X101" s="92" t="s">
        <v>306</v>
      </c>
    </row>
    <row r="102" spans="23:24" x14ac:dyDescent="0.25">
      <c r="W102" s="70"/>
      <c r="X102" s="70"/>
    </row>
    <row r="104" spans="23:24" x14ac:dyDescent="0.25">
      <c r="W104" s="92" t="s">
        <v>302</v>
      </c>
      <c r="X104" s="70"/>
    </row>
    <row r="105" spans="23:24" x14ac:dyDescent="0.25">
      <c r="W105" s="92" t="s">
        <v>307</v>
      </c>
      <c r="X105" s="70"/>
    </row>
    <row r="107" spans="23:24" x14ac:dyDescent="0.25">
      <c r="W107" s="102" t="s">
        <v>322</v>
      </c>
      <c r="X107" s="70"/>
    </row>
    <row r="108" spans="23:24" x14ac:dyDescent="0.25">
      <c r="W108" s="102" t="s">
        <v>323</v>
      </c>
      <c r="X108" s="70"/>
    </row>
    <row r="109" spans="23:24" x14ac:dyDescent="0.25">
      <c r="W109" s="102" t="s">
        <v>324</v>
      </c>
      <c r="X109" s="70"/>
    </row>
    <row r="110" spans="23:24" x14ac:dyDescent="0.25">
      <c r="W110" s="102" t="s">
        <v>325</v>
      </c>
      <c r="X110" s="70"/>
    </row>
  </sheetData>
  <mergeCells count="35">
    <mergeCell ref="A1:S1"/>
    <mergeCell ref="I3:K3"/>
    <mergeCell ref="I4:K4"/>
    <mergeCell ref="I5:K5"/>
    <mergeCell ref="A6:B6"/>
    <mergeCell ref="N8:N9"/>
    <mergeCell ref="A61:H61"/>
    <mergeCell ref="A62:H62"/>
    <mergeCell ref="E20:E21"/>
    <mergeCell ref="A7:S7"/>
    <mergeCell ref="O8:P8"/>
    <mergeCell ref="A8:A9"/>
    <mergeCell ref="B8:B9"/>
    <mergeCell ref="C8:C9"/>
    <mergeCell ref="D8:D9"/>
    <mergeCell ref="E8:E9"/>
    <mergeCell ref="F8:F9"/>
    <mergeCell ref="G8:G9"/>
    <mergeCell ref="H8:H9"/>
    <mergeCell ref="A63:H63"/>
    <mergeCell ref="L4:S4"/>
    <mergeCell ref="A31:S31"/>
    <mergeCell ref="A44:S44"/>
    <mergeCell ref="A57:H57"/>
    <mergeCell ref="A58:H58"/>
    <mergeCell ref="A59:H59"/>
    <mergeCell ref="A60:H60"/>
    <mergeCell ref="Q8:Q9"/>
    <mergeCell ref="R8:R9"/>
    <mergeCell ref="S8:S9"/>
    <mergeCell ref="A10:S10"/>
    <mergeCell ref="A16:S16"/>
    <mergeCell ref="A27:S27"/>
    <mergeCell ref="I8:L8"/>
    <mergeCell ref="M8:M9"/>
  </mergeCells>
  <dataValidations count="3">
    <dataValidation type="list" allowBlank="1" showInputMessage="1" showErrorMessage="1" sqref="N17:N26 N11:N15 N28:N30 N32:N43 N45:N55" xr:uid="{00000000-0002-0000-0200-000000000000}">
      <formula1>$V$8:$V$9</formula1>
    </dataValidation>
    <dataValidation type="list" allowBlank="1" showInputMessage="1" showErrorMessage="1" sqref="G28:G30 G11:G15 G17:G26" xr:uid="{00000000-0002-0000-0200-000001000000}">
      <formula1>$V$19:$V$26</formula1>
    </dataValidation>
    <dataValidation type="list" allowBlank="1" showInputMessage="1" showErrorMessage="1" sqref="G32:G43 G45:G55" xr:uid="{00000000-0002-0000-0200-000002000000}">
      <formula1>$V$43:$V$58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P16"/>
  <sheetViews>
    <sheetView workbookViewId="0">
      <selection activeCell="R18" sqref="R18"/>
    </sheetView>
  </sheetViews>
  <sheetFormatPr defaultColWidth="9.140625" defaultRowHeight="15" x14ac:dyDescent="0.25"/>
  <cols>
    <col min="1" max="1" width="9.140625" style="12"/>
    <col min="2" max="2" width="5.42578125" style="12" bestFit="1" customWidth="1"/>
    <col min="3" max="3" width="8" style="12" bestFit="1" customWidth="1"/>
    <col min="4" max="4" width="6.140625" style="12" bestFit="1" customWidth="1"/>
    <col min="5" max="5" width="8" style="12" bestFit="1" customWidth="1"/>
    <col min="6" max="6" width="6.140625" style="12" bestFit="1" customWidth="1"/>
    <col min="7" max="7" width="8" style="12" bestFit="1" customWidth="1"/>
    <col min="8" max="8" width="6.140625" style="12" bestFit="1" customWidth="1"/>
    <col min="9" max="9" width="8" style="12" bestFit="1" customWidth="1"/>
    <col min="10" max="10" width="6.140625" style="12" bestFit="1" customWidth="1"/>
    <col min="11" max="11" width="7" style="12" bestFit="1" customWidth="1"/>
    <col min="12" max="12" width="8" style="12" bestFit="1" customWidth="1"/>
    <col min="13" max="13" width="7" style="12" bestFit="1" customWidth="1"/>
    <col min="14" max="14" width="7.140625" style="12" bestFit="1" customWidth="1"/>
    <col min="15" max="15" width="8" style="12" bestFit="1" customWidth="1"/>
    <col min="16" max="16" width="7.140625" style="12" bestFit="1" customWidth="1"/>
    <col min="17" max="16384" width="9.140625" style="12"/>
  </cols>
  <sheetData>
    <row r="1" spans="2:16" ht="15.75" thickBot="1" x14ac:dyDescent="0.3">
      <c r="C1" s="104" t="s">
        <v>326</v>
      </c>
      <c r="D1" s="105">
        <v>1000</v>
      </c>
    </row>
    <row r="2" spans="2:16" x14ac:dyDescent="0.25">
      <c r="H2" s="106"/>
      <c r="I2" s="106"/>
      <c r="J2" s="106"/>
      <c r="K2" s="106"/>
    </row>
    <row r="3" spans="2:16" x14ac:dyDescent="0.25">
      <c r="C3" s="506" t="s">
        <v>327</v>
      </c>
      <c r="D3" s="506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</row>
    <row r="4" spans="2:16" x14ac:dyDescent="0.25">
      <c r="C4" s="506" t="s">
        <v>328</v>
      </c>
      <c r="D4" s="506"/>
      <c r="E4" s="506"/>
      <c r="F4" s="506"/>
      <c r="G4" s="506"/>
      <c r="H4" s="506"/>
      <c r="I4" s="506"/>
      <c r="J4" s="506"/>
      <c r="K4" s="506"/>
      <c r="L4" s="506"/>
      <c r="M4" s="506"/>
      <c r="N4" s="506"/>
      <c r="O4" s="506"/>
      <c r="P4" s="506"/>
    </row>
    <row r="5" spans="2:16" x14ac:dyDescent="0.25">
      <c r="C5" s="507" t="s">
        <v>18</v>
      </c>
      <c r="D5" s="507"/>
      <c r="E5" s="507" t="s">
        <v>19</v>
      </c>
      <c r="F5" s="507"/>
      <c r="G5" s="507" t="s">
        <v>20</v>
      </c>
      <c r="H5" s="507"/>
      <c r="I5" s="507" t="s">
        <v>21</v>
      </c>
      <c r="J5" s="507"/>
      <c r="K5" s="507" t="s">
        <v>22</v>
      </c>
      <c r="L5" s="507"/>
      <c r="M5" s="507" t="s">
        <v>329</v>
      </c>
      <c r="N5" s="507"/>
      <c r="O5" s="507" t="s">
        <v>5</v>
      </c>
      <c r="P5" s="507"/>
    </row>
    <row r="6" spans="2:16" x14ac:dyDescent="0.25">
      <c r="C6" s="107" t="s">
        <v>27</v>
      </c>
      <c r="D6" s="107" t="s">
        <v>6</v>
      </c>
      <c r="E6" s="107" t="s">
        <v>27</v>
      </c>
      <c r="F6" s="107" t="s">
        <v>6</v>
      </c>
      <c r="G6" s="107" t="s">
        <v>27</v>
      </c>
      <c r="H6" s="107" t="s">
        <v>6</v>
      </c>
      <c r="I6" s="107" t="s">
        <v>27</v>
      </c>
      <c r="J6" s="107" t="s">
        <v>6</v>
      </c>
      <c r="K6" s="107" t="s">
        <v>27</v>
      </c>
      <c r="L6" s="107" t="s">
        <v>6</v>
      </c>
      <c r="M6" s="107" t="s">
        <v>27</v>
      </c>
      <c r="N6" s="107" t="s">
        <v>6</v>
      </c>
      <c r="O6" s="107" t="s">
        <v>27</v>
      </c>
      <c r="P6" s="107" t="s">
        <v>6</v>
      </c>
    </row>
    <row r="7" spans="2:16" x14ac:dyDescent="0.25">
      <c r="B7" s="108" t="s">
        <v>3</v>
      </c>
      <c r="C7" s="109">
        <f>'Costeo detallado'!J104/$D$1</f>
        <v>4328.400919206897</v>
      </c>
      <c r="D7" s="110">
        <f>C7/$O$9</f>
        <v>7.2140015324122744E-2</v>
      </c>
      <c r="E7" s="109">
        <f>'Costeo detallado'!L104/$D$1</f>
        <v>18526.717137082054</v>
      </c>
      <c r="F7" s="110">
        <f>E7/$O$9</f>
        <v>0.30877861896852199</v>
      </c>
      <c r="G7" s="109">
        <f>'Costeo detallado'!N104/$D$1</f>
        <v>15916.177567896548</v>
      </c>
      <c r="H7" s="110">
        <f>G7/$O$9</f>
        <v>0.26526962614634636</v>
      </c>
      <c r="I7" s="109">
        <f>'Costeo detallado'!P104/$D$1</f>
        <v>12148.950408282726</v>
      </c>
      <c r="J7" s="110">
        <f>I7/$O$9</f>
        <v>0.20248250681596117</v>
      </c>
      <c r="K7" s="109">
        <f>'Costeo detallado'!R104/$D$1</f>
        <v>9079.7539641984331</v>
      </c>
      <c r="L7" s="110">
        <f>K7/$O$9</f>
        <v>0.15132923274504775</v>
      </c>
      <c r="M7" s="109"/>
      <c r="N7" s="110"/>
      <c r="O7" s="111">
        <f>SUM(C7,E7,G7,I7,K7,M7)</f>
        <v>59999.999996666658</v>
      </c>
      <c r="P7" s="112">
        <f>O7/$O$9</f>
        <v>1</v>
      </c>
    </row>
    <row r="8" spans="2:16" x14ac:dyDescent="0.25">
      <c r="B8" s="108" t="s">
        <v>4</v>
      </c>
      <c r="C8" s="109">
        <v>0</v>
      </c>
      <c r="D8" s="110">
        <f>C8/$O$9</f>
        <v>0</v>
      </c>
      <c r="E8" s="109">
        <v>0</v>
      </c>
      <c r="F8" s="110">
        <f>E8/$O$9</f>
        <v>0</v>
      </c>
      <c r="G8" s="109">
        <f>'[1]Costeo detallado'!O58/D1</f>
        <v>0</v>
      </c>
      <c r="H8" s="110">
        <f>G8/$O$9</f>
        <v>0</v>
      </c>
      <c r="I8" s="109">
        <v>0</v>
      </c>
      <c r="J8" s="110">
        <f>I8/$O$9</f>
        <v>0</v>
      </c>
      <c r="K8" s="109">
        <v>0</v>
      </c>
      <c r="L8" s="110">
        <f>K8/$O$9</f>
        <v>0</v>
      </c>
      <c r="M8" s="109"/>
      <c r="N8" s="110"/>
      <c r="O8" s="111">
        <f>SUM(C8,E8,G8,I8,K8,M8)</f>
        <v>0</v>
      </c>
      <c r="P8" s="112">
        <f>O8/$O$9</f>
        <v>0</v>
      </c>
    </row>
    <row r="9" spans="2:16" x14ac:dyDescent="0.25">
      <c r="B9" s="113" t="s">
        <v>5</v>
      </c>
      <c r="C9" s="114">
        <f>SUM(C7:C8)</f>
        <v>4328.400919206897</v>
      </c>
      <c r="D9" s="115">
        <f>C9/$O$9</f>
        <v>7.2140015324122744E-2</v>
      </c>
      <c r="E9" s="114">
        <f>SUM(E7:E8)</f>
        <v>18526.717137082054</v>
      </c>
      <c r="F9" s="115">
        <f>E9/$O$9</f>
        <v>0.30877861896852199</v>
      </c>
      <c r="G9" s="114">
        <f>SUM(G7:G8)</f>
        <v>15916.177567896548</v>
      </c>
      <c r="H9" s="115">
        <f>G9/$O$9</f>
        <v>0.26526962614634636</v>
      </c>
      <c r="I9" s="114">
        <f>SUM(I7:I8)</f>
        <v>12148.950408282726</v>
      </c>
      <c r="J9" s="115">
        <f>I9/$O$9</f>
        <v>0.20248250681596117</v>
      </c>
      <c r="K9" s="114">
        <f>SUM(K7:K8)</f>
        <v>9079.7539641984331</v>
      </c>
      <c r="L9" s="115">
        <f>K9/$O$9</f>
        <v>0.15132923274504775</v>
      </c>
      <c r="M9" s="114"/>
      <c r="N9" s="115"/>
      <c r="O9" s="114">
        <f>SUM(O7:O8)</f>
        <v>59999.999996666658</v>
      </c>
      <c r="P9" s="112">
        <f>O9/$O$9</f>
        <v>1</v>
      </c>
    </row>
    <row r="11" spans="2:16" x14ac:dyDescent="0.25">
      <c r="N11" s="125"/>
    </row>
    <row r="16" spans="2:16" x14ac:dyDescent="0.25">
      <c r="L16" s="124"/>
    </row>
  </sheetData>
  <mergeCells count="9">
    <mergeCell ref="C3:P3"/>
    <mergeCell ref="C4:P4"/>
    <mergeCell ref="C5:D5"/>
    <mergeCell ref="E5:F5"/>
    <mergeCell ref="G5:H5"/>
    <mergeCell ref="O5:P5"/>
    <mergeCell ref="I5:J5"/>
    <mergeCell ref="K5:L5"/>
    <mergeCell ref="M5:N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L47"/>
  <sheetViews>
    <sheetView topLeftCell="C16" workbookViewId="0">
      <selection activeCell="D32" sqref="D32"/>
    </sheetView>
  </sheetViews>
  <sheetFormatPr defaultColWidth="9.140625" defaultRowHeight="15" x14ac:dyDescent="0.25"/>
  <cols>
    <col min="1" max="1" width="3.7109375" style="140" customWidth="1"/>
    <col min="2" max="2" width="14.140625" style="140" bestFit="1" customWidth="1"/>
    <col min="3" max="3" width="23.28515625" style="140" customWidth="1"/>
    <col min="4" max="4" width="9.140625" style="140"/>
    <col min="5" max="5" width="14" style="140" customWidth="1"/>
    <col min="6" max="6" width="21" style="141" customWidth="1"/>
    <col min="7" max="7" width="14.85546875" style="140" customWidth="1"/>
    <col min="8" max="8" width="22" style="140" customWidth="1"/>
    <col min="9" max="9" width="22.85546875" style="140" customWidth="1"/>
    <col min="10" max="10" width="25.140625" style="140" customWidth="1"/>
    <col min="11" max="11" width="15.42578125" style="140" customWidth="1"/>
    <col min="12" max="12" width="10.5703125" style="140" bestFit="1" customWidth="1"/>
    <col min="13" max="16384" width="9.140625" style="140"/>
  </cols>
  <sheetData>
    <row r="1" spans="2:12" ht="15.75" x14ac:dyDescent="0.25">
      <c r="B1" s="152" t="s">
        <v>330</v>
      </c>
      <c r="C1" s="153" t="s">
        <v>331</v>
      </c>
      <c r="D1" s="154"/>
      <c r="E1" s="154"/>
      <c r="F1" s="155"/>
      <c r="G1" s="154"/>
      <c r="H1" s="154"/>
      <c r="I1" s="154"/>
      <c r="J1" s="154"/>
      <c r="K1" s="154"/>
      <c r="L1" s="154"/>
    </row>
    <row r="3" spans="2:12" s="137" customFormat="1" ht="47.25" x14ac:dyDescent="0.25">
      <c r="D3" s="138" t="s">
        <v>332</v>
      </c>
      <c r="E3" s="138" t="s">
        <v>333</v>
      </c>
      <c r="F3" s="139" t="s">
        <v>334</v>
      </c>
      <c r="G3" s="139" t="s">
        <v>335</v>
      </c>
      <c r="H3" s="139" t="s">
        <v>336</v>
      </c>
      <c r="I3" s="139" t="s">
        <v>337</v>
      </c>
      <c r="J3" s="139" t="s">
        <v>338</v>
      </c>
      <c r="K3" s="139" t="s">
        <v>339</v>
      </c>
      <c r="L3" s="69"/>
    </row>
    <row r="4" spans="2:12" ht="30" customHeight="1" x14ac:dyDescent="0.25">
      <c r="B4" s="510" t="s">
        <v>340</v>
      </c>
      <c r="C4" s="142" t="s">
        <v>341</v>
      </c>
      <c r="D4" s="142">
        <v>267</v>
      </c>
      <c r="E4" s="143" t="s">
        <v>342</v>
      </c>
      <c r="F4" s="142">
        <v>45</v>
      </c>
      <c r="G4" s="144">
        <f>D4*F4</f>
        <v>12015</v>
      </c>
      <c r="H4" s="142">
        <v>4</v>
      </c>
      <c r="I4" s="142">
        <f>H4*D4</f>
        <v>1068</v>
      </c>
      <c r="J4" s="142">
        <v>7</v>
      </c>
      <c r="K4" s="142">
        <f>D4/J4</f>
        <v>38.142857142857146</v>
      </c>
      <c r="L4" s="142"/>
    </row>
    <row r="5" spans="2:12" ht="30" customHeight="1" x14ac:dyDescent="0.25">
      <c r="B5" s="510"/>
      <c r="C5" s="142" t="s">
        <v>343</v>
      </c>
      <c r="D5" s="142">
        <v>200</v>
      </c>
      <c r="E5" s="143" t="s">
        <v>342</v>
      </c>
      <c r="F5" s="204">
        <v>45</v>
      </c>
      <c r="G5" s="144">
        <f t="shared" ref="G5" si="0">D5*F5</f>
        <v>9000</v>
      </c>
      <c r="H5" s="142">
        <v>4</v>
      </c>
      <c r="I5" s="142">
        <f>H5*D5</f>
        <v>800</v>
      </c>
      <c r="J5" s="142">
        <f>J4</f>
        <v>7</v>
      </c>
      <c r="K5" s="142">
        <f>D5/J5</f>
        <v>28.571428571428573</v>
      </c>
      <c r="L5" s="205"/>
    </row>
    <row r="6" spans="2:12" x14ac:dyDescent="0.25">
      <c r="B6" s="510"/>
      <c r="C6" s="206"/>
      <c r="D6" s="207">
        <v>50</v>
      </c>
      <c r="E6" s="207" t="s">
        <v>342</v>
      </c>
      <c r="F6" s="511" t="s">
        <v>344</v>
      </c>
      <c r="G6" s="512"/>
      <c r="H6" s="512"/>
      <c r="I6" s="512"/>
      <c r="J6" s="512"/>
      <c r="K6" s="512"/>
      <c r="L6" s="513"/>
    </row>
    <row r="7" spans="2:12" x14ac:dyDescent="0.25">
      <c r="B7" s="510"/>
      <c r="C7" s="142" t="s">
        <v>341</v>
      </c>
      <c r="D7" s="142">
        <v>80</v>
      </c>
      <c r="E7" s="143" t="s">
        <v>345</v>
      </c>
      <c r="F7" s="142">
        <v>204</v>
      </c>
      <c r="G7" s="144">
        <f>D7*F7</f>
        <v>16320</v>
      </c>
      <c r="H7" s="142">
        <v>8</v>
      </c>
      <c r="I7" s="142">
        <f>H7*D7</f>
        <v>640</v>
      </c>
      <c r="J7" s="142">
        <v>6</v>
      </c>
      <c r="K7" s="142">
        <f>D7/J7</f>
        <v>13.333333333333334</v>
      </c>
      <c r="L7" s="142"/>
    </row>
    <row r="8" spans="2:12" ht="30" x14ac:dyDescent="0.25">
      <c r="B8" s="218" t="s">
        <v>346</v>
      </c>
      <c r="C8" s="142" t="s">
        <v>341</v>
      </c>
      <c r="D8" s="142"/>
      <c r="E8" s="142" t="s">
        <v>345</v>
      </c>
      <c r="F8" s="142"/>
      <c r="G8" s="147">
        <f>G15</f>
        <v>0</v>
      </c>
      <c r="H8" s="147">
        <f>G8/H15</f>
        <v>0</v>
      </c>
      <c r="I8" s="142">
        <f>H8</f>
        <v>0</v>
      </c>
      <c r="J8" s="142"/>
      <c r="K8" s="142"/>
      <c r="L8" s="142"/>
    </row>
    <row r="9" spans="2:12" x14ac:dyDescent="0.25">
      <c r="D9" s="140">
        <f>SUM(D4:D5,D7)</f>
        <v>547</v>
      </c>
      <c r="F9" s="140"/>
      <c r="G9" s="146">
        <f>SUM(G4,G7:G8)</f>
        <v>28335</v>
      </c>
      <c r="I9" s="140">
        <f>SUM(I4:I8)</f>
        <v>2508</v>
      </c>
      <c r="K9" s="140">
        <f>SUM(K4:K8)</f>
        <v>80.047619047619051</v>
      </c>
    </row>
    <row r="10" spans="2:12" ht="15.75" thickBot="1" x14ac:dyDescent="0.3">
      <c r="F10" s="140"/>
      <c r="G10" s="146">
        <f>SUM(G5,G7)</f>
        <v>25320</v>
      </c>
      <c r="I10" s="140">
        <f>I9*J10</f>
        <v>1003.2</v>
      </c>
      <c r="J10" s="140">
        <v>0.4</v>
      </c>
      <c r="K10" s="140">
        <f>ROUNDUP(K9,0)</f>
        <v>81</v>
      </c>
    </row>
    <row r="11" spans="2:12" ht="30.75" thickBot="1" x14ac:dyDescent="0.3">
      <c r="C11" s="142"/>
      <c r="D11" s="519" t="s">
        <v>333</v>
      </c>
      <c r="E11" s="519" t="s">
        <v>347</v>
      </c>
      <c r="F11" s="518" t="s">
        <v>348</v>
      </c>
      <c r="G11" s="219" t="s">
        <v>349</v>
      </c>
      <c r="H11" s="219" t="s">
        <v>350</v>
      </c>
      <c r="I11" s="200">
        <v>508</v>
      </c>
      <c r="J11" s="200">
        <v>640</v>
      </c>
      <c r="K11" s="201">
        <v>720</v>
      </c>
    </row>
    <row r="12" spans="2:12" x14ac:dyDescent="0.25">
      <c r="C12" s="142"/>
      <c r="D12" s="520"/>
      <c r="E12" s="520"/>
      <c r="F12" s="518"/>
      <c r="G12" s="148"/>
      <c r="H12" s="142">
        <v>20</v>
      </c>
      <c r="K12" s="140">
        <f>SUM(I11:K11)</f>
        <v>1868</v>
      </c>
    </row>
    <row r="13" spans="2:12" ht="30" x14ac:dyDescent="0.25">
      <c r="C13" s="149" t="s">
        <v>351</v>
      </c>
      <c r="D13" s="142" t="s">
        <v>352</v>
      </c>
      <c r="E13" s="144">
        <v>36000</v>
      </c>
      <c r="F13" s="195">
        <f>E13/E$15</f>
        <v>0.58064516129032262</v>
      </c>
      <c r="G13" s="150">
        <f>J$23*F13</f>
        <v>0</v>
      </c>
      <c r="H13" s="142"/>
    </row>
    <row r="14" spans="2:12" x14ac:dyDescent="0.25">
      <c r="C14" s="142"/>
      <c r="D14" s="142" t="s">
        <v>353</v>
      </c>
      <c r="E14" s="144">
        <v>26000</v>
      </c>
      <c r="F14" s="195">
        <f>E14/E$15</f>
        <v>0.41935483870967744</v>
      </c>
      <c r="G14" s="150">
        <f>J$23*F14</f>
        <v>0</v>
      </c>
      <c r="H14" s="142"/>
    </row>
    <row r="15" spans="2:12" x14ac:dyDescent="0.25">
      <c r="E15" s="146">
        <f>SUM(E13:E14)</f>
        <v>62000</v>
      </c>
      <c r="F15" s="140"/>
      <c r="G15" s="145">
        <f>SUM(G13:G14)</f>
        <v>0</v>
      </c>
      <c r="H15" s="140">
        <v>20</v>
      </c>
    </row>
    <row r="16" spans="2:12" x14ac:dyDescent="0.25">
      <c r="E16" s="146"/>
      <c r="F16" s="145"/>
    </row>
    <row r="17" spans="2:12" x14ac:dyDescent="0.25">
      <c r="E17" s="193" t="s">
        <v>18</v>
      </c>
      <c r="F17" s="194" t="s">
        <v>19</v>
      </c>
      <c r="G17" s="194" t="s">
        <v>20</v>
      </c>
      <c r="H17" s="194" t="s">
        <v>21</v>
      </c>
      <c r="I17" s="194" t="s">
        <v>22</v>
      </c>
      <c r="J17" s="194"/>
    </row>
    <row r="18" spans="2:12" x14ac:dyDescent="0.25">
      <c r="C18" s="142" t="s">
        <v>354</v>
      </c>
      <c r="E18" s="146"/>
      <c r="F18" s="145">
        <v>600</v>
      </c>
      <c r="G18" s="145">
        <f>F18</f>
        <v>600</v>
      </c>
      <c r="H18" s="145">
        <f>G18</f>
        <v>600</v>
      </c>
      <c r="I18" s="145">
        <f>H18</f>
        <v>600</v>
      </c>
      <c r="J18" s="145"/>
    </row>
    <row r="19" spans="2:12" x14ac:dyDescent="0.25">
      <c r="E19" s="146"/>
      <c r="F19" s="145"/>
      <c r="G19" s="145">
        <v>1000</v>
      </c>
      <c r="H19" s="145">
        <f t="shared" ref="H19:I20" si="1">G19</f>
        <v>1000</v>
      </c>
      <c r="I19" s="145">
        <f t="shared" si="1"/>
        <v>1000</v>
      </c>
      <c r="J19" s="145"/>
    </row>
    <row r="20" spans="2:12" x14ac:dyDescent="0.25">
      <c r="E20" s="146"/>
      <c r="F20" s="145"/>
      <c r="H20" s="145">
        <v>1100</v>
      </c>
      <c r="I20" s="145">
        <f t="shared" si="1"/>
        <v>1100</v>
      </c>
      <c r="J20" s="145"/>
    </row>
    <row r="21" spans="2:12" x14ac:dyDescent="0.25">
      <c r="E21" s="146"/>
      <c r="F21" s="145"/>
      <c r="I21" s="145">
        <v>1300</v>
      </c>
      <c r="J21" s="145"/>
    </row>
    <row r="22" spans="2:12" x14ac:dyDescent="0.25">
      <c r="E22" s="146"/>
      <c r="F22" s="145"/>
      <c r="J22" s="145"/>
    </row>
    <row r="23" spans="2:12" x14ac:dyDescent="0.25">
      <c r="E23" s="147">
        <f t="shared" ref="E23:I23" si="2">SUM(E18:E22)</f>
        <v>0</v>
      </c>
      <c r="F23" s="147">
        <f t="shared" si="2"/>
        <v>600</v>
      </c>
      <c r="G23" s="147">
        <f t="shared" si="2"/>
        <v>1600</v>
      </c>
      <c r="H23" s="147">
        <f t="shared" si="2"/>
        <v>2700</v>
      </c>
      <c r="I23" s="147">
        <f t="shared" si="2"/>
        <v>4000</v>
      </c>
      <c r="J23" s="147"/>
    </row>
    <row r="24" spans="2:12" x14ac:dyDescent="0.25">
      <c r="E24" s="160"/>
      <c r="F24" s="160"/>
      <c r="G24" s="160"/>
      <c r="H24" s="160"/>
      <c r="I24" s="160"/>
      <c r="J24" s="160"/>
    </row>
    <row r="25" spans="2:12" x14ac:dyDescent="0.25">
      <c r="C25" s="140" t="s">
        <v>355</v>
      </c>
      <c r="E25" s="193" t="s">
        <v>18</v>
      </c>
      <c r="F25" s="194" t="s">
        <v>19</v>
      </c>
      <c r="G25" s="194" t="s">
        <v>20</v>
      </c>
      <c r="H25" s="194" t="s">
        <v>21</v>
      </c>
      <c r="I25" s="194" t="s">
        <v>22</v>
      </c>
      <c r="J25" s="194"/>
    </row>
    <row r="26" spans="2:12" x14ac:dyDescent="0.25">
      <c r="C26" s="142" t="s">
        <v>356</v>
      </c>
      <c r="D26" s="142"/>
      <c r="E26" s="147">
        <f>G4+G7</f>
        <v>28335</v>
      </c>
      <c r="F26" s="147">
        <f>E26</f>
        <v>28335</v>
      </c>
      <c r="G26" s="147">
        <f>F26</f>
        <v>28335</v>
      </c>
      <c r="H26" s="147">
        <f>G26</f>
        <v>28335</v>
      </c>
      <c r="I26" s="147">
        <f>H26</f>
        <v>28335</v>
      </c>
      <c r="J26" s="147"/>
    </row>
    <row r="27" spans="2:12" x14ac:dyDescent="0.25">
      <c r="C27" s="142" t="s">
        <v>357</v>
      </c>
      <c r="D27" s="142"/>
      <c r="E27" s="142">
        <v>0</v>
      </c>
      <c r="F27" s="150">
        <f>F23</f>
        <v>600</v>
      </c>
      <c r="G27" s="150">
        <f>G23</f>
        <v>1600</v>
      </c>
      <c r="H27" s="150">
        <f>H23</f>
        <v>2700</v>
      </c>
      <c r="I27" s="150">
        <f>I23</f>
        <v>4000</v>
      </c>
      <c r="J27" s="150">
        <f>J23</f>
        <v>0</v>
      </c>
    </row>
    <row r="28" spans="2:12" x14ac:dyDescent="0.25">
      <c r="E28" s="196"/>
      <c r="F28" s="197">
        <f>SUM(F26:F27)</f>
        <v>28935</v>
      </c>
      <c r="G28" s="197">
        <f>SUM(G26:G27)</f>
        <v>29935</v>
      </c>
      <c r="H28" s="197">
        <f>SUM(H26:H27)</f>
        <v>31035</v>
      </c>
      <c r="I28" s="197">
        <f>SUM(I26:I27)</f>
        <v>32335</v>
      </c>
      <c r="J28" s="197"/>
    </row>
    <row r="29" spans="2:12" x14ac:dyDescent="0.25">
      <c r="F29" s="145">
        <f>SUM($G$4,F23)</f>
        <v>12615</v>
      </c>
      <c r="G29" s="145">
        <f>SUM($G$4,G23)</f>
        <v>13615</v>
      </c>
      <c r="H29" s="145">
        <f>SUM($G$4,H23)</f>
        <v>14715</v>
      </c>
      <c r="I29" s="145">
        <f>SUM($G$4,I23)</f>
        <v>16015</v>
      </c>
      <c r="J29" s="145"/>
    </row>
    <row r="30" spans="2:12" ht="15.75" x14ac:dyDescent="0.25">
      <c r="B30" s="152" t="s">
        <v>358</v>
      </c>
      <c r="C30" s="153" t="s">
        <v>359</v>
      </c>
      <c r="D30" s="154"/>
      <c r="E30" s="154"/>
      <c r="F30" s="155"/>
      <c r="G30" s="154"/>
      <c r="H30" s="154"/>
      <c r="I30" s="154"/>
      <c r="J30" s="154"/>
      <c r="K30" s="154"/>
      <c r="L30" s="154"/>
    </row>
    <row r="31" spans="2:12" x14ac:dyDescent="0.25">
      <c r="E31" s="193" t="s">
        <v>18</v>
      </c>
      <c r="F31" s="194" t="s">
        <v>19</v>
      </c>
      <c r="G31" s="194" t="s">
        <v>20</v>
      </c>
      <c r="H31" s="194" t="s">
        <v>21</v>
      </c>
      <c r="I31" s="194" t="s">
        <v>22</v>
      </c>
      <c r="J31" s="194"/>
    </row>
    <row r="32" spans="2:12" ht="45" x14ac:dyDescent="0.25">
      <c r="C32" s="141" t="str">
        <f>'Costeo detallado'!C10</f>
        <v>1.2.1 Construción de escuelas de modalidad alternativa</v>
      </c>
      <c r="F32" s="140">
        <v>15</v>
      </c>
      <c r="G32" s="140">
        <v>20</v>
      </c>
      <c r="H32" s="140">
        <v>15</v>
      </c>
    </row>
    <row r="33" spans="2:12" x14ac:dyDescent="0.25">
      <c r="C33" s="141" t="str">
        <f>'Costeo detallado'!C11</f>
        <v>1.2.2 Gestores Legales</v>
      </c>
      <c r="F33" s="145"/>
      <c r="G33" s="145"/>
      <c r="H33" s="145"/>
      <c r="I33" s="145"/>
      <c r="J33" s="145"/>
    </row>
    <row r="34" spans="2:12" ht="30" x14ac:dyDescent="0.25">
      <c r="C34" s="141" t="str">
        <f>'Costeo detallado'!C12</f>
        <v>1.2.3 Diseño y supervisión de obra</v>
      </c>
      <c r="F34" s="145"/>
      <c r="G34" s="145"/>
      <c r="H34" s="145"/>
      <c r="I34" s="145"/>
      <c r="J34" s="145"/>
    </row>
    <row r="35" spans="2:12" x14ac:dyDescent="0.25">
      <c r="C35" s="141" t="str">
        <f>'Costeo detallado'!C13</f>
        <v>1.2.4 Mobiliario</v>
      </c>
      <c r="F35" s="145"/>
      <c r="G35" s="145"/>
      <c r="H35" s="145"/>
      <c r="I35" s="145"/>
      <c r="J35" s="145"/>
    </row>
    <row r="36" spans="2:12" x14ac:dyDescent="0.25">
      <c r="F36" s="145"/>
      <c r="G36" s="145"/>
      <c r="H36" s="145"/>
      <c r="I36" s="145"/>
      <c r="J36" s="145"/>
    </row>
    <row r="37" spans="2:12" x14ac:dyDescent="0.25">
      <c r="F37" s="145"/>
      <c r="G37" s="145"/>
      <c r="H37" s="145"/>
      <c r="I37" s="145"/>
      <c r="J37" s="145"/>
    </row>
    <row r="38" spans="2:12" ht="15.75" x14ac:dyDescent="0.25">
      <c r="B38" s="152" t="s">
        <v>360</v>
      </c>
      <c r="C38" s="153" t="s">
        <v>361</v>
      </c>
      <c r="D38" s="154"/>
      <c r="E38" s="154"/>
      <c r="F38" s="155"/>
      <c r="G38" s="154"/>
      <c r="H38" s="154"/>
      <c r="I38" s="154"/>
      <c r="J38" s="154"/>
      <c r="K38" s="154"/>
      <c r="L38" s="154"/>
    </row>
    <row r="39" spans="2:12" ht="30" x14ac:dyDescent="0.25">
      <c r="E39" s="219" t="s">
        <v>362</v>
      </c>
      <c r="F39" s="219" t="str">
        <f>I3</f>
        <v>Total de docentes (incluye director)</v>
      </c>
      <c r="G39" s="69" t="s">
        <v>363</v>
      </c>
    </row>
    <row r="40" spans="2:12" ht="75" customHeight="1" x14ac:dyDescent="0.25">
      <c r="C40" s="514" t="s">
        <v>364</v>
      </c>
      <c r="D40" s="515"/>
      <c r="E40" s="156">
        <v>600</v>
      </c>
      <c r="F40" s="142">
        <f>$I$9</f>
        <v>2508</v>
      </c>
      <c r="G40" s="147">
        <f>E40*F40</f>
        <v>1504800</v>
      </c>
    </row>
    <row r="42" spans="2:12" x14ac:dyDescent="0.25">
      <c r="C42" s="516" t="s">
        <v>365</v>
      </c>
      <c r="D42" s="517"/>
      <c r="E42" s="156">
        <v>800</v>
      </c>
      <c r="F42" s="142">
        <f>$I$7</f>
        <v>640</v>
      </c>
      <c r="G42" s="147">
        <f>E42*F42</f>
        <v>512000</v>
      </c>
    </row>
    <row r="43" spans="2:12" x14ac:dyDescent="0.25">
      <c r="C43" s="157"/>
      <c r="D43" s="157"/>
      <c r="E43" s="158"/>
      <c r="F43" s="159"/>
      <c r="G43" s="160"/>
    </row>
    <row r="44" spans="2:12" ht="31.5" x14ac:dyDescent="0.25">
      <c r="E44" s="161" t="s">
        <v>332</v>
      </c>
      <c r="F44" s="161" t="s">
        <v>333</v>
      </c>
      <c r="G44" s="162" t="s">
        <v>334</v>
      </c>
      <c r="H44" s="162" t="s">
        <v>335</v>
      </c>
      <c r="I44" s="163" t="s">
        <v>366</v>
      </c>
      <c r="J44" s="217" t="s">
        <v>367</v>
      </c>
      <c r="K44" s="219" t="s">
        <v>368</v>
      </c>
      <c r="L44" s="69" t="s">
        <v>363</v>
      </c>
    </row>
    <row r="45" spans="2:12" ht="60" customHeight="1" x14ac:dyDescent="0.25">
      <c r="C45" s="508" t="s">
        <v>369</v>
      </c>
      <c r="D45" s="509"/>
      <c r="E45" s="69">
        <f>$D$7</f>
        <v>80</v>
      </c>
      <c r="F45" s="69" t="str">
        <f>$E$7</f>
        <v>Urbanas</v>
      </c>
      <c r="G45" s="69">
        <f>$F$7</f>
        <v>204</v>
      </c>
      <c r="H45" s="151">
        <f>E45*G45</f>
        <v>16320</v>
      </c>
      <c r="I45" s="164">
        <v>0.16</v>
      </c>
      <c r="J45" s="147">
        <f>I45*H45</f>
        <v>2611.2000000000003</v>
      </c>
      <c r="K45" s="142">
        <v>500</v>
      </c>
      <c r="L45" s="147">
        <f>J45*K45</f>
        <v>1305600.0000000002</v>
      </c>
    </row>
    <row r="46" spans="2:12" ht="44.25" customHeight="1" x14ac:dyDescent="0.25">
      <c r="C46" s="508" t="s">
        <v>370</v>
      </c>
      <c r="D46" s="509"/>
      <c r="E46" s="69">
        <f>$D$7</f>
        <v>80</v>
      </c>
      <c r="F46" s="69" t="str">
        <f>$E$7</f>
        <v>Urbanas</v>
      </c>
      <c r="G46" s="69">
        <f>$F$7</f>
        <v>204</v>
      </c>
      <c r="H46" s="151">
        <f>E46*G46</f>
        <v>16320</v>
      </c>
      <c r="I46" s="164">
        <v>0.215</v>
      </c>
      <c r="J46" s="147">
        <f>I46*H46</f>
        <v>3508.7999999999997</v>
      </c>
      <c r="K46" s="142">
        <v>500</v>
      </c>
      <c r="L46" s="147">
        <f>J46*K46</f>
        <v>1754399.9999999998</v>
      </c>
    </row>
    <row r="47" spans="2:12" x14ac:dyDescent="0.25">
      <c r="L47" s="146">
        <f>SUM(L45:L46)</f>
        <v>3060000</v>
      </c>
    </row>
  </sheetData>
  <mergeCells count="9">
    <mergeCell ref="C45:D45"/>
    <mergeCell ref="C46:D46"/>
    <mergeCell ref="B4:B7"/>
    <mergeCell ref="F6:L6"/>
    <mergeCell ref="C40:D40"/>
    <mergeCell ref="C42:D42"/>
    <mergeCell ref="F11:F12"/>
    <mergeCell ref="E11:E12"/>
    <mergeCell ref="D11:D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Tabla de Costos</vt:lpstr>
      <vt:lpstr>Costeo detallado</vt:lpstr>
      <vt:lpstr>Plan de Adq.</vt:lpstr>
      <vt:lpstr>Calendario de desembolsos</vt:lpstr>
      <vt:lpstr>Supuestos y Calculos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ACF</dc:creator>
  <cp:keywords/>
  <dc:description/>
  <cp:lastModifiedBy>Contreras Gomez, Rafael Eduardo</cp:lastModifiedBy>
  <cp:revision/>
  <dcterms:created xsi:type="dcterms:W3CDTF">2014-11-20T17:03:28Z</dcterms:created>
  <dcterms:modified xsi:type="dcterms:W3CDTF">2017-11-16T16:56:16Z</dcterms:modified>
  <cp:category/>
  <cp:contentStatus/>
</cp:coreProperties>
</file>