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326"/>
  <workbookPr/>
  <mc:AlternateContent xmlns:mc="http://schemas.openxmlformats.org/markup-compatibility/2006">
    <mc:Choice Requires="x15">
      <x15ac:absPath xmlns:x15ac="http://schemas.microsoft.com/office/spreadsheetml/2010/11/ac" url="C:\Users\danielca\Desktop\INETSP\LOANS\Brasil\BR-L1445\POD\Main Doc\EER\EER 2\"/>
    </mc:Choice>
  </mc:AlternateContent>
  <bookViews>
    <workbookView xWindow="0" yWindow="0" windowWidth="12240" windowHeight="5316" activeTab="2" xr2:uid="{00000000-000D-0000-FFFF-FFFF00000000}"/>
  </bookViews>
  <sheets>
    <sheet name="PEP US$" sheetId="1" r:id="rId1"/>
    <sheet name="ORÇAMENTO US$" sheetId="2" r:id="rId2"/>
    <sheet name="POA 18m US$" sheetId="3" r:id="rId3"/>
  </sheets>
  <calcPr calcId="171026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7" i="1" l="1"/>
  <c r="I17" i="1"/>
  <c r="E50" i="2"/>
  <c r="F50" i="2"/>
  <c r="G50" i="2"/>
  <c r="C51" i="2"/>
  <c r="D51" i="2"/>
  <c r="C52" i="2"/>
  <c r="H52" i="2"/>
  <c r="D52" i="2"/>
  <c r="C54" i="2"/>
  <c r="D54" i="2"/>
  <c r="E54" i="2"/>
  <c r="F54" i="2"/>
  <c r="G54" i="2"/>
  <c r="C55" i="2"/>
  <c r="D55" i="2"/>
  <c r="E55" i="2"/>
  <c r="F55" i="2"/>
  <c r="G55" i="2"/>
  <c r="C56" i="2"/>
  <c r="D56" i="2"/>
  <c r="E56" i="2"/>
  <c r="F56" i="2"/>
  <c r="G56" i="2"/>
  <c r="C57" i="2"/>
  <c r="D57" i="2"/>
  <c r="E57" i="2"/>
  <c r="F57" i="2"/>
  <c r="G57" i="2"/>
  <c r="C59" i="2"/>
  <c r="D59" i="2"/>
  <c r="C60" i="2"/>
  <c r="D60" i="2"/>
  <c r="E60" i="2"/>
  <c r="F60" i="2"/>
  <c r="G60" i="2"/>
  <c r="C61" i="2"/>
  <c r="D61" i="2"/>
  <c r="E61" i="2"/>
  <c r="F61" i="2"/>
  <c r="G61" i="2"/>
  <c r="C62" i="2"/>
  <c r="D62" i="2"/>
  <c r="E62" i="2"/>
  <c r="F62" i="2"/>
  <c r="G62" i="2"/>
  <c r="C63" i="2"/>
  <c r="D63" i="2"/>
  <c r="E63" i="2"/>
  <c r="F63" i="2"/>
  <c r="G63" i="2"/>
  <c r="C64" i="2"/>
  <c r="D64" i="2"/>
  <c r="E64" i="2"/>
  <c r="F64" i="2"/>
  <c r="G64" i="2"/>
  <c r="C66" i="2"/>
  <c r="D66" i="2"/>
  <c r="E66" i="2"/>
  <c r="F66" i="2"/>
  <c r="G66" i="2"/>
  <c r="C67" i="2"/>
  <c r="D67" i="2"/>
  <c r="E67" i="2"/>
  <c r="F67" i="2"/>
  <c r="G67" i="2"/>
  <c r="D68" i="2"/>
  <c r="F68" i="2"/>
  <c r="H69" i="2"/>
  <c r="C65" i="2"/>
  <c r="H57" i="2"/>
  <c r="D50" i="2"/>
  <c r="H59" i="2"/>
  <c r="G65" i="2"/>
  <c r="H66" i="2"/>
  <c r="H63" i="2"/>
  <c r="H54" i="2"/>
  <c r="H53" i="2"/>
  <c r="C50" i="2"/>
  <c r="H56" i="2"/>
  <c r="D58" i="2"/>
  <c r="H67" i="2"/>
  <c r="F65" i="2"/>
  <c r="H64" i="2"/>
  <c r="G58" i="2"/>
  <c r="H60" i="2"/>
  <c r="H55" i="2"/>
  <c r="H68" i="2"/>
  <c r="D65" i="2"/>
  <c r="H61" i="2"/>
  <c r="F58" i="2"/>
  <c r="F53" i="2"/>
  <c r="D53" i="2"/>
  <c r="H62" i="2"/>
  <c r="E58" i="2"/>
  <c r="E53" i="2"/>
  <c r="G53" i="2"/>
  <c r="C53" i="2"/>
  <c r="E65" i="2"/>
  <c r="E70" i="2"/>
  <c r="C58" i="2"/>
  <c r="H51" i="2"/>
  <c r="H50" i="2"/>
  <c r="G14" i="3"/>
  <c r="F21" i="3"/>
  <c r="J6" i="3"/>
  <c r="I7" i="3"/>
  <c r="J7" i="3"/>
  <c r="I8" i="3"/>
  <c r="J8" i="3"/>
  <c r="I9" i="3"/>
  <c r="J9" i="3"/>
  <c r="K9" i="3"/>
  <c r="I10" i="3"/>
  <c r="J10" i="3"/>
  <c r="K10" i="3"/>
  <c r="I11" i="3"/>
  <c r="J11" i="3"/>
  <c r="K11" i="3"/>
  <c r="I12" i="3"/>
  <c r="I13" i="3"/>
  <c r="I14" i="3"/>
  <c r="I15" i="3"/>
  <c r="J15" i="3"/>
  <c r="K15" i="3"/>
  <c r="I16" i="3"/>
  <c r="J16" i="3"/>
  <c r="K16" i="3"/>
  <c r="I17" i="3"/>
  <c r="J17" i="3"/>
  <c r="K17" i="3"/>
  <c r="I18" i="3"/>
  <c r="J18" i="3"/>
  <c r="I19" i="3"/>
  <c r="J19" i="3"/>
  <c r="K19" i="3"/>
  <c r="I20" i="3"/>
  <c r="J20" i="3"/>
  <c r="K20" i="3"/>
  <c r="I21" i="3"/>
  <c r="I22" i="3"/>
  <c r="I23" i="3"/>
  <c r="J23" i="3"/>
  <c r="I24" i="3"/>
  <c r="J24" i="3"/>
  <c r="K24" i="3"/>
  <c r="I25" i="3"/>
  <c r="J25" i="3"/>
  <c r="K25" i="3"/>
  <c r="I26" i="3"/>
  <c r="J26" i="3"/>
  <c r="I27" i="3"/>
  <c r="J27" i="3"/>
  <c r="K27" i="3"/>
  <c r="J28" i="3"/>
  <c r="I29" i="3"/>
  <c r="J29" i="3"/>
  <c r="K29" i="3"/>
  <c r="I30" i="3"/>
  <c r="J30" i="3"/>
  <c r="K30" i="3"/>
  <c r="I31" i="3"/>
  <c r="J31" i="3"/>
  <c r="K31" i="3"/>
  <c r="I32" i="3"/>
  <c r="J32" i="3"/>
  <c r="K32" i="3"/>
  <c r="I33" i="3"/>
  <c r="J33" i="3"/>
  <c r="K33" i="3"/>
  <c r="I34" i="3"/>
  <c r="J34" i="3"/>
  <c r="K34" i="3"/>
  <c r="I35" i="3"/>
  <c r="J35" i="3"/>
  <c r="K35" i="3"/>
  <c r="I36" i="3"/>
  <c r="J36" i="3"/>
  <c r="I37" i="3"/>
  <c r="J37" i="3"/>
  <c r="K37" i="3"/>
  <c r="I38" i="3"/>
  <c r="J38" i="3"/>
  <c r="I39" i="3"/>
  <c r="J39" i="3"/>
  <c r="K39" i="3"/>
  <c r="I40" i="3"/>
  <c r="J40" i="3"/>
  <c r="K40" i="3"/>
  <c r="I41" i="3"/>
  <c r="J41" i="3"/>
  <c r="K41" i="3"/>
  <c r="J42" i="3"/>
  <c r="C6" i="3"/>
  <c r="D6" i="3"/>
  <c r="E6" i="3"/>
  <c r="N6" i="3"/>
  <c r="F6" i="3"/>
  <c r="C7" i="3"/>
  <c r="D7" i="3"/>
  <c r="E7" i="3"/>
  <c r="N7" i="3"/>
  <c r="F7" i="3"/>
  <c r="G7" i="3"/>
  <c r="C8" i="3"/>
  <c r="D8" i="3"/>
  <c r="E8" i="3"/>
  <c r="F8" i="3"/>
  <c r="G8" i="3"/>
  <c r="H8" i="3"/>
  <c r="C9" i="3"/>
  <c r="D9" i="3"/>
  <c r="E9" i="3"/>
  <c r="N9" i="3"/>
  <c r="F9" i="3"/>
  <c r="G9" i="3"/>
  <c r="H9" i="3"/>
  <c r="C10" i="3"/>
  <c r="D10" i="3"/>
  <c r="E10" i="3"/>
  <c r="F10" i="3"/>
  <c r="G10" i="3"/>
  <c r="H10" i="3"/>
  <c r="C11" i="3"/>
  <c r="D11" i="3"/>
  <c r="E11" i="3"/>
  <c r="N11" i="3"/>
  <c r="F11" i="3"/>
  <c r="G11" i="3"/>
  <c r="H11" i="3"/>
  <c r="C12" i="3"/>
  <c r="D12" i="3"/>
  <c r="E12" i="3"/>
  <c r="N12" i="3"/>
  <c r="C13" i="3"/>
  <c r="D13" i="3"/>
  <c r="E13" i="3"/>
  <c r="N13" i="3"/>
  <c r="G13" i="3"/>
  <c r="C14" i="3"/>
  <c r="D14" i="3"/>
  <c r="E14" i="3"/>
  <c r="C15" i="3"/>
  <c r="D15" i="3"/>
  <c r="E15" i="3"/>
  <c r="N15" i="3"/>
  <c r="F15" i="3"/>
  <c r="G15" i="3"/>
  <c r="H15" i="3"/>
  <c r="C16" i="3"/>
  <c r="D16" i="3"/>
  <c r="E16" i="3"/>
  <c r="F16" i="3"/>
  <c r="G16" i="3"/>
  <c r="C17" i="3"/>
  <c r="D17" i="3"/>
  <c r="E17" i="3"/>
  <c r="N17" i="3"/>
  <c r="F17" i="3"/>
  <c r="G17" i="3"/>
  <c r="H17" i="3"/>
  <c r="C18" i="3"/>
  <c r="D18" i="3"/>
  <c r="E18" i="3"/>
  <c r="F18" i="3"/>
  <c r="G18" i="3"/>
  <c r="C19" i="3"/>
  <c r="D19" i="3"/>
  <c r="E19" i="3"/>
  <c r="N19" i="3"/>
  <c r="F19" i="3"/>
  <c r="G19" i="3"/>
  <c r="H19" i="3"/>
  <c r="C20" i="3"/>
  <c r="D20" i="3"/>
  <c r="E20" i="3"/>
  <c r="N20" i="3"/>
  <c r="F20" i="3"/>
  <c r="G20" i="3"/>
  <c r="H20" i="3"/>
  <c r="C21" i="3"/>
  <c r="D21" i="3"/>
  <c r="E21" i="3"/>
  <c r="N21" i="3"/>
  <c r="C22" i="3"/>
  <c r="D22" i="3"/>
  <c r="E22" i="3"/>
  <c r="F22" i="3"/>
  <c r="G22" i="3"/>
  <c r="C23" i="3"/>
  <c r="D23" i="3"/>
  <c r="E23" i="3"/>
  <c r="N23" i="3"/>
  <c r="F23" i="3"/>
  <c r="G23" i="3"/>
  <c r="H23" i="3"/>
  <c r="C24" i="3"/>
  <c r="D24" i="3"/>
  <c r="E24" i="3"/>
  <c r="N24" i="3"/>
  <c r="F24" i="3"/>
  <c r="G24" i="3"/>
  <c r="H24" i="3"/>
  <c r="C25" i="3"/>
  <c r="D25" i="3"/>
  <c r="E25" i="3"/>
  <c r="N25" i="3"/>
  <c r="F25" i="3"/>
  <c r="G25" i="3"/>
  <c r="H25" i="3"/>
  <c r="C26" i="3"/>
  <c r="D26" i="3"/>
  <c r="E26" i="3"/>
  <c r="N26" i="3"/>
  <c r="F26" i="3"/>
  <c r="G26" i="3"/>
  <c r="H26" i="3"/>
  <c r="C27" i="3"/>
  <c r="D27" i="3"/>
  <c r="E27" i="3"/>
  <c r="N27" i="3"/>
  <c r="F27" i="3"/>
  <c r="G27" i="3"/>
  <c r="H27" i="3"/>
  <c r="C28" i="3"/>
  <c r="D28" i="3"/>
  <c r="E28" i="3"/>
  <c r="N28" i="3"/>
  <c r="C29" i="3"/>
  <c r="D29" i="3"/>
  <c r="E29" i="3"/>
  <c r="G29" i="3"/>
  <c r="C30" i="3"/>
  <c r="D30" i="3"/>
  <c r="E30" i="3"/>
  <c r="N30" i="3"/>
  <c r="G30" i="3"/>
  <c r="C31" i="3"/>
  <c r="D31" i="3"/>
  <c r="E31" i="3"/>
  <c r="N31" i="3"/>
  <c r="F31" i="3"/>
  <c r="G31" i="3"/>
  <c r="C32" i="3"/>
  <c r="D32" i="3"/>
  <c r="E32" i="3"/>
  <c r="G32" i="3"/>
  <c r="C33" i="3"/>
  <c r="D33" i="3"/>
  <c r="E33" i="3"/>
  <c r="N33" i="3"/>
  <c r="F33" i="3"/>
  <c r="G33" i="3"/>
  <c r="C34" i="3"/>
  <c r="D34" i="3"/>
  <c r="E34" i="3"/>
  <c r="N34" i="3"/>
  <c r="G34" i="3"/>
  <c r="C35" i="3"/>
  <c r="D35" i="3"/>
  <c r="E35" i="3"/>
  <c r="N35" i="3"/>
  <c r="F35" i="3"/>
  <c r="G35" i="3"/>
  <c r="C36" i="3"/>
  <c r="D36" i="3"/>
  <c r="E36" i="3"/>
  <c r="N36" i="3"/>
  <c r="F36" i="3"/>
  <c r="G36" i="3"/>
  <c r="C37" i="3"/>
  <c r="D37" i="3"/>
  <c r="E37" i="3"/>
  <c r="N37" i="3"/>
  <c r="F37" i="3"/>
  <c r="G37" i="3"/>
  <c r="H37" i="3"/>
  <c r="C38" i="3"/>
  <c r="D38" i="3"/>
  <c r="E38" i="3"/>
  <c r="N38" i="3"/>
  <c r="F38" i="3"/>
  <c r="G38" i="3"/>
  <c r="C39" i="3"/>
  <c r="D39" i="3"/>
  <c r="E39" i="3"/>
  <c r="N39" i="3"/>
  <c r="F39" i="3"/>
  <c r="G39" i="3"/>
  <c r="H39" i="3"/>
  <c r="C40" i="3"/>
  <c r="D40" i="3"/>
  <c r="E40" i="3"/>
  <c r="G40" i="3"/>
  <c r="C41" i="3"/>
  <c r="D41" i="3"/>
  <c r="E41" i="3"/>
  <c r="N41" i="3"/>
  <c r="F41" i="3"/>
  <c r="G41" i="3"/>
  <c r="C42" i="3"/>
  <c r="D42" i="3"/>
  <c r="E42" i="3"/>
  <c r="N42" i="3"/>
  <c r="G42" i="3"/>
  <c r="D5" i="3"/>
  <c r="E5" i="3"/>
  <c r="N5" i="3"/>
  <c r="C5" i="3"/>
  <c r="D70" i="2"/>
  <c r="H65" i="2"/>
  <c r="C70" i="2"/>
  <c r="G70" i="2"/>
  <c r="F70" i="2"/>
  <c r="H58" i="2"/>
  <c r="H36" i="3"/>
  <c r="K26" i="3"/>
  <c r="F42" i="3"/>
  <c r="K7" i="3"/>
  <c r="H14" i="3"/>
  <c r="H34" i="3"/>
  <c r="H35" i="3"/>
  <c r="F34" i="3"/>
  <c r="K38" i="3"/>
  <c r="H32" i="3"/>
  <c r="K36" i="3"/>
  <c r="H40" i="3"/>
  <c r="I28" i="3"/>
  <c r="I6" i="3"/>
  <c r="H7" i="3"/>
  <c r="F29" i="3"/>
  <c r="J22" i="3"/>
  <c r="K18" i="3"/>
  <c r="K8" i="3"/>
  <c r="G21" i="3"/>
  <c r="H30" i="3"/>
  <c r="M18" i="3"/>
  <c r="G6" i="3"/>
  <c r="H16" i="3"/>
  <c r="M30" i="3"/>
  <c r="I42" i="3"/>
  <c r="L36" i="3"/>
  <c r="L32" i="3"/>
  <c r="L27" i="3"/>
  <c r="F14" i="3"/>
  <c r="M34" i="3"/>
  <c r="H31" i="3"/>
  <c r="M13" i="3"/>
  <c r="H33" i="3"/>
  <c r="G28" i="3"/>
  <c r="L22" i="3"/>
  <c r="F13" i="3"/>
  <c r="M37" i="3"/>
  <c r="L35" i="3"/>
  <c r="L33" i="3"/>
  <c r="L18" i="3"/>
  <c r="L17" i="3"/>
  <c r="L16" i="3"/>
  <c r="L15" i="3"/>
  <c r="L13" i="3"/>
  <c r="L5" i="3"/>
  <c r="F40" i="3"/>
  <c r="L37" i="3"/>
  <c r="L21" i="3"/>
  <c r="L19" i="3"/>
  <c r="M9" i="3"/>
  <c r="L8" i="3"/>
  <c r="K23" i="3"/>
  <c r="N16" i="3"/>
  <c r="L20" i="3"/>
  <c r="H41" i="3"/>
  <c r="L40" i="3"/>
  <c r="L39" i="3"/>
  <c r="M22" i="3"/>
  <c r="M11" i="3"/>
  <c r="K28" i="3"/>
  <c r="H18" i="3"/>
  <c r="J14" i="3"/>
  <c r="F32" i="3"/>
  <c r="L25" i="3"/>
  <c r="L23" i="3"/>
  <c r="L14" i="3"/>
  <c r="L11" i="3"/>
  <c r="L10" i="3"/>
  <c r="L9" i="3"/>
  <c r="L7" i="3"/>
  <c r="L6" i="3"/>
  <c r="J5" i="3"/>
  <c r="M8" i="3"/>
  <c r="H38" i="3"/>
  <c r="L41" i="3"/>
  <c r="M26" i="3"/>
  <c r="H22" i="3"/>
  <c r="M32" i="3"/>
  <c r="M14" i="3"/>
  <c r="H42" i="3"/>
  <c r="F30" i="3"/>
  <c r="L24" i="3"/>
  <c r="L26" i="3"/>
  <c r="L38" i="3"/>
  <c r="L42" i="3"/>
  <c r="M42" i="3"/>
  <c r="M40" i="3"/>
  <c r="M38" i="3"/>
  <c r="M36" i="3"/>
  <c r="M28" i="3"/>
  <c r="M24" i="3"/>
  <c r="M20" i="3"/>
  <c r="M16" i="3"/>
  <c r="N10" i="3"/>
  <c r="N22" i="3"/>
  <c r="L28" i="3"/>
  <c r="N40" i="3"/>
  <c r="L34" i="3"/>
  <c r="L31" i="3"/>
  <c r="L30" i="3"/>
  <c r="K14" i="3"/>
  <c r="M6" i="3"/>
  <c r="N18" i="3"/>
  <c r="N32" i="3"/>
  <c r="L12" i="3"/>
  <c r="M5" i="3"/>
  <c r="M27" i="3"/>
  <c r="M25" i="3"/>
  <c r="M23" i="3"/>
  <c r="M21" i="3"/>
  <c r="M19" i="3"/>
  <c r="M17" i="3"/>
  <c r="M15" i="3"/>
  <c r="M7" i="3"/>
  <c r="M12" i="3"/>
  <c r="N8" i="3"/>
  <c r="M10" i="3"/>
  <c r="N14" i="3"/>
  <c r="M33" i="3"/>
  <c r="M39" i="3"/>
  <c r="M41" i="3"/>
  <c r="M35" i="3"/>
  <c r="M31" i="3"/>
  <c r="H70" i="2"/>
  <c r="H72" i="2"/>
  <c r="G5" i="3"/>
  <c r="K42" i="3"/>
  <c r="K6" i="3"/>
  <c r="I5" i="3"/>
  <c r="H6" i="3"/>
  <c r="F5" i="3"/>
  <c r="H13" i="3"/>
  <c r="H29" i="3"/>
  <c r="G12" i="3"/>
  <c r="J13" i="3"/>
  <c r="H21" i="3"/>
  <c r="K22" i="3"/>
  <c r="F12" i="3"/>
  <c r="F28" i="3"/>
  <c r="J21" i="3"/>
  <c r="G29" i="1"/>
  <c r="I29" i="1"/>
  <c r="J29" i="1"/>
  <c r="L29" i="1"/>
  <c r="M29" i="1"/>
  <c r="O29" i="1"/>
  <c r="P29" i="1"/>
  <c r="R29" i="1"/>
  <c r="S29" i="1"/>
  <c r="U29" i="1"/>
  <c r="V29" i="1"/>
  <c r="Z39" i="1"/>
  <c r="AD39" i="1"/>
  <c r="W39" i="1"/>
  <c r="W38" i="1"/>
  <c r="T39" i="1"/>
  <c r="T38" i="1"/>
  <c r="Q39" i="1"/>
  <c r="Q38" i="1"/>
  <c r="Y39" i="1"/>
  <c r="N39" i="1"/>
  <c r="N38" i="1"/>
  <c r="K39" i="1"/>
  <c r="F39" i="1"/>
  <c r="V38" i="1"/>
  <c r="U38" i="1"/>
  <c r="S38" i="1"/>
  <c r="R38" i="1"/>
  <c r="P38" i="1"/>
  <c r="O38" i="1"/>
  <c r="M38" i="1"/>
  <c r="L38" i="1"/>
  <c r="J38" i="1"/>
  <c r="I38" i="1"/>
  <c r="G38" i="1"/>
  <c r="K5" i="3"/>
  <c r="J12" i="3"/>
  <c r="H12" i="3"/>
  <c r="H28" i="3"/>
  <c r="H5" i="3"/>
  <c r="K13" i="3"/>
  <c r="K21" i="3"/>
  <c r="Z38" i="1"/>
  <c r="AA39" i="1"/>
  <c r="Y38" i="1"/>
  <c r="AC39" i="1"/>
  <c r="F38" i="1"/>
  <c r="K38" i="1"/>
  <c r="AA38" i="1"/>
  <c r="H39" i="1"/>
  <c r="G22" i="1"/>
  <c r="F22" i="1"/>
  <c r="L22" i="1"/>
  <c r="P22" i="1"/>
  <c r="S22" i="1"/>
  <c r="V22" i="1"/>
  <c r="M22" i="1"/>
  <c r="J22" i="1"/>
  <c r="O22" i="1"/>
  <c r="K12" i="3"/>
  <c r="R22" i="1"/>
  <c r="U22" i="1"/>
  <c r="AC38" i="1"/>
  <c r="AE39" i="1"/>
  <c r="H38" i="1"/>
  <c r="Z9" i="1"/>
  <c r="Z11" i="1"/>
  <c r="Z15" i="1"/>
  <c r="Z22" i="1"/>
  <c r="AD22" i="1"/>
  <c r="Z25" i="1"/>
  <c r="Z27" i="1"/>
  <c r="Z29" i="1"/>
  <c r="Z31" i="1"/>
  <c r="Z33" i="1"/>
  <c r="Z35" i="1"/>
  <c r="Z37" i="1"/>
  <c r="Z41" i="1"/>
  <c r="Z44" i="1"/>
  <c r="Z49" i="1"/>
  <c r="Z50" i="1"/>
  <c r="Z51" i="1"/>
  <c r="Z54" i="1"/>
  <c r="Y9" i="1"/>
  <c r="AC9" i="1"/>
  <c r="Y11" i="1"/>
  <c r="AC11" i="1"/>
  <c r="Y15" i="1"/>
  <c r="AC15" i="1"/>
  <c r="Y16" i="1"/>
  <c r="Y17" i="1"/>
  <c r="Y18" i="1"/>
  <c r="Y19" i="1"/>
  <c r="Y20" i="1"/>
  <c r="Y22" i="1"/>
  <c r="AC22" i="1"/>
  <c r="Y27" i="1"/>
  <c r="AC27" i="1"/>
  <c r="Y31" i="1"/>
  <c r="Y33" i="1"/>
  <c r="Y35" i="1"/>
  <c r="Y37" i="1"/>
  <c r="Y41" i="1"/>
  <c r="Y44" i="1"/>
  <c r="AC44" i="1"/>
  <c r="Y49" i="1"/>
  <c r="Y50" i="1"/>
  <c r="Y51" i="1"/>
  <c r="G15" i="1"/>
  <c r="F20" i="1"/>
  <c r="F19" i="1"/>
  <c r="F18" i="1"/>
  <c r="F17" i="1"/>
  <c r="F16" i="1"/>
  <c r="AC18" i="1"/>
  <c r="AC20" i="1"/>
  <c r="AC16" i="1"/>
  <c r="AC17" i="1"/>
  <c r="AC19" i="1"/>
  <c r="AD15" i="1"/>
  <c r="K27" i="1"/>
  <c r="K26" i="1"/>
  <c r="W54" i="1"/>
  <c r="W53" i="1"/>
  <c r="U54" i="1"/>
  <c r="T54" i="1"/>
  <c r="T53" i="1"/>
  <c r="R54" i="1"/>
  <c r="R53" i="1"/>
  <c r="O54" i="1"/>
  <c r="Q54" i="1"/>
  <c r="L54" i="1"/>
  <c r="L53" i="1"/>
  <c r="K54" i="1"/>
  <c r="I54" i="1"/>
  <c r="I52" i="1"/>
  <c r="G54" i="1"/>
  <c r="G53" i="1"/>
  <c r="V53" i="1"/>
  <c r="U53" i="1"/>
  <c r="S53" i="1"/>
  <c r="P53" i="1"/>
  <c r="M53" i="1"/>
  <c r="J53" i="1"/>
  <c r="I53" i="1"/>
  <c r="V52" i="1"/>
  <c r="U52" i="1"/>
  <c r="S52" i="1"/>
  <c r="R52" i="1"/>
  <c r="P52" i="1"/>
  <c r="O52" i="1"/>
  <c r="M52" i="1"/>
  <c r="J52" i="1"/>
  <c r="G52" i="1"/>
  <c r="W51" i="1"/>
  <c r="T51" i="1"/>
  <c r="Q51" i="1"/>
  <c r="N51" i="1"/>
  <c r="K51" i="1"/>
  <c r="G51" i="1"/>
  <c r="AD51" i="1"/>
  <c r="F51" i="1"/>
  <c r="AC51" i="1"/>
  <c r="W50" i="1"/>
  <c r="T50" i="1"/>
  <c r="Q50" i="1"/>
  <c r="N50" i="1"/>
  <c r="K50" i="1"/>
  <c r="G50" i="1"/>
  <c r="AD50" i="1"/>
  <c r="F50" i="1"/>
  <c r="W49" i="1"/>
  <c r="T49" i="1"/>
  <c r="Q49" i="1"/>
  <c r="N49" i="1"/>
  <c r="K49" i="1"/>
  <c r="G49" i="1"/>
  <c r="AD49" i="1"/>
  <c r="F49" i="1"/>
  <c r="AC49" i="1"/>
  <c r="W48" i="1"/>
  <c r="W47" i="1"/>
  <c r="V48" i="1"/>
  <c r="U48" i="1"/>
  <c r="S48" i="1"/>
  <c r="S46" i="1"/>
  <c r="S45" i="1"/>
  <c r="R48" i="1"/>
  <c r="R46" i="1"/>
  <c r="P48" i="1"/>
  <c r="Q48" i="1"/>
  <c r="O48" i="1"/>
  <c r="O47" i="1"/>
  <c r="M48" i="1"/>
  <c r="M46" i="1"/>
  <c r="L48" i="1"/>
  <c r="J48" i="1"/>
  <c r="J47" i="1"/>
  <c r="I48" i="1"/>
  <c r="V47" i="1"/>
  <c r="U47" i="1"/>
  <c r="R47" i="1"/>
  <c r="V46" i="1"/>
  <c r="V45" i="1"/>
  <c r="U46" i="1"/>
  <c r="P46" i="1"/>
  <c r="P45" i="1"/>
  <c r="AM45" i="1"/>
  <c r="W44" i="1"/>
  <c r="W43" i="1"/>
  <c r="W42" i="1"/>
  <c r="T44" i="1"/>
  <c r="T43" i="1"/>
  <c r="T42" i="1"/>
  <c r="Q44" i="1"/>
  <c r="Q43" i="1"/>
  <c r="Q42" i="1"/>
  <c r="N44" i="1"/>
  <c r="N43" i="1"/>
  <c r="N42" i="1"/>
  <c r="V43" i="1"/>
  <c r="V42" i="1"/>
  <c r="U43" i="1"/>
  <c r="U42" i="1"/>
  <c r="S43" i="1"/>
  <c r="S42" i="1"/>
  <c r="R43" i="1"/>
  <c r="R42" i="1"/>
  <c r="P43" i="1"/>
  <c r="P42" i="1"/>
  <c r="O43" i="1"/>
  <c r="O42" i="1"/>
  <c r="M43" i="1"/>
  <c r="M42" i="1"/>
  <c r="L43" i="1"/>
  <c r="J43" i="1"/>
  <c r="I43" i="1"/>
  <c r="AM42" i="1"/>
  <c r="L42" i="1"/>
  <c r="AD41" i="1"/>
  <c r="W41" i="1"/>
  <c r="W40" i="1"/>
  <c r="T41" i="1"/>
  <c r="T40" i="1"/>
  <c r="N41" i="1"/>
  <c r="K41" i="1"/>
  <c r="K40" i="1"/>
  <c r="V40" i="1"/>
  <c r="U40" i="1"/>
  <c r="S40" i="1"/>
  <c r="R40" i="1"/>
  <c r="P40" i="1"/>
  <c r="M40" i="1"/>
  <c r="L40" i="1"/>
  <c r="J40" i="1"/>
  <c r="I40" i="1"/>
  <c r="G40" i="1"/>
  <c r="AD37" i="1"/>
  <c r="W37" i="1"/>
  <c r="W36" i="1"/>
  <c r="T37" i="1"/>
  <c r="T36" i="1"/>
  <c r="Q37" i="1"/>
  <c r="N37" i="1"/>
  <c r="N36" i="1"/>
  <c r="K37" i="1"/>
  <c r="V36" i="1"/>
  <c r="U36" i="1"/>
  <c r="S36" i="1"/>
  <c r="R36" i="1"/>
  <c r="P36" i="1"/>
  <c r="M36" i="1"/>
  <c r="L36" i="1"/>
  <c r="J36" i="1"/>
  <c r="I36" i="1"/>
  <c r="G36" i="1"/>
  <c r="AD35" i="1"/>
  <c r="W35" i="1"/>
  <c r="T35" i="1"/>
  <c r="T34" i="1"/>
  <c r="R34" i="1"/>
  <c r="Q35" i="1"/>
  <c r="Q34" i="1"/>
  <c r="N35" i="1"/>
  <c r="K35" i="1"/>
  <c r="K34" i="1"/>
  <c r="V34" i="1"/>
  <c r="U34" i="1"/>
  <c r="S34" i="1"/>
  <c r="P34" i="1"/>
  <c r="O34" i="1"/>
  <c r="N34" i="1"/>
  <c r="M34" i="1"/>
  <c r="L34" i="1"/>
  <c r="J34" i="1"/>
  <c r="I34" i="1"/>
  <c r="G34" i="1"/>
  <c r="AD33" i="1"/>
  <c r="U32" i="1"/>
  <c r="T33" i="1"/>
  <c r="Q33" i="1"/>
  <c r="Q32" i="1"/>
  <c r="N33" i="1"/>
  <c r="N32" i="1"/>
  <c r="K33" i="1"/>
  <c r="K32" i="1"/>
  <c r="V32" i="1"/>
  <c r="S32" i="1"/>
  <c r="R32" i="1"/>
  <c r="P32" i="1"/>
  <c r="O32" i="1"/>
  <c r="M32" i="1"/>
  <c r="L32" i="1"/>
  <c r="J32" i="1"/>
  <c r="I32" i="1"/>
  <c r="G32" i="1"/>
  <c r="AD31" i="1"/>
  <c r="W31" i="1"/>
  <c r="W30" i="1"/>
  <c r="T31" i="1"/>
  <c r="T30" i="1"/>
  <c r="Q31" i="1"/>
  <c r="Q30" i="1"/>
  <c r="N31" i="1"/>
  <c r="K31" i="1"/>
  <c r="F31" i="1"/>
  <c r="V30" i="1"/>
  <c r="U30" i="1"/>
  <c r="S30" i="1"/>
  <c r="R30" i="1"/>
  <c r="P30" i="1"/>
  <c r="O30" i="1"/>
  <c r="M30" i="1"/>
  <c r="L30" i="1"/>
  <c r="J30" i="1"/>
  <c r="I30" i="1"/>
  <c r="G30" i="1"/>
  <c r="P28" i="1"/>
  <c r="V28" i="1"/>
  <c r="S28" i="1"/>
  <c r="M28" i="1"/>
  <c r="L28" i="1"/>
  <c r="J28" i="1"/>
  <c r="I28" i="1"/>
  <c r="G28" i="1"/>
  <c r="W27" i="1"/>
  <c r="W26" i="1"/>
  <c r="T27" i="1"/>
  <c r="T26" i="1"/>
  <c r="Q27" i="1"/>
  <c r="Q26" i="1"/>
  <c r="M26" i="1"/>
  <c r="L26" i="1"/>
  <c r="H27" i="1"/>
  <c r="H26" i="1"/>
  <c r="V26" i="1"/>
  <c r="U26" i="1"/>
  <c r="R26" i="1"/>
  <c r="P26" i="1"/>
  <c r="O26" i="1"/>
  <c r="J26" i="1"/>
  <c r="I26" i="1"/>
  <c r="G26" i="1"/>
  <c r="F26" i="1"/>
  <c r="P24" i="1"/>
  <c r="L25" i="1"/>
  <c r="H25" i="1"/>
  <c r="H23" i="1"/>
  <c r="V24" i="1"/>
  <c r="S24" i="1"/>
  <c r="M24" i="1"/>
  <c r="J24" i="1"/>
  <c r="G24" i="1"/>
  <c r="F24" i="1"/>
  <c r="V23" i="1"/>
  <c r="S23" i="1"/>
  <c r="M23" i="1"/>
  <c r="J23" i="1"/>
  <c r="G23" i="1"/>
  <c r="F23" i="1"/>
  <c r="V21" i="1"/>
  <c r="U21" i="1"/>
  <c r="R21" i="1"/>
  <c r="M21" i="1"/>
  <c r="L21" i="1"/>
  <c r="K22" i="1"/>
  <c r="K21" i="1"/>
  <c r="I21" i="1"/>
  <c r="G21" i="1"/>
  <c r="F21" i="1"/>
  <c r="V20" i="1"/>
  <c r="W20" i="1"/>
  <c r="S20" i="1"/>
  <c r="P20" i="1"/>
  <c r="Q20" i="1"/>
  <c r="M20" i="1"/>
  <c r="N20" i="1"/>
  <c r="J20" i="1"/>
  <c r="H20" i="1"/>
  <c r="V19" i="1"/>
  <c r="W19" i="1"/>
  <c r="S19" i="1"/>
  <c r="P19" i="1"/>
  <c r="Q19" i="1"/>
  <c r="M19" i="1"/>
  <c r="N19" i="1"/>
  <c r="J19" i="1"/>
  <c r="H19" i="1"/>
  <c r="V18" i="1"/>
  <c r="W18" i="1"/>
  <c r="S18" i="1"/>
  <c r="T18" i="1"/>
  <c r="P18" i="1"/>
  <c r="M18" i="1"/>
  <c r="N18" i="1"/>
  <c r="J18" i="1"/>
  <c r="H18" i="1"/>
  <c r="V17" i="1"/>
  <c r="W17" i="1"/>
  <c r="S17" i="1"/>
  <c r="T17" i="1"/>
  <c r="P17" i="1"/>
  <c r="M17" i="1"/>
  <c r="N17" i="1"/>
  <c r="J17" i="1"/>
  <c r="H17" i="1"/>
  <c r="W16" i="1"/>
  <c r="S16" i="1"/>
  <c r="T16" i="1"/>
  <c r="P16" i="1"/>
  <c r="M16" i="1"/>
  <c r="N16" i="1"/>
  <c r="J16" i="1"/>
  <c r="H16" i="1"/>
  <c r="W15" i="1"/>
  <c r="T15" i="1"/>
  <c r="K15" i="1"/>
  <c r="H15" i="1"/>
  <c r="U14" i="1"/>
  <c r="R14" i="1"/>
  <c r="L14" i="1"/>
  <c r="I14" i="1"/>
  <c r="G14" i="1"/>
  <c r="F14" i="1"/>
  <c r="I13" i="1"/>
  <c r="G13" i="1"/>
  <c r="F13" i="1"/>
  <c r="AD11" i="1"/>
  <c r="W11" i="1"/>
  <c r="W10" i="1"/>
  <c r="T11" i="1"/>
  <c r="T10" i="1"/>
  <c r="Q11" i="1"/>
  <c r="Q10" i="1"/>
  <c r="N11" i="1"/>
  <c r="N10" i="1"/>
  <c r="K11" i="1"/>
  <c r="V10" i="1"/>
  <c r="U10" i="1"/>
  <c r="S10" i="1"/>
  <c r="R10" i="1"/>
  <c r="P10" i="1"/>
  <c r="O10" i="1"/>
  <c r="M10" i="1"/>
  <c r="L10" i="1"/>
  <c r="J10" i="1"/>
  <c r="I10" i="1"/>
  <c r="G10" i="1"/>
  <c r="F10" i="1"/>
  <c r="AD9" i="1"/>
  <c r="W9" i="1"/>
  <c r="T9" i="1"/>
  <c r="T8" i="1"/>
  <c r="Q9" i="1"/>
  <c r="Q8" i="1"/>
  <c r="N9" i="1"/>
  <c r="N8" i="1"/>
  <c r="K9" i="1"/>
  <c r="W8" i="1"/>
  <c r="V8" i="1"/>
  <c r="U8" i="1"/>
  <c r="S8" i="1"/>
  <c r="R8" i="1"/>
  <c r="P8" i="1"/>
  <c r="O8" i="1"/>
  <c r="M8" i="1"/>
  <c r="L8" i="1"/>
  <c r="J8" i="1"/>
  <c r="I8" i="1"/>
  <c r="G8" i="1"/>
  <c r="V7" i="1"/>
  <c r="U7" i="1"/>
  <c r="U6" i="1"/>
  <c r="U5" i="1"/>
  <c r="S7" i="1"/>
  <c r="S6" i="1"/>
  <c r="S5" i="1"/>
  <c r="R7" i="1"/>
  <c r="R6" i="1"/>
  <c r="R5" i="1"/>
  <c r="P7" i="1"/>
  <c r="P6" i="1"/>
  <c r="P5" i="1"/>
  <c r="O7" i="1"/>
  <c r="M7" i="1"/>
  <c r="M6" i="1"/>
  <c r="M5" i="1"/>
  <c r="L7" i="1"/>
  <c r="J7" i="1"/>
  <c r="I7" i="1"/>
  <c r="G7" i="1"/>
  <c r="G6" i="1"/>
  <c r="G5" i="1"/>
  <c r="V6" i="1"/>
  <c r="V5" i="1"/>
  <c r="Q7" i="1"/>
  <c r="Y43" i="1"/>
  <c r="J46" i="1"/>
  <c r="J45" i="1"/>
  <c r="Z45" i="1"/>
  <c r="P47" i="1"/>
  <c r="O53" i="1"/>
  <c r="Y53" i="1"/>
  <c r="Z7" i="1"/>
  <c r="Z36" i="1"/>
  <c r="T52" i="1"/>
  <c r="N7" i="1"/>
  <c r="Z34" i="1"/>
  <c r="R45" i="1"/>
  <c r="K53" i="1"/>
  <c r="J6" i="1"/>
  <c r="T7" i="1"/>
  <c r="Y8" i="1"/>
  <c r="Z24" i="1"/>
  <c r="Z40" i="1"/>
  <c r="S47" i="1"/>
  <c r="Y48" i="1"/>
  <c r="T48" i="1"/>
  <c r="T47" i="1"/>
  <c r="U45" i="1"/>
  <c r="Z53" i="1"/>
  <c r="H50" i="1"/>
  <c r="AC50" i="1"/>
  <c r="T6" i="1"/>
  <c r="T5" i="1"/>
  <c r="Z10" i="1"/>
  <c r="Z32" i="1"/>
  <c r="M47" i="1"/>
  <c r="Z47" i="1"/>
  <c r="Z48" i="1"/>
  <c r="AA50" i="1"/>
  <c r="AA51" i="1"/>
  <c r="AD52" i="1"/>
  <c r="Z52" i="1"/>
  <c r="G48" i="1"/>
  <c r="G47" i="1"/>
  <c r="Z8" i="1"/>
  <c r="O6" i="1"/>
  <c r="O5" i="1"/>
  <c r="W7" i="1"/>
  <c r="Z30" i="1"/>
  <c r="N48" i="1"/>
  <c r="AA49" i="1"/>
  <c r="M45" i="1"/>
  <c r="F54" i="1"/>
  <c r="H54" i="1"/>
  <c r="Y54" i="1"/>
  <c r="H51" i="1"/>
  <c r="I46" i="1"/>
  <c r="I47" i="1"/>
  <c r="K48" i="1"/>
  <c r="Y34" i="1"/>
  <c r="Y30" i="1"/>
  <c r="Q36" i="1"/>
  <c r="AA37" i="1"/>
  <c r="W34" i="1"/>
  <c r="AA34" i="1"/>
  <c r="AA35" i="1"/>
  <c r="Y32" i="1"/>
  <c r="T29" i="1"/>
  <c r="T28" i="1"/>
  <c r="T32" i="1"/>
  <c r="N30" i="1"/>
  <c r="N29" i="1"/>
  <c r="N28" i="1"/>
  <c r="F30" i="1"/>
  <c r="AC31" i="1"/>
  <c r="K29" i="1"/>
  <c r="AA31" i="1"/>
  <c r="K30" i="1"/>
  <c r="Z28" i="1"/>
  <c r="AD28" i="1"/>
  <c r="Z17" i="1"/>
  <c r="AD17" i="1"/>
  <c r="Z18" i="1"/>
  <c r="AD18" i="1"/>
  <c r="K19" i="1"/>
  <c r="Z19" i="1"/>
  <c r="AD19" i="1"/>
  <c r="K20" i="1"/>
  <c r="Z20" i="1"/>
  <c r="AD20" i="1"/>
  <c r="Z16" i="1"/>
  <c r="AD16" i="1"/>
  <c r="K16" i="1"/>
  <c r="AA9" i="1"/>
  <c r="Y10" i="1"/>
  <c r="AC10" i="1"/>
  <c r="Y7" i="1"/>
  <c r="K10" i="1"/>
  <c r="AA10" i="1"/>
  <c r="AA11" i="1"/>
  <c r="I6" i="1"/>
  <c r="K6" i="1"/>
  <c r="K5" i="1"/>
  <c r="K7" i="1"/>
  <c r="Z43" i="1"/>
  <c r="Y26" i="1"/>
  <c r="AC26" i="1"/>
  <c r="L6" i="1"/>
  <c r="K8" i="1"/>
  <c r="AA8" i="1"/>
  <c r="F12" i="1"/>
  <c r="H24" i="1"/>
  <c r="I23" i="1"/>
  <c r="I24" i="1"/>
  <c r="K25" i="1"/>
  <c r="Q18" i="1"/>
  <c r="Q17" i="1"/>
  <c r="Q16" i="1"/>
  <c r="M13" i="1"/>
  <c r="W22" i="1"/>
  <c r="W21" i="1"/>
  <c r="L13" i="1"/>
  <c r="R13" i="1"/>
  <c r="U13" i="1"/>
  <c r="Q15" i="1"/>
  <c r="N15" i="1"/>
  <c r="N14" i="1"/>
  <c r="J14" i="1"/>
  <c r="M14" i="1"/>
  <c r="W14" i="1"/>
  <c r="N47" i="1"/>
  <c r="N46" i="1"/>
  <c r="Q46" i="1"/>
  <c r="Q47" i="1"/>
  <c r="Q53" i="1"/>
  <c r="Q52" i="1"/>
  <c r="AD29" i="1"/>
  <c r="AD7" i="1"/>
  <c r="T22" i="1"/>
  <c r="T21" i="1"/>
  <c r="S21" i="1"/>
  <c r="N25" i="1"/>
  <c r="L24" i="1"/>
  <c r="L23" i="1"/>
  <c r="O28" i="1"/>
  <c r="W6" i="1"/>
  <c r="W5" i="1"/>
  <c r="V13" i="1"/>
  <c r="V12" i="1"/>
  <c r="V55" i="1"/>
  <c r="I68" i="1"/>
  <c r="V14" i="1"/>
  <c r="K17" i="1"/>
  <c r="K18" i="1"/>
  <c r="T19" i="1"/>
  <c r="T20" i="1"/>
  <c r="N22" i="1"/>
  <c r="P23" i="1"/>
  <c r="N27" i="1"/>
  <c r="AD27" i="1"/>
  <c r="H31" i="1"/>
  <c r="F33" i="1"/>
  <c r="AC33" i="1"/>
  <c r="W33" i="1"/>
  <c r="AA33" i="1"/>
  <c r="Q41" i="1"/>
  <c r="Q29" i="1"/>
  <c r="K44" i="1"/>
  <c r="AA44" i="1"/>
  <c r="H49" i="1"/>
  <c r="AE49" i="1"/>
  <c r="N54" i="1"/>
  <c r="AA54" i="1"/>
  <c r="G12" i="1"/>
  <c r="O14" i="1"/>
  <c r="Y14" i="1"/>
  <c r="AC14" i="1"/>
  <c r="O21" i="1"/>
  <c r="Y21" i="1"/>
  <c r="AC21" i="1"/>
  <c r="S26" i="1"/>
  <c r="Z26" i="1"/>
  <c r="R28" i="1"/>
  <c r="F35" i="1"/>
  <c r="AC35" i="1"/>
  <c r="O36" i="1"/>
  <c r="Y36" i="1"/>
  <c r="N40" i="1"/>
  <c r="W52" i="1"/>
  <c r="H14" i="1"/>
  <c r="P14" i="1"/>
  <c r="P13" i="1"/>
  <c r="F37" i="1"/>
  <c r="AC37" i="1"/>
  <c r="O40" i="1"/>
  <c r="Y40" i="1"/>
  <c r="L46" i="1"/>
  <c r="T46" i="1"/>
  <c r="T45" i="1"/>
  <c r="L47" i="1"/>
  <c r="H11" i="1"/>
  <c r="J21" i="1"/>
  <c r="H22" i="1"/>
  <c r="H21" i="1"/>
  <c r="F41" i="1"/>
  <c r="J13" i="1"/>
  <c r="U28" i="1"/>
  <c r="S13" i="1"/>
  <c r="S14" i="1"/>
  <c r="K36" i="1"/>
  <c r="I42" i="1"/>
  <c r="Y42" i="1"/>
  <c r="O46" i="1"/>
  <c r="O45" i="1"/>
  <c r="W46" i="1"/>
  <c r="K52" i="1"/>
  <c r="J42" i="1"/>
  <c r="Z42" i="1"/>
  <c r="F48" i="1"/>
  <c r="AC48" i="1"/>
  <c r="L52" i="1"/>
  <c r="Y52" i="1"/>
  <c r="AA7" i="1"/>
  <c r="AA19" i="1"/>
  <c r="AE19" i="1"/>
  <c r="Z46" i="1"/>
  <c r="AA36" i="1"/>
  <c r="Y47" i="1"/>
  <c r="AE51" i="1"/>
  <c r="G46" i="1"/>
  <c r="G45" i="1"/>
  <c r="AD45" i="1"/>
  <c r="F52" i="1"/>
  <c r="AC52" i="1"/>
  <c r="Y46" i="1"/>
  <c r="AE50" i="1"/>
  <c r="Z6" i="1"/>
  <c r="AD6" i="1"/>
  <c r="J5" i="1"/>
  <c r="Z5" i="1"/>
  <c r="AD5" i="1"/>
  <c r="AD48" i="1"/>
  <c r="F53" i="1"/>
  <c r="AC53" i="1"/>
  <c r="AA20" i="1"/>
  <c r="AE20" i="1"/>
  <c r="Q6" i="1"/>
  <c r="Q5" i="1"/>
  <c r="AD26" i="1"/>
  <c r="AA18" i="1"/>
  <c r="AE18" i="1"/>
  <c r="AC54" i="1"/>
  <c r="AA16" i="1"/>
  <c r="AE16" i="1"/>
  <c r="H48" i="1"/>
  <c r="I45" i="1"/>
  <c r="AA48" i="1"/>
  <c r="K46" i="1"/>
  <c r="AA46" i="1"/>
  <c r="K47" i="1"/>
  <c r="AA47" i="1"/>
  <c r="AC30" i="1"/>
  <c r="F29" i="1"/>
  <c r="F28" i="1"/>
  <c r="W32" i="1"/>
  <c r="AA32" i="1"/>
  <c r="W29" i="1"/>
  <c r="W28" i="1"/>
  <c r="AA30" i="1"/>
  <c r="Y28" i="1"/>
  <c r="Y29" i="1"/>
  <c r="AC41" i="1"/>
  <c r="Q40" i="1"/>
  <c r="AA40" i="1"/>
  <c r="AA41" i="1"/>
  <c r="AA17" i="1"/>
  <c r="AE17" i="1"/>
  <c r="AA15" i="1"/>
  <c r="AE15" i="1"/>
  <c r="Z14" i="1"/>
  <c r="I5" i="1"/>
  <c r="N26" i="1"/>
  <c r="AA27" i="1"/>
  <c r="AE27" i="1"/>
  <c r="Z23" i="1"/>
  <c r="AD23" i="1"/>
  <c r="I12" i="1"/>
  <c r="M12" i="1"/>
  <c r="Z13" i="1"/>
  <c r="AD13" i="1"/>
  <c r="N21" i="1"/>
  <c r="L5" i="1"/>
  <c r="Y5" i="1"/>
  <c r="N6" i="1"/>
  <c r="N5" i="1"/>
  <c r="AA5" i="1"/>
  <c r="Y6" i="1"/>
  <c r="K24" i="1"/>
  <c r="K23" i="1"/>
  <c r="K13" i="1"/>
  <c r="T13" i="1"/>
  <c r="O13" i="1"/>
  <c r="Y13" i="1"/>
  <c r="AC13" i="1"/>
  <c r="W13" i="1"/>
  <c r="Q14" i="1"/>
  <c r="AE11" i="1"/>
  <c r="H10" i="1"/>
  <c r="F7" i="1"/>
  <c r="AC7" i="1"/>
  <c r="F8" i="1"/>
  <c r="AC8" i="1"/>
  <c r="H9" i="1"/>
  <c r="Q22" i="1"/>
  <c r="AA22" i="1"/>
  <c r="AE22" i="1"/>
  <c r="P21" i="1"/>
  <c r="Z21" i="1"/>
  <c r="AD21" i="1"/>
  <c r="H35" i="1"/>
  <c r="F34" i="1"/>
  <c r="AC34" i="1"/>
  <c r="N13" i="1"/>
  <c r="N24" i="1"/>
  <c r="N23" i="1"/>
  <c r="K14" i="1"/>
  <c r="H46" i="1"/>
  <c r="K28" i="1"/>
  <c r="K43" i="1"/>
  <c r="AA43" i="1"/>
  <c r="F32" i="1"/>
  <c r="AC32" i="1"/>
  <c r="H33" i="1"/>
  <c r="O24" i="1"/>
  <c r="Q25" i="1"/>
  <c r="O23" i="1"/>
  <c r="L45" i="1"/>
  <c r="AE31" i="1"/>
  <c r="H30" i="1"/>
  <c r="W45" i="1"/>
  <c r="P12" i="1"/>
  <c r="P55" i="1"/>
  <c r="G68" i="1"/>
  <c r="T14" i="1"/>
  <c r="F47" i="1"/>
  <c r="AC47" i="1"/>
  <c r="F46" i="1"/>
  <c r="L12" i="1"/>
  <c r="Q45" i="1"/>
  <c r="J12" i="1"/>
  <c r="N53" i="1"/>
  <c r="AA53" i="1"/>
  <c r="N52" i="1"/>
  <c r="N45" i="1"/>
  <c r="S12" i="1"/>
  <c r="S55" i="1"/>
  <c r="H68" i="1"/>
  <c r="F43" i="1"/>
  <c r="AC43" i="1"/>
  <c r="H37" i="1"/>
  <c r="F36" i="1"/>
  <c r="AC36" i="1"/>
  <c r="H13" i="1"/>
  <c r="H53" i="1"/>
  <c r="H52" i="1"/>
  <c r="H41" i="1"/>
  <c r="H40" i="1"/>
  <c r="F40" i="1"/>
  <c r="AC40" i="1"/>
  <c r="H44" i="1"/>
  <c r="G43" i="1"/>
  <c r="AD44" i="1"/>
  <c r="AD46" i="1"/>
  <c r="AE48" i="1"/>
  <c r="AC46" i="1"/>
  <c r="I55" i="1"/>
  <c r="E67" i="1"/>
  <c r="J55" i="1"/>
  <c r="E68" i="1"/>
  <c r="Y45" i="1"/>
  <c r="AA52" i="1"/>
  <c r="AE52" i="1"/>
  <c r="AA14" i="1"/>
  <c r="H47" i="1"/>
  <c r="K45" i="1"/>
  <c r="AA45" i="1"/>
  <c r="AC29" i="1"/>
  <c r="H29" i="1"/>
  <c r="AC28" i="1"/>
  <c r="Q28" i="1"/>
  <c r="AA28" i="1"/>
  <c r="AA29" i="1"/>
  <c r="AA6" i="1"/>
  <c r="AA26" i="1"/>
  <c r="AE26" i="1"/>
  <c r="K12" i="1"/>
  <c r="M55" i="1"/>
  <c r="F68" i="1"/>
  <c r="F69" i="1"/>
  <c r="Z12" i="1"/>
  <c r="AD12" i="1"/>
  <c r="N12" i="1"/>
  <c r="L55" i="1"/>
  <c r="F67" i="1"/>
  <c r="O12" i="1"/>
  <c r="O55" i="1"/>
  <c r="G67" i="1"/>
  <c r="G69" i="1"/>
  <c r="G42" i="1"/>
  <c r="AD43" i="1"/>
  <c r="H36" i="1"/>
  <c r="AE37" i="1"/>
  <c r="F45" i="1"/>
  <c r="F6" i="1"/>
  <c r="AC6" i="1"/>
  <c r="H7" i="1"/>
  <c r="AE7" i="1"/>
  <c r="R24" i="1"/>
  <c r="R23" i="1"/>
  <c r="T25" i="1"/>
  <c r="K42" i="1"/>
  <c r="AA42" i="1"/>
  <c r="Q24" i="1"/>
  <c r="Q23" i="1"/>
  <c r="F42" i="1"/>
  <c r="AC42" i="1"/>
  <c r="H12" i="1"/>
  <c r="H43" i="1"/>
  <c r="AE44" i="1"/>
  <c r="Q21" i="1"/>
  <c r="AA21" i="1"/>
  <c r="AE21" i="1"/>
  <c r="Q13" i="1"/>
  <c r="AA13" i="1"/>
  <c r="AE41" i="1"/>
  <c r="AE33" i="1"/>
  <c r="H32" i="1"/>
  <c r="AE35" i="1"/>
  <c r="H34" i="1"/>
  <c r="H45" i="1"/>
  <c r="AE46" i="1"/>
  <c r="AE9" i="1"/>
  <c r="H8" i="1"/>
  <c r="E69" i="1"/>
  <c r="J68" i="1"/>
  <c r="AC45" i="1"/>
  <c r="Z55" i="1"/>
  <c r="Y25" i="1"/>
  <c r="AC25" i="1"/>
  <c r="W25" i="1"/>
  <c r="AA25" i="1"/>
  <c r="R12" i="1"/>
  <c r="R55" i="1"/>
  <c r="H67" i="1"/>
  <c r="H69" i="1"/>
  <c r="N55" i="1"/>
  <c r="AE45" i="1"/>
  <c r="T24" i="1"/>
  <c r="T23" i="1"/>
  <c r="H28" i="1"/>
  <c r="AE28" i="1"/>
  <c r="AE29" i="1"/>
  <c r="Q12" i="1"/>
  <c r="AE13" i="1"/>
  <c r="U24" i="1"/>
  <c r="Y24" i="1"/>
  <c r="AC24" i="1"/>
  <c r="U23" i="1"/>
  <c r="Y23" i="1"/>
  <c r="AC23" i="1"/>
  <c r="K55" i="1"/>
  <c r="F5" i="1"/>
  <c r="AC5" i="1"/>
  <c r="H6" i="1"/>
  <c r="G55" i="1"/>
  <c r="AD42" i="1"/>
  <c r="H42" i="1"/>
  <c r="AE43" i="1"/>
  <c r="T12" i="1"/>
  <c r="T55" i="1"/>
  <c r="AD55" i="1"/>
  <c r="Q55" i="1"/>
  <c r="AE42" i="1"/>
  <c r="AE6" i="1"/>
  <c r="H5" i="1"/>
  <c r="AE5" i="1"/>
  <c r="U12" i="1"/>
  <c r="Y12" i="1"/>
  <c r="AC12" i="1"/>
  <c r="W23" i="1"/>
  <c r="W12" i="1"/>
  <c r="W55" i="1"/>
  <c r="W24" i="1"/>
  <c r="AA24" i="1"/>
  <c r="F55" i="1"/>
  <c r="AA23" i="1"/>
  <c r="AE23" i="1"/>
  <c r="AA12" i="1"/>
  <c r="AE12" i="1"/>
  <c r="AA55" i="1"/>
  <c r="U55" i="1"/>
  <c r="H55" i="1"/>
  <c r="Y55" i="1"/>
  <c r="AC55" i="1"/>
  <c r="I67" i="1"/>
  <c r="AE55" i="1"/>
  <c r="I69" i="1"/>
  <c r="J67" i="1"/>
  <c r="J69" i="1"/>
  <c r="F70" i="1"/>
  <c r="H70" i="1"/>
  <c r="G70" i="1"/>
  <c r="E70" i="1"/>
  <c r="I70" i="1"/>
  <c r="J70" i="1"/>
</calcChain>
</file>

<file path=xl/sharedStrings.xml><?xml version="1.0" encoding="utf-8"?>
<sst xmlns="http://schemas.openxmlformats.org/spreadsheetml/2006/main" count="268" uniqueCount="96">
  <si>
    <t>Componentes</t>
  </si>
  <si>
    <t>PRAZOS</t>
  </si>
  <si>
    <t>TOTAL PLANEJADO</t>
  </si>
  <si>
    <t>Ano 1</t>
  </si>
  <si>
    <t>Ano 2</t>
  </si>
  <si>
    <t>Ano 3</t>
  </si>
  <si>
    <t>Ano 4</t>
  </si>
  <si>
    <t>Ano 5</t>
  </si>
  <si>
    <t>Total</t>
  </si>
  <si>
    <t>Diferença</t>
  </si>
  <si>
    <t>TDR Data Conclusão</t>
  </si>
  <si>
    <t>Data Contratação</t>
  </si>
  <si>
    <t>Data conclusão dos serviços</t>
  </si>
  <si>
    <t>BID</t>
  </si>
  <si>
    <t>LOCAL</t>
  </si>
  <si>
    <t>Anual</t>
  </si>
  <si>
    <t>TOTAL</t>
  </si>
  <si>
    <t>C - Componente I - Engenharia</t>
  </si>
  <si>
    <t>S - Estudos e projetos</t>
  </si>
  <si>
    <t>Projetos Básicos e Executivos</t>
  </si>
  <si>
    <t>Produto 1 – Projetos Executivos das vias da amostra elaborados</t>
  </si>
  <si>
    <t>Projeto Executivos</t>
  </si>
  <si>
    <t>Produto 2 – Projeto da obra de implantação do corredor de bus (Ônibus).</t>
  </si>
  <si>
    <t>Projeto Executivo Corredor ônibus</t>
  </si>
  <si>
    <t>C - Componente II - Obras civis e supervisão de obras</t>
  </si>
  <si>
    <t>S - Obras viárias</t>
  </si>
  <si>
    <t xml:space="preserve">Produto 5 – Vias construídas ou melhoradas </t>
  </si>
  <si>
    <t>Duplicação da Av. Manuel Moreira Lima</t>
  </si>
  <si>
    <t>Pavimentação da Av. Senador Pompeu (Norte)</t>
  </si>
  <si>
    <t>Reabilitação da Av. Central da Pajuçara</t>
  </si>
  <si>
    <t>Duplicação da Av. Parque Sul</t>
  </si>
  <si>
    <t>Reabilitação da Av. Parque Oeste</t>
  </si>
  <si>
    <t>Reabilitação da Av. Senador Virgílio Távora (Av. Contorno)</t>
  </si>
  <si>
    <t>Produto 6 – Km de vias pavimentados</t>
  </si>
  <si>
    <t>Pavimentação</t>
  </si>
  <si>
    <t>S - Obras de Infraestrutura</t>
  </si>
  <si>
    <t xml:space="preserve">Produto 7 – Vias de transporte coletivo implantada </t>
  </si>
  <si>
    <t>implantação do corredor de ônibus</t>
  </si>
  <si>
    <t>S - Supervisão de Obras</t>
  </si>
  <si>
    <t>Supervisão obras</t>
  </si>
  <si>
    <t>C - Componente III. Fortalecimento Institucional</t>
  </si>
  <si>
    <t>S - Fortalecimento Institucional</t>
  </si>
  <si>
    <t xml:space="preserve">Produto 8 - Fortalecimento das unidades operativas de transporte fortalecidas. </t>
  </si>
  <si>
    <t>Ações de fortalecimento das unidades operativas do município relacionadas à execução do programa e ao planejamento/operação de transportes.</t>
  </si>
  <si>
    <t>Produto 9 - Elaboração do plano Logístico e de Cargas no município</t>
  </si>
  <si>
    <t>Elaboração do plano Logístico e de Cargas no município</t>
  </si>
  <si>
    <t>Produto 10 - Atualização do plano de mobilidade urbana.</t>
  </si>
  <si>
    <t>Atualização do plano de mobilidade urbana.</t>
  </si>
  <si>
    <t>Produto 11 - Plano de ação de desenvolvimento de uma economia de baixo carbono elaborado</t>
  </si>
  <si>
    <t>Plano de ação de desenvolvimento de uma economia de baixo carbono elaborado</t>
  </si>
  <si>
    <t>Produto 12 - Plano Municipal de redução de riscos elaborado</t>
  </si>
  <si>
    <t>Plano Municipal de redução de riscos elaborado</t>
  </si>
  <si>
    <t>Produto 13 - Plano estratégico para a promoção de ações fiscais com objetivo de atrair novas empresas</t>
  </si>
  <si>
    <t>Plano estratégico para a promoção de ações fiscais com objetivo de atrair novas empresas</t>
  </si>
  <si>
    <t>C - Componente IV - Compensação ambiental</t>
  </si>
  <si>
    <t xml:space="preserve">S - Compensação ambiental </t>
  </si>
  <si>
    <t xml:space="preserve">Ações de mitigação ambiental </t>
  </si>
  <si>
    <t>Administração do Programa</t>
  </si>
  <si>
    <t>S - Administração do programa</t>
  </si>
  <si>
    <t>Produto 3 – Unidade Gestora do Programa implantada</t>
  </si>
  <si>
    <t>Unidade Coordenadora- UGP</t>
  </si>
  <si>
    <t>Apoio ao Gerenciamento PJ</t>
  </si>
  <si>
    <t>Consultores individuais</t>
  </si>
  <si>
    <t>Avaliação e Monitoramento</t>
  </si>
  <si>
    <t xml:space="preserve">S - Auditoria Contábil e Financeira </t>
  </si>
  <si>
    <t>Produto 4 – Auditorias realizadas</t>
  </si>
  <si>
    <t xml:space="preserve">Auditoria Contábil e Financeira </t>
  </si>
  <si>
    <t>VALOR TOTAL</t>
  </si>
  <si>
    <t>CONTRAPARTIDA</t>
  </si>
  <si>
    <t xml:space="preserve">TOTAL </t>
  </si>
  <si>
    <t>%</t>
  </si>
  <si>
    <t>Indicadores de Produto</t>
  </si>
  <si>
    <t>1º ANO</t>
  </si>
  <si>
    <t>2º ANO</t>
  </si>
  <si>
    <t>3º ANO</t>
  </si>
  <si>
    <t>4º ANO</t>
  </si>
  <si>
    <t>5º ANO</t>
  </si>
  <si>
    <t>Componente 1. Ingeniería</t>
  </si>
  <si>
    <t>Proyectos de ingeniería de detalle de las vías principales elaboradas</t>
  </si>
  <si>
    <t>Proyecto de la obra de implantación del  corredor de bus elaborado</t>
  </si>
  <si>
    <t>Componente 2. Obras civiles y supervisión de obras</t>
  </si>
  <si>
    <t>Vías pavimentadas</t>
  </si>
  <si>
    <t>Vías duplicadas</t>
  </si>
  <si>
    <t>Vías rehabilitadas</t>
  </si>
  <si>
    <t>Vía del transporte colectivo implantada</t>
  </si>
  <si>
    <t>Componente 3. Fortalecimiento institucional</t>
  </si>
  <si>
    <t>Unidades operativas de transporte fortalecidas</t>
  </si>
  <si>
    <t>Plan Logístico y de cargas del MM elaborado</t>
  </si>
  <si>
    <t>Plan  de  movilidad  urbana actualizado</t>
  </si>
  <si>
    <t>Plan de acción para el desarrollo de una economía de bajo carbono elaborado</t>
  </si>
  <si>
    <t>Plan municipal para la reducción de los riesgos de los cambios del clima elaborado</t>
  </si>
  <si>
    <t>Plan estratégico para la promoción de acciones fiscales con miras a la atracción de nuevas empresas</t>
  </si>
  <si>
    <t>UGP Implantada</t>
  </si>
  <si>
    <t>Auditoria realizada</t>
  </si>
  <si>
    <t>Avaliação Realizada</t>
  </si>
  <si>
    <t>Medición de línea base sobre percepción de seguridad y comodidad de mujeres en el transporte público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</si>
</sst>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-* #,##0_-;\-* #,##0_-;_-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</font>
    <font>
      <b/>
      <sz val="11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</font>
    <font>
      <b/>
      <sz val="8.5"/>
      <color theme="1"/>
      <name val="Arial"/>
      <family val="2"/>
    </font>
    <font>
      <sz val="8.5"/>
      <color rgb="FF212121"/>
      <name val="Arial"/>
      <family val="2"/>
    </font>
    <font>
      <sz val="8.5"/>
      <color theme="1"/>
      <name val="Arial"/>
      <family val="2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6FBB7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0">
    <xf numFmtId="0" fontId="0" fillId="0" borderId="0" xfId="0"/>
    <xf numFmtId="0" fontId="2" fillId="2" borderId="0" xfId="0" applyFont="1" applyFill="1" applyAlignment="1">
      <alignment horizontal="right"/>
    </xf>
    <xf numFmtId="164" fontId="2" fillId="2" borderId="0" xfId="1" applyFont="1" applyFill="1" applyAlignment="1">
      <alignment horizontal="left"/>
    </xf>
    <xf numFmtId="10" fontId="2" fillId="2" borderId="0" xfId="2" applyNumberFormat="1" applyFont="1" applyFill="1"/>
    <xf numFmtId="164" fontId="2" fillId="2" borderId="0" xfId="1" applyFont="1" applyFill="1"/>
    <xf numFmtId="0" fontId="2" fillId="0" borderId="0" xfId="0" applyFont="1"/>
    <xf numFmtId="0" fontId="2" fillId="2" borderId="0" xfId="0" applyFont="1" applyFill="1"/>
    <xf numFmtId="0" fontId="3" fillId="3" borderId="1" xfId="0" applyFont="1" applyFill="1" applyBorder="1" applyAlignment="1">
      <alignment vertical="center" wrapText="1"/>
    </xf>
    <xf numFmtId="165" fontId="3" fillId="3" borderId="1" xfId="1" applyNumberFormat="1" applyFont="1" applyFill="1" applyBorder="1" applyAlignment="1">
      <alignment vertical="center" wrapText="1"/>
    </xf>
    <xf numFmtId="0" fontId="3" fillId="0" borderId="0" xfId="0" applyFont="1"/>
    <xf numFmtId="165" fontId="3" fillId="3" borderId="6" xfId="1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165" fontId="3" fillId="2" borderId="1" xfId="1" applyNumberFormat="1" applyFont="1" applyFill="1" applyBorder="1" applyAlignment="1">
      <alignment vertical="center" wrapText="1"/>
    </xf>
    <xf numFmtId="165" fontId="3" fillId="2" borderId="6" xfId="1" applyNumberFormat="1" applyFont="1" applyFill="1" applyBorder="1" applyAlignment="1">
      <alignment vertical="center" wrapText="1"/>
    </xf>
    <xf numFmtId="0" fontId="3" fillId="2" borderId="0" xfId="0" applyFont="1" applyFill="1"/>
    <xf numFmtId="0" fontId="2" fillId="0" borderId="1" xfId="0" applyFont="1" applyBorder="1" applyAlignment="1">
      <alignment horizontal="left" vertical="center" wrapText="1" indent="1"/>
    </xf>
    <xf numFmtId="165" fontId="2" fillId="0" borderId="1" xfId="1" applyNumberFormat="1" applyFont="1" applyBorder="1" applyAlignment="1">
      <alignment vertical="center" wrapText="1"/>
    </xf>
    <xf numFmtId="165" fontId="2" fillId="2" borderId="1" xfId="1" applyNumberFormat="1" applyFont="1" applyFill="1" applyBorder="1" applyAlignment="1">
      <alignment vertical="center" wrapText="1"/>
    </xf>
    <xf numFmtId="165" fontId="2" fillId="2" borderId="6" xfId="1" applyNumberFormat="1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left" vertical="center" wrapText="1" indent="1"/>
    </xf>
    <xf numFmtId="165" fontId="3" fillId="4" borderId="1" xfId="1" applyNumberFormat="1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 indent="2"/>
    </xf>
    <xf numFmtId="17" fontId="3" fillId="2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 indent="2"/>
    </xf>
    <xf numFmtId="0" fontId="3" fillId="4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 indent="1"/>
    </xf>
    <xf numFmtId="0" fontId="3" fillId="4" borderId="0" xfId="0" applyFont="1" applyFill="1" applyAlignment="1">
      <alignment horizontal="justify" vertical="center"/>
    </xf>
    <xf numFmtId="0" fontId="3" fillId="4" borderId="0" xfId="0" applyFont="1" applyFill="1"/>
    <xf numFmtId="0" fontId="3" fillId="4" borderId="4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horizontal="left" vertical="center" wrapText="1" indent="2"/>
    </xf>
    <xf numFmtId="17" fontId="3" fillId="2" borderId="4" xfId="0" applyNumberFormat="1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left" vertical="center" wrapText="1" indent="2"/>
    </xf>
    <xf numFmtId="0" fontId="3" fillId="4" borderId="4" xfId="0" applyFont="1" applyFill="1" applyBorder="1" applyAlignment="1">
      <alignment horizontal="left" vertical="center" wrapText="1" indent="2"/>
    </xf>
    <xf numFmtId="165" fontId="3" fillId="4" borderId="1" xfId="1" applyNumberFormat="1" applyFont="1" applyFill="1" applyBorder="1" applyAlignment="1">
      <alignment vertical="center"/>
    </xf>
    <xf numFmtId="165" fontId="2" fillId="4" borderId="1" xfId="1" applyNumberFormat="1" applyFont="1" applyFill="1" applyBorder="1" applyAlignment="1">
      <alignment vertical="center"/>
    </xf>
    <xf numFmtId="0" fontId="2" fillId="2" borderId="4" xfId="0" applyFont="1" applyFill="1" applyBorder="1" applyAlignment="1">
      <alignment horizontal="left" vertical="center" wrapText="1" indent="2"/>
    </xf>
    <xf numFmtId="0" fontId="3" fillId="2" borderId="1" xfId="0" applyFont="1" applyFill="1" applyBorder="1" applyAlignment="1">
      <alignment horizontal="left" vertical="center" wrapText="1" indent="1"/>
    </xf>
    <xf numFmtId="0" fontId="4" fillId="2" borderId="1" xfId="0" applyFont="1" applyFill="1" applyBorder="1"/>
    <xf numFmtId="165" fontId="4" fillId="2" borderId="1" xfId="1" applyNumberFormat="1" applyFont="1" applyFill="1" applyBorder="1"/>
    <xf numFmtId="0" fontId="4" fillId="2" borderId="0" xfId="0" applyFont="1" applyFill="1"/>
    <xf numFmtId="165" fontId="4" fillId="2" borderId="10" xfId="0" applyNumberFormat="1" applyFont="1" applyFill="1" applyBorder="1"/>
    <xf numFmtId="165" fontId="4" fillId="2" borderId="11" xfId="0" applyNumberFormat="1" applyFont="1" applyFill="1" applyBorder="1"/>
    <xf numFmtId="0" fontId="5" fillId="2" borderId="0" xfId="0" applyFont="1" applyFill="1"/>
    <xf numFmtId="165" fontId="2" fillId="0" borderId="0" xfId="0" applyNumberFormat="1" applyFont="1"/>
    <xf numFmtId="0" fontId="6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vertical="center" wrapText="1"/>
    </xf>
    <xf numFmtId="165" fontId="3" fillId="5" borderId="1" xfId="1" applyNumberFormat="1" applyFont="1" applyFill="1" applyBorder="1"/>
    <xf numFmtId="0" fontId="7" fillId="2" borderId="1" xfId="0" applyFont="1" applyFill="1" applyBorder="1" applyAlignment="1">
      <alignment horizontal="justify" vertical="center" wrapText="1"/>
    </xf>
    <xf numFmtId="165" fontId="2" fillId="2" borderId="1" xfId="1" applyNumberFormat="1" applyFont="1" applyFill="1" applyBorder="1"/>
    <xf numFmtId="0" fontId="7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justify" vertical="center" wrapText="1"/>
    </xf>
    <xf numFmtId="165" fontId="3" fillId="2" borderId="1" xfId="1" applyNumberFormat="1" applyFont="1" applyFill="1" applyBorder="1"/>
    <xf numFmtId="0" fontId="3" fillId="5" borderId="1" xfId="0" applyFont="1" applyFill="1" applyBorder="1"/>
    <xf numFmtId="0" fontId="9" fillId="0" borderId="0" xfId="0" applyFont="1" applyFill="1" applyAlignment="1">
      <alignment horizontal="right"/>
    </xf>
    <xf numFmtId="164" fontId="9" fillId="0" borderId="0" xfId="1" applyFont="1" applyFill="1" applyAlignment="1">
      <alignment horizontal="left"/>
    </xf>
    <xf numFmtId="10" fontId="9" fillId="0" borderId="0" xfId="2" applyNumberFormat="1" applyFont="1" applyFill="1"/>
    <xf numFmtId="164" fontId="9" fillId="0" borderId="0" xfId="1" applyFont="1" applyFill="1"/>
    <xf numFmtId="0" fontId="9" fillId="0" borderId="0" xfId="0" applyFont="1" applyFill="1"/>
    <xf numFmtId="0" fontId="10" fillId="0" borderId="1" xfId="0" applyFont="1" applyFill="1" applyBorder="1" applyAlignment="1">
      <alignment vertical="center" wrapText="1"/>
    </xf>
    <xf numFmtId="165" fontId="10" fillId="0" borderId="1" xfId="1" applyNumberFormat="1" applyFont="1" applyFill="1" applyBorder="1" applyAlignment="1">
      <alignment vertical="center" wrapText="1"/>
    </xf>
    <xf numFmtId="0" fontId="10" fillId="0" borderId="0" xfId="0" applyFont="1" applyFill="1"/>
    <xf numFmtId="0" fontId="9" fillId="0" borderId="1" xfId="0" applyFont="1" applyFill="1" applyBorder="1" applyAlignment="1">
      <alignment horizontal="left" vertical="center" wrapText="1" indent="1"/>
    </xf>
    <xf numFmtId="0" fontId="9" fillId="0" borderId="1" xfId="0" applyFont="1" applyFill="1" applyBorder="1" applyAlignment="1">
      <alignment horizontal="left" vertical="center" wrapText="1" indent="2"/>
    </xf>
    <xf numFmtId="0" fontId="11" fillId="0" borderId="0" xfId="0" applyFont="1" applyFill="1"/>
    <xf numFmtId="0" fontId="10" fillId="0" borderId="1" xfId="0" applyFont="1" applyFill="1" applyBorder="1" applyAlignment="1">
      <alignment horizontal="left" vertical="center" wrapText="1" indent="1"/>
    </xf>
    <xf numFmtId="0" fontId="12" fillId="0" borderId="1" xfId="0" applyFont="1" applyFill="1" applyBorder="1"/>
    <xf numFmtId="0" fontId="13" fillId="0" borderId="0" xfId="0" applyFont="1" applyFill="1"/>
    <xf numFmtId="165" fontId="9" fillId="0" borderId="0" xfId="0" applyNumberFormat="1" applyFont="1" applyFill="1"/>
    <xf numFmtId="0" fontId="2" fillId="0" borderId="0" xfId="0" applyFont="1" applyBorder="1"/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165" fontId="2" fillId="0" borderId="1" xfId="0" applyNumberFormat="1" applyFont="1" applyBorder="1"/>
    <xf numFmtId="0" fontId="3" fillId="0" borderId="1" xfId="0" applyFont="1" applyBorder="1" applyAlignment="1">
      <alignment horizontal="right"/>
    </xf>
    <xf numFmtId="9" fontId="2" fillId="0" borderId="1" xfId="2" applyFont="1" applyBorder="1"/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9" fontId="1" fillId="0" borderId="1" xfId="2" applyFont="1" applyBorder="1"/>
    <xf numFmtId="0" fontId="2" fillId="0" borderId="9" xfId="0" applyFont="1" applyFill="1" applyBorder="1" applyAlignment="1">
      <alignment horizontal="left" vertical="center" wrapText="1" indent="2"/>
    </xf>
    <xf numFmtId="0" fontId="2" fillId="0" borderId="4" xfId="0" applyFont="1" applyFill="1" applyBorder="1" applyAlignment="1">
      <alignment horizontal="left" vertical="center" wrapText="1" indent="2"/>
    </xf>
    <xf numFmtId="0" fontId="3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 indent="1"/>
    </xf>
    <xf numFmtId="0" fontId="2" fillId="0" borderId="1" xfId="0" applyFont="1" applyFill="1" applyBorder="1" applyAlignment="1">
      <alignment horizontal="left" vertical="center" wrapText="1" indent="2"/>
    </xf>
    <xf numFmtId="3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3" fontId="3" fillId="0" borderId="3" xfId="0" applyNumberFormat="1" applyFont="1" applyBorder="1" applyAlignment="1">
      <alignment horizontal="center" vertical="center" wrapText="1"/>
    </xf>
    <xf numFmtId="3" fontId="3" fillId="0" borderId="4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3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70"/>
  <sheetViews>
    <sheetView showGridLines="0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D76" sqref="D76:J84"/>
    </sheetView>
  </sheetViews>
  <sheetFormatPr defaultColWidth="9.109375" defaultRowHeight="13.8" x14ac:dyDescent="0.25"/>
  <cols>
    <col min="1" max="1" width="0.5546875" style="5" customWidth="1"/>
    <col min="2" max="2" width="64.44140625" style="5" customWidth="1"/>
    <col min="3" max="3" width="15.6640625" style="5" customWidth="1"/>
    <col min="4" max="4" width="16.6640625" style="5" customWidth="1"/>
    <col min="5" max="5" width="16.5546875" style="5" customWidth="1"/>
    <col min="6" max="8" width="16" style="5" customWidth="1"/>
    <col min="9" max="10" width="14.5546875" style="5" customWidth="1"/>
    <col min="11" max="12" width="16" style="5" bestFit="1" customWidth="1"/>
    <col min="13" max="13" width="14.5546875" style="5" customWidth="1"/>
    <col min="14" max="15" width="16" style="5" customWidth="1"/>
    <col min="16" max="16" width="14.5546875" style="5" customWidth="1"/>
    <col min="17" max="17" width="16" style="5" customWidth="1"/>
    <col min="18" max="18" width="14.5546875" style="5" customWidth="1"/>
    <col min="19" max="19" width="16" style="5" bestFit="1" customWidth="1"/>
    <col min="20" max="20" width="16" style="5" customWidth="1"/>
    <col min="21" max="21" width="14.5546875" style="5" customWidth="1"/>
    <col min="22" max="23" width="16" style="5" customWidth="1"/>
    <col min="24" max="24" width="3.109375" style="5" customWidth="1"/>
    <col min="25" max="27" width="16" style="5" customWidth="1"/>
    <col min="28" max="28" width="3.33203125" style="5" customWidth="1"/>
    <col min="29" max="31" width="15.33203125" style="5" bestFit="1" customWidth="1"/>
    <col min="32" max="16384" width="9.109375" style="5"/>
  </cols>
  <sheetData>
    <row r="1" spans="2:35" ht="21.75" customHeight="1" x14ac:dyDescent="0.25">
      <c r="B1" s="1"/>
      <c r="C1" s="1"/>
      <c r="D1" s="1"/>
      <c r="E1" s="1"/>
      <c r="F1" s="2"/>
      <c r="G1" s="3"/>
      <c r="H1" s="4"/>
      <c r="M1" s="5">
        <v>19</v>
      </c>
      <c r="P1" s="5">
        <v>2020</v>
      </c>
      <c r="S1" s="5">
        <v>2021</v>
      </c>
      <c r="V1" s="5">
        <v>2022</v>
      </c>
    </row>
    <row r="2" spans="2:35" ht="13.95" customHeight="1" x14ac:dyDescent="0.25">
      <c r="B2" s="85" t="s">
        <v>0</v>
      </c>
      <c r="C2" s="87" t="s">
        <v>1</v>
      </c>
      <c r="D2" s="88"/>
      <c r="E2" s="89"/>
      <c r="F2" s="90" t="s">
        <v>2</v>
      </c>
      <c r="G2" s="90"/>
      <c r="H2" s="90"/>
      <c r="I2" s="90" t="s">
        <v>3</v>
      </c>
      <c r="J2" s="90"/>
      <c r="K2" s="90"/>
      <c r="L2" s="90" t="s">
        <v>4</v>
      </c>
      <c r="M2" s="90"/>
      <c r="N2" s="90"/>
      <c r="O2" s="90" t="s">
        <v>5</v>
      </c>
      <c r="P2" s="90"/>
      <c r="Q2" s="90"/>
      <c r="R2" s="90" t="s">
        <v>6</v>
      </c>
      <c r="S2" s="90"/>
      <c r="T2" s="90"/>
      <c r="U2" s="90" t="s">
        <v>7</v>
      </c>
      <c r="V2" s="90"/>
      <c r="W2" s="90"/>
      <c r="Y2" s="91" t="s">
        <v>8</v>
      </c>
      <c r="Z2" s="91"/>
      <c r="AA2" s="91"/>
      <c r="AC2" s="91" t="s">
        <v>9</v>
      </c>
      <c r="AD2" s="91"/>
      <c r="AE2" s="91"/>
    </row>
    <row r="3" spans="2:35" ht="13.95" customHeight="1" x14ac:dyDescent="0.25">
      <c r="B3" s="86"/>
      <c r="C3" s="92" t="s">
        <v>10</v>
      </c>
      <c r="D3" s="92" t="s">
        <v>11</v>
      </c>
      <c r="E3" s="92" t="s">
        <v>12</v>
      </c>
      <c r="F3" s="90" t="s">
        <v>13</v>
      </c>
      <c r="G3" s="90" t="s">
        <v>14</v>
      </c>
      <c r="H3" s="90" t="s">
        <v>8</v>
      </c>
      <c r="I3" s="90" t="s">
        <v>15</v>
      </c>
      <c r="J3" s="90"/>
      <c r="K3" s="90"/>
      <c r="L3" s="90" t="s">
        <v>15</v>
      </c>
      <c r="M3" s="90"/>
      <c r="N3" s="90"/>
      <c r="O3" s="90" t="s">
        <v>15</v>
      </c>
      <c r="P3" s="90"/>
      <c r="Q3" s="90"/>
      <c r="R3" s="90" t="s">
        <v>15</v>
      </c>
      <c r="S3" s="90"/>
      <c r="T3" s="90"/>
      <c r="U3" s="90" t="s">
        <v>15</v>
      </c>
      <c r="V3" s="90"/>
      <c r="W3" s="90"/>
      <c r="Y3" s="90" t="s">
        <v>15</v>
      </c>
      <c r="Z3" s="90"/>
      <c r="AA3" s="94"/>
      <c r="AB3" s="6"/>
      <c r="AC3" s="90" t="s">
        <v>15</v>
      </c>
      <c r="AD3" s="90"/>
      <c r="AE3" s="94"/>
    </row>
    <row r="4" spans="2:35" ht="27.75" customHeight="1" x14ac:dyDescent="0.25">
      <c r="B4" s="86"/>
      <c r="C4" s="93"/>
      <c r="D4" s="93"/>
      <c r="E4" s="93"/>
      <c r="F4" s="90"/>
      <c r="G4" s="90"/>
      <c r="H4" s="90"/>
      <c r="I4" s="76" t="s">
        <v>13</v>
      </c>
      <c r="J4" s="76" t="s">
        <v>14</v>
      </c>
      <c r="K4" s="76" t="s">
        <v>16</v>
      </c>
      <c r="L4" s="76" t="s">
        <v>13</v>
      </c>
      <c r="M4" s="76" t="s">
        <v>14</v>
      </c>
      <c r="N4" s="76" t="s">
        <v>16</v>
      </c>
      <c r="O4" s="76" t="s">
        <v>13</v>
      </c>
      <c r="P4" s="76" t="s">
        <v>14</v>
      </c>
      <c r="Q4" s="76" t="s">
        <v>16</v>
      </c>
      <c r="R4" s="76" t="s">
        <v>13</v>
      </c>
      <c r="S4" s="76" t="s">
        <v>14</v>
      </c>
      <c r="T4" s="76" t="s">
        <v>16</v>
      </c>
      <c r="U4" s="76" t="s">
        <v>13</v>
      </c>
      <c r="V4" s="76" t="s">
        <v>14</v>
      </c>
      <c r="W4" s="76" t="s">
        <v>16</v>
      </c>
      <c r="Y4" s="76" t="s">
        <v>13</v>
      </c>
      <c r="Z4" s="76" t="s">
        <v>14</v>
      </c>
      <c r="AA4" s="77" t="s">
        <v>16</v>
      </c>
      <c r="AB4" s="6"/>
      <c r="AC4" s="76" t="s">
        <v>13</v>
      </c>
      <c r="AD4" s="76" t="s">
        <v>14</v>
      </c>
      <c r="AE4" s="77" t="s">
        <v>16</v>
      </c>
    </row>
    <row r="5" spans="2:35" x14ac:dyDescent="0.25">
      <c r="B5" s="7" t="s">
        <v>17</v>
      </c>
      <c r="C5" s="7"/>
      <c r="D5" s="7"/>
      <c r="E5" s="7"/>
      <c r="F5" s="8">
        <f>+F6</f>
        <v>2500000</v>
      </c>
      <c r="G5" s="8">
        <f t="shared" ref="G5:W5" si="0">+G6</f>
        <v>0</v>
      </c>
      <c r="H5" s="8">
        <f t="shared" si="0"/>
        <v>2500000</v>
      </c>
      <c r="I5" s="8">
        <f>+I6</f>
        <v>1050000</v>
      </c>
      <c r="J5" s="8">
        <f t="shared" si="0"/>
        <v>0</v>
      </c>
      <c r="K5" s="8">
        <f t="shared" si="0"/>
        <v>1050000</v>
      </c>
      <c r="L5" s="8">
        <f t="shared" si="0"/>
        <v>1450000</v>
      </c>
      <c r="M5" s="8">
        <f t="shared" si="0"/>
        <v>0</v>
      </c>
      <c r="N5" s="8">
        <f t="shared" si="0"/>
        <v>1450000</v>
      </c>
      <c r="O5" s="8">
        <f t="shared" si="0"/>
        <v>0</v>
      </c>
      <c r="P5" s="8">
        <f t="shared" si="0"/>
        <v>0</v>
      </c>
      <c r="Q5" s="8">
        <f t="shared" si="0"/>
        <v>0</v>
      </c>
      <c r="R5" s="8">
        <f t="shared" si="0"/>
        <v>0</v>
      </c>
      <c r="S5" s="8">
        <f t="shared" si="0"/>
        <v>0</v>
      </c>
      <c r="T5" s="8">
        <f t="shared" si="0"/>
        <v>0</v>
      </c>
      <c r="U5" s="8">
        <f t="shared" si="0"/>
        <v>0</v>
      </c>
      <c r="V5" s="8">
        <f t="shared" si="0"/>
        <v>0</v>
      </c>
      <c r="W5" s="8">
        <f t="shared" si="0"/>
        <v>0</v>
      </c>
      <c r="X5" s="9"/>
      <c r="Y5" s="8">
        <f t="shared" ref="Y5:AA6" si="1">+I5+L5+O5+R5+U5</f>
        <v>2500000</v>
      </c>
      <c r="Z5" s="8">
        <f t="shared" si="1"/>
        <v>0</v>
      </c>
      <c r="AA5" s="10">
        <f t="shared" si="1"/>
        <v>2500000</v>
      </c>
      <c r="AB5" s="9"/>
      <c r="AC5" s="8">
        <f>+F5-Y5</f>
        <v>0</v>
      </c>
      <c r="AD5" s="8">
        <f t="shared" ref="AD5:AE15" si="2">+G5-Z5</f>
        <v>0</v>
      </c>
      <c r="AE5" s="10">
        <f t="shared" si="2"/>
        <v>0</v>
      </c>
      <c r="AF5" s="9"/>
      <c r="AG5" s="9"/>
      <c r="AH5" s="9"/>
      <c r="AI5" s="9"/>
    </row>
    <row r="6" spans="2:35" s="9" customFormat="1" x14ac:dyDescent="0.25">
      <c r="B6" s="11" t="s">
        <v>18</v>
      </c>
      <c r="C6" s="11"/>
      <c r="D6" s="11"/>
      <c r="E6" s="11"/>
      <c r="F6" s="12">
        <f>+F7</f>
        <v>2500000</v>
      </c>
      <c r="G6" s="12">
        <f>+G7</f>
        <v>0</v>
      </c>
      <c r="H6" s="12">
        <f>+G6+F6</f>
        <v>2500000</v>
      </c>
      <c r="I6" s="12">
        <f>+I7</f>
        <v>1050000</v>
      </c>
      <c r="J6" s="12">
        <f>+J7</f>
        <v>0</v>
      </c>
      <c r="K6" s="12">
        <f>+J6+I6</f>
        <v>1050000</v>
      </c>
      <c r="L6" s="12">
        <f>+L7</f>
        <v>1450000</v>
      </c>
      <c r="M6" s="12">
        <f>+M7</f>
        <v>0</v>
      </c>
      <c r="N6" s="12">
        <f>+M6+L6</f>
        <v>1450000</v>
      </c>
      <c r="O6" s="12">
        <f>+O7</f>
        <v>0</v>
      </c>
      <c r="P6" s="12">
        <f>+P7</f>
        <v>0</v>
      </c>
      <c r="Q6" s="12">
        <f>+P6+O6</f>
        <v>0</v>
      </c>
      <c r="R6" s="12">
        <f>+R7</f>
        <v>0</v>
      </c>
      <c r="S6" s="12">
        <f>+S7</f>
        <v>0</v>
      </c>
      <c r="T6" s="12">
        <f>+S6+R6</f>
        <v>0</v>
      </c>
      <c r="U6" s="12">
        <f>+U7</f>
        <v>0</v>
      </c>
      <c r="V6" s="12">
        <f>+V7</f>
        <v>0</v>
      </c>
      <c r="W6" s="12">
        <f>+V6+U6</f>
        <v>0</v>
      </c>
      <c r="Y6" s="12">
        <f t="shared" si="1"/>
        <v>2500000</v>
      </c>
      <c r="Z6" s="12">
        <f t="shared" si="1"/>
        <v>0</v>
      </c>
      <c r="AA6" s="13">
        <f t="shared" si="1"/>
        <v>2500000</v>
      </c>
      <c r="AB6" s="14"/>
      <c r="AC6" s="12">
        <f t="shared" ref="AC6:AC55" si="3">+F6-Y6</f>
        <v>0</v>
      </c>
      <c r="AD6" s="12">
        <f t="shared" si="2"/>
        <v>0</v>
      </c>
      <c r="AE6" s="13">
        <f t="shared" si="2"/>
        <v>0</v>
      </c>
    </row>
    <row r="7" spans="2:35" ht="16.95" customHeight="1" x14ac:dyDescent="0.25">
      <c r="B7" s="15" t="s">
        <v>19</v>
      </c>
      <c r="C7" s="15"/>
      <c r="D7" s="15"/>
      <c r="E7" s="15"/>
      <c r="F7" s="16">
        <f>+F9+F11</f>
        <v>2500000</v>
      </c>
      <c r="G7" s="16">
        <f>+G9+G11</f>
        <v>0</v>
      </c>
      <c r="H7" s="16">
        <f>+G7+F7</f>
        <v>2500000</v>
      </c>
      <c r="I7" s="16">
        <f>+I9+I11</f>
        <v>1050000</v>
      </c>
      <c r="J7" s="16">
        <f>+J9+J11</f>
        <v>0</v>
      </c>
      <c r="K7" s="16">
        <f>+J7+I7</f>
        <v>1050000</v>
      </c>
      <c r="L7" s="16">
        <f>+L9+L11</f>
        <v>1450000</v>
      </c>
      <c r="M7" s="16">
        <f>+M9+M11</f>
        <v>0</v>
      </c>
      <c r="N7" s="16">
        <f>+M7+L7</f>
        <v>1450000</v>
      </c>
      <c r="O7" s="16">
        <f>+O9+O11</f>
        <v>0</v>
      </c>
      <c r="P7" s="16">
        <f>+P9+P11</f>
        <v>0</v>
      </c>
      <c r="Q7" s="16">
        <f>+P7+O7</f>
        <v>0</v>
      </c>
      <c r="R7" s="16">
        <f>+R9+R11</f>
        <v>0</v>
      </c>
      <c r="S7" s="16">
        <f>+S9+S11</f>
        <v>0</v>
      </c>
      <c r="T7" s="16">
        <f>+S7+R7</f>
        <v>0</v>
      </c>
      <c r="U7" s="16">
        <f>+U9+U11</f>
        <v>0</v>
      </c>
      <c r="V7" s="16">
        <f>+V9+V11</f>
        <v>0</v>
      </c>
      <c r="W7" s="16">
        <f>+V7+U7</f>
        <v>0</v>
      </c>
      <c r="Y7" s="17">
        <f>+I7+L7+O7+R7+U7</f>
        <v>2500000</v>
      </c>
      <c r="Z7" s="17">
        <f>+J7+M7+P7+S7+V7</f>
        <v>0</v>
      </c>
      <c r="AA7" s="18">
        <f>+K7+N7+Q7+T7+W7</f>
        <v>2500000</v>
      </c>
      <c r="AB7" s="6"/>
      <c r="AC7" s="17">
        <f t="shared" si="3"/>
        <v>0</v>
      </c>
      <c r="AD7" s="17">
        <f t="shared" si="2"/>
        <v>0</v>
      </c>
      <c r="AE7" s="18">
        <f t="shared" si="2"/>
        <v>0</v>
      </c>
    </row>
    <row r="8" spans="2:35" ht="32.25" customHeight="1" x14ac:dyDescent="0.25">
      <c r="B8" s="19" t="s">
        <v>20</v>
      </c>
      <c r="C8" s="19"/>
      <c r="D8" s="19"/>
      <c r="E8" s="19"/>
      <c r="F8" s="20">
        <f>+F9</f>
        <v>1750000</v>
      </c>
      <c r="G8" s="20">
        <f t="shared" ref="G8:W8" si="4">+G9</f>
        <v>0</v>
      </c>
      <c r="H8" s="20">
        <f t="shared" si="4"/>
        <v>1750000</v>
      </c>
      <c r="I8" s="20">
        <f t="shared" si="4"/>
        <v>750000</v>
      </c>
      <c r="J8" s="20">
        <f t="shared" si="4"/>
        <v>0</v>
      </c>
      <c r="K8" s="20">
        <f t="shared" si="4"/>
        <v>750000</v>
      </c>
      <c r="L8" s="20">
        <f t="shared" si="4"/>
        <v>1000000</v>
      </c>
      <c r="M8" s="20">
        <f t="shared" si="4"/>
        <v>0</v>
      </c>
      <c r="N8" s="20">
        <f t="shared" si="4"/>
        <v>1000000</v>
      </c>
      <c r="O8" s="20">
        <f t="shared" si="4"/>
        <v>0</v>
      </c>
      <c r="P8" s="20">
        <f t="shared" si="4"/>
        <v>0</v>
      </c>
      <c r="Q8" s="20">
        <f t="shared" si="4"/>
        <v>0</v>
      </c>
      <c r="R8" s="20">
        <f t="shared" si="4"/>
        <v>0</v>
      </c>
      <c r="S8" s="20">
        <f t="shared" si="4"/>
        <v>0</v>
      </c>
      <c r="T8" s="20">
        <f t="shared" si="4"/>
        <v>0</v>
      </c>
      <c r="U8" s="20">
        <f t="shared" si="4"/>
        <v>0</v>
      </c>
      <c r="V8" s="20">
        <f t="shared" si="4"/>
        <v>0</v>
      </c>
      <c r="W8" s="20">
        <f t="shared" si="4"/>
        <v>0</v>
      </c>
      <c r="X8" s="9"/>
      <c r="Y8" s="12">
        <f t="shared" ref="Y8:Y55" si="5">+I8+L8+O8+R8+U8</f>
        <v>1750000</v>
      </c>
      <c r="Z8" s="12">
        <f t="shared" ref="Z8:Z54" si="6">+J8+M8+P8+S8+V8</f>
        <v>0</v>
      </c>
      <c r="AA8" s="13">
        <f t="shared" ref="AA8:AA55" si="7">+K8+N8+Q8+T8+W8</f>
        <v>1750000</v>
      </c>
      <c r="AB8" s="14"/>
      <c r="AC8" s="12">
        <f t="shared" si="3"/>
        <v>0</v>
      </c>
      <c r="AD8" s="12"/>
      <c r="AE8" s="13"/>
      <c r="AF8" s="9"/>
      <c r="AG8" s="9"/>
      <c r="AH8" s="9"/>
      <c r="AI8" s="9"/>
    </row>
    <row r="9" spans="2:35" s="6" customFormat="1" x14ac:dyDescent="0.25">
      <c r="B9" s="21" t="s">
        <v>21</v>
      </c>
      <c r="C9" s="22">
        <v>43101</v>
      </c>
      <c r="D9" s="22">
        <v>43252</v>
      </c>
      <c r="E9" s="22">
        <v>43800</v>
      </c>
      <c r="F9" s="17">
        <v>1750000</v>
      </c>
      <c r="G9" s="17">
        <v>0</v>
      </c>
      <c r="H9" s="17">
        <f>+G9+F9</f>
        <v>1750000</v>
      </c>
      <c r="I9" s="17">
        <v>750000</v>
      </c>
      <c r="J9" s="17">
        <v>0</v>
      </c>
      <c r="K9" s="17">
        <f>J9+I9</f>
        <v>750000</v>
      </c>
      <c r="L9" s="17">
        <v>1000000</v>
      </c>
      <c r="M9" s="17">
        <v>0</v>
      </c>
      <c r="N9" s="17">
        <f>M9+L9</f>
        <v>1000000</v>
      </c>
      <c r="O9" s="17">
        <v>0</v>
      </c>
      <c r="P9" s="17">
        <v>0</v>
      </c>
      <c r="Q9" s="17">
        <f>P9+O9</f>
        <v>0</v>
      </c>
      <c r="R9" s="17">
        <v>0</v>
      </c>
      <c r="S9" s="17">
        <v>0</v>
      </c>
      <c r="T9" s="17">
        <f>S9+R9</f>
        <v>0</v>
      </c>
      <c r="U9" s="17">
        <v>0</v>
      </c>
      <c r="V9" s="17">
        <v>0</v>
      </c>
      <c r="W9" s="17">
        <f>V9+U9</f>
        <v>0</v>
      </c>
      <c r="Y9" s="17">
        <f t="shared" si="5"/>
        <v>1750000</v>
      </c>
      <c r="Z9" s="17">
        <f t="shared" si="6"/>
        <v>0</v>
      </c>
      <c r="AA9" s="18">
        <f t="shared" si="7"/>
        <v>1750000</v>
      </c>
      <c r="AC9" s="17">
        <f t="shared" si="3"/>
        <v>0</v>
      </c>
      <c r="AD9" s="17">
        <f t="shared" si="2"/>
        <v>0</v>
      </c>
      <c r="AE9" s="18">
        <f t="shared" si="2"/>
        <v>0</v>
      </c>
    </row>
    <row r="10" spans="2:35" ht="27.6" x14ac:dyDescent="0.25">
      <c r="B10" s="23" t="s">
        <v>22</v>
      </c>
      <c r="C10" s="23"/>
      <c r="D10" s="23"/>
      <c r="E10" s="23"/>
      <c r="F10" s="20">
        <f>+F11</f>
        <v>750000</v>
      </c>
      <c r="G10" s="20">
        <f t="shared" ref="G10:W10" si="8">+G11</f>
        <v>0</v>
      </c>
      <c r="H10" s="20">
        <f t="shared" si="8"/>
        <v>750000</v>
      </c>
      <c r="I10" s="20">
        <f t="shared" si="8"/>
        <v>300000</v>
      </c>
      <c r="J10" s="20">
        <f t="shared" si="8"/>
        <v>0</v>
      </c>
      <c r="K10" s="20">
        <f t="shared" si="8"/>
        <v>300000</v>
      </c>
      <c r="L10" s="20">
        <f t="shared" si="8"/>
        <v>450000</v>
      </c>
      <c r="M10" s="20">
        <f t="shared" si="8"/>
        <v>0</v>
      </c>
      <c r="N10" s="20">
        <f t="shared" si="8"/>
        <v>450000</v>
      </c>
      <c r="O10" s="20">
        <f t="shared" si="8"/>
        <v>0</v>
      </c>
      <c r="P10" s="20">
        <f t="shared" si="8"/>
        <v>0</v>
      </c>
      <c r="Q10" s="20">
        <f t="shared" si="8"/>
        <v>0</v>
      </c>
      <c r="R10" s="20">
        <f t="shared" si="8"/>
        <v>0</v>
      </c>
      <c r="S10" s="20">
        <f t="shared" si="8"/>
        <v>0</v>
      </c>
      <c r="T10" s="20">
        <f t="shared" si="8"/>
        <v>0</v>
      </c>
      <c r="U10" s="20">
        <f t="shared" si="8"/>
        <v>0</v>
      </c>
      <c r="V10" s="20">
        <f t="shared" si="8"/>
        <v>0</v>
      </c>
      <c r="W10" s="20">
        <f t="shared" si="8"/>
        <v>0</v>
      </c>
      <c r="Y10" s="17">
        <f t="shared" si="5"/>
        <v>750000</v>
      </c>
      <c r="Z10" s="17">
        <f t="shared" si="6"/>
        <v>0</v>
      </c>
      <c r="AA10" s="18">
        <f t="shared" si="7"/>
        <v>750000</v>
      </c>
      <c r="AB10" s="6"/>
      <c r="AC10" s="17">
        <f t="shared" si="3"/>
        <v>0</v>
      </c>
      <c r="AD10" s="17"/>
      <c r="AE10" s="18"/>
    </row>
    <row r="11" spans="2:35" s="6" customFormat="1" x14ac:dyDescent="0.25">
      <c r="B11" s="21" t="s">
        <v>23</v>
      </c>
      <c r="C11" s="22">
        <v>43282</v>
      </c>
      <c r="D11" s="22">
        <v>43435</v>
      </c>
      <c r="E11" s="22">
        <v>43617</v>
      </c>
      <c r="F11" s="17">
        <v>750000</v>
      </c>
      <c r="G11" s="17">
        <v>0</v>
      </c>
      <c r="H11" s="17">
        <f>+G11+F11</f>
        <v>750000</v>
      </c>
      <c r="I11" s="17">
        <v>300000</v>
      </c>
      <c r="J11" s="17">
        <v>0</v>
      </c>
      <c r="K11" s="17">
        <f>J11+I11</f>
        <v>300000</v>
      </c>
      <c r="L11" s="17">
        <v>450000</v>
      </c>
      <c r="M11" s="17">
        <v>0</v>
      </c>
      <c r="N11" s="17">
        <f>M11+L11</f>
        <v>450000</v>
      </c>
      <c r="O11" s="17">
        <v>0</v>
      </c>
      <c r="P11" s="17">
        <v>0</v>
      </c>
      <c r="Q11" s="17">
        <f>P11+O11</f>
        <v>0</v>
      </c>
      <c r="R11" s="17">
        <v>0</v>
      </c>
      <c r="S11" s="17">
        <v>0</v>
      </c>
      <c r="T11" s="17">
        <f>S11+R11</f>
        <v>0</v>
      </c>
      <c r="U11" s="17">
        <v>0</v>
      </c>
      <c r="V11" s="17">
        <v>0</v>
      </c>
      <c r="W11" s="17">
        <f>V11+U11</f>
        <v>0</v>
      </c>
      <c r="Y11" s="17">
        <f t="shared" si="5"/>
        <v>750000</v>
      </c>
      <c r="Z11" s="17">
        <f t="shared" si="6"/>
        <v>0</v>
      </c>
      <c r="AA11" s="18">
        <f t="shared" si="7"/>
        <v>750000</v>
      </c>
      <c r="AC11" s="17">
        <f t="shared" si="3"/>
        <v>0</v>
      </c>
      <c r="AD11" s="17">
        <f t="shared" si="2"/>
        <v>0</v>
      </c>
      <c r="AE11" s="18">
        <f t="shared" si="2"/>
        <v>0</v>
      </c>
    </row>
    <row r="12" spans="2:35" s="9" customFormat="1" x14ac:dyDescent="0.25">
      <c r="B12" s="7" t="s">
        <v>24</v>
      </c>
      <c r="C12" s="7"/>
      <c r="D12" s="7"/>
      <c r="E12" s="7"/>
      <c r="F12" s="8">
        <f t="shared" ref="F12:W12" si="9">+F13+F23+F26</f>
        <v>23304500.228125002</v>
      </c>
      <c r="G12" s="8">
        <f t="shared" si="9"/>
        <v>30264499.865625001</v>
      </c>
      <c r="H12" s="8">
        <f>+H13+H23+H26</f>
        <v>53569000.09375</v>
      </c>
      <c r="I12" s="8">
        <f t="shared" si="9"/>
        <v>4518715</v>
      </c>
      <c r="J12" s="8">
        <f t="shared" si="9"/>
        <v>2656546.5</v>
      </c>
      <c r="K12" s="8">
        <f>+K13+K23+K26</f>
        <v>7175261.5</v>
      </c>
      <c r="L12" s="8">
        <f t="shared" si="9"/>
        <v>6404808.1500000004</v>
      </c>
      <c r="M12" s="8">
        <f t="shared" si="9"/>
        <v>6714646</v>
      </c>
      <c r="N12" s="8">
        <f t="shared" si="9"/>
        <v>13119454.15</v>
      </c>
      <c r="O12" s="8">
        <f t="shared" si="9"/>
        <v>4390696.3499999996</v>
      </c>
      <c r="P12" s="8">
        <f t="shared" si="9"/>
        <v>7357323</v>
      </c>
      <c r="Q12" s="8">
        <f t="shared" si="9"/>
        <v>11748019.35</v>
      </c>
      <c r="R12" s="8">
        <f t="shared" si="9"/>
        <v>4703196.3499999996</v>
      </c>
      <c r="S12" s="8">
        <f t="shared" si="9"/>
        <v>6767992.25</v>
      </c>
      <c r="T12" s="8">
        <f t="shared" si="9"/>
        <v>11471188.6</v>
      </c>
      <c r="U12" s="8">
        <f t="shared" si="9"/>
        <v>3287084.15</v>
      </c>
      <c r="V12" s="8">
        <f t="shared" si="9"/>
        <v>6767992.25</v>
      </c>
      <c r="W12" s="8">
        <f t="shared" si="9"/>
        <v>10055076.4</v>
      </c>
      <c r="Y12" s="8">
        <f t="shared" si="5"/>
        <v>23304500</v>
      </c>
      <c r="Z12" s="8">
        <f t="shared" si="6"/>
        <v>30264500</v>
      </c>
      <c r="AA12" s="8">
        <f t="shared" si="7"/>
        <v>53569000</v>
      </c>
      <c r="AC12" s="8">
        <f t="shared" si="3"/>
        <v>0.22812500223517418</v>
      </c>
      <c r="AD12" s="8">
        <f t="shared" si="2"/>
        <v>-0.13437499850988388</v>
      </c>
      <c r="AE12" s="8">
        <f t="shared" si="2"/>
        <v>9.375E-2</v>
      </c>
    </row>
    <row r="13" spans="2:35" s="14" customFormat="1" x14ac:dyDescent="0.25">
      <c r="B13" s="11" t="s">
        <v>25</v>
      </c>
      <c r="C13" s="11"/>
      <c r="D13" s="11"/>
      <c r="E13" s="11"/>
      <c r="F13" s="12">
        <f>+F15+F16+F17+F18+F19+F20+F22</f>
        <v>19254500.228125002</v>
      </c>
      <c r="G13" s="12">
        <f t="shared" ref="G13:W13" si="10">+G15+G16+G17+G18+G19+G20+G22</f>
        <v>16264499.865625</v>
      </c>
      <c r="H13" s="12">
        <f t="shared" si="10"/>
        <v>35519000.09375</v>
      </c>
      <c r="I13" s="12">
        <f>+I15+I16+I17+I18+I19+I20+I22</f>
        <v>4268715</v>
      </c>
      <c r="J13" s="12">
        <f>+J15+J16+J17+J18+J19+J20+J22</f>
        <v>2656546.5</v>
      </c>
      <c r="K13" s="12">
        <f t="shared" si="10"/>
        <v>6925261.5</v>
      </c>
      <c r="L13" s="12">
        <f t="shared" si="10"/>
        <v>6054808.1500000004</v>
      </c>
      <c r="M13" s="12">
        <f t="shared" si="10"/>
        <v>6714646</v>
      </c>
      <c r="N13" s="12">
        <f t="shared" si="10"/>
        <v>12769454.15</v>
      </c>
      <c r="O13" s="12">
        <f>+O15+O16+O17+O18+O19+O20+O22</f>
        <v>3290696.35</v>
      </c>
      <c r="P13" s="12">
        <f>+P15+P16+P17+P18+P19+P20+P22</f>
        <v>3357323</v>
      </c>
      <c r="Q13" s="12">
        <f t="shared" si="10"/>
        <v>6648019.3499999996</v>
      </c>
      <c r="R13" s="12">
        <f t="shared" si="10"/>
        <v>3403196.35</v>
      </c>
      <c r="S13" s="12">
        <f t="shared" si="10"/>
        <v>1767992.25</v>
      </c>
      <c r="T13" s="12">
        <f t="shared" si="10"/>
        <v>5171188.5999999996</v>
      </c>
      <c r="U13" s="12">
        <f t="shared" si="10"/>
        <v>2237084.15</v>
      </c>
      <c r="V13" s="12">
        <f t="shared" si="10"/>
        <v>1767992.25</v>
      </c>
      <c r="W13" s="12">
        <f t="shared" si="10"/>
        <v>4005076.4</v>
      </c>
      <c r="Y13" s="12">
        <f t="shared" si="5"/>
        <v>19254500</v>
      </c>
      <c r="Z13" s="12">
        <f t="shared" si="6"/>
        <v>16264500</v>
      </c>
      <c r="AA13" s="13">
        <f t="shared" si="7"/>
        <v>35519000</v>
      </c>
      <c r="AC13" s="12">
        <f t="shared" si="3"/>
        <v>0.22812500223517418</v>
      </c>
      <c r="AD13" s="12">
        <f t="shared" si="2"/>
        <v>-0.13437500037252903</v>
      </c>
      <c r="AE13" s="13">
        <f t="shared" si="2"/>
        <v>9.375E-2</v>
      </c>
    </row>
    <row r="14" spans="2:35" s="9" customFormat="1" x14ac:dyDescent="0.25">
      <c r="B14" s="24" t="s">
        <v>26</v>
      </c>
      <c r="C14" s="24"/>
      <c r="D14" s="24"/>
      <c r="E14" s="24"/>
      <c r="F14" s="20">
        <f>SUM(F15:F20)</f>
        <v>17423939.228125002</v>
      </c>
      <c r="G14" s="20">
        <f t="shared" ref="G14:W14" si="11">SUM(G15:G20)</f>
        <v>4477884.8656249996</v>
      </c>
      <c r="H14" s="20">
        <f t="shared" si="11"/>
        <v>21901824.09375</v>
      </c>
      <c r="I14" s="20">
        <f>SUM(I15:I20)</f>
        <v>4268715</v>
      </c>
      <c r="J14" s="20">
        <f>SUM(J15:J20)</f>
        <v>1477885</v>
      </c>
      <c r="K14" s="20">
        <f t="shared" si="11"/>
        <v>5746600</v>
      </c>
      <c r="L14" s="20">
        <f t="shared" si="11"/>
        <v>5780224</v>
      </c>
      <c r="M14" s="20">
        <f t="shared" si="11"/>
        <v>2000000</v>
      </c>
      <c r="N14" s="20">
        <f t="shared" si="11"/>
        <v>7780224</v>
      </c>
      <c r="O14" s="20">
        <f t="shared" si="11"/>
        <v>2650000</v>
      </c>
      <c r="P14" s="20">
        <f t="shared" si="11"/>
        <v>1000000</v>
      </c>
      <c r="Q14" s="20">
        <f t="shared" si="11"/>
        <v>3650000</v>
      </c>
      <c r="R14" s="20">
        <f t="shared" si="11"/>
        <v>2762500</v>
      </c>
      <c r="S14" s="20">
        <f t="shared" si="11"/>
        <v>0</v>
      </c>
      <c r="T14" s="20">
        <f t="shared" si="11"/>
        <v>2762500</v>
      </c>
      <c r="U14" s="20">
        <f t="shared" si="11"/>
        <v>1962500</v>
      </c>
      <c r="V14" s="20">
        <f t="shared" si="11"/>
        <v>0</v>
      </c>
      <c r="W14" s="20">
        <f t="shared" si="11"/>
        <v>1962500</v>
      </c>
      <c r="Y14" s="12">
        <f t="shared" si="5"/>
        <v>17423939</v>
      </c>
      <c r="Z14" s="12">
        <f t="shared" si="6"/>
        <v>4477885</v>
      </c>
      <c r="AA14" s="13">
        <f t="shared" si="7"/>
        <v>21901824</v>
      </c>
      <c r="AB14" s="14"/>
      <c r="AC14" s="12">
        <f t="shared" si="3"/>
        <v>0.22812500223517418</v>
      </c>
      <c r="AD14" s="12"/>
      <c r="AE14" s="13"/>
    </row>
    <row r="15" spans="2:35" s="6" customFormat="1" x14ac:dyDescent="0.25">
      <c r="B15" s="25" t="s">
        <v>27</v>
      </c>
      <c r="C15" s="22">
        <v>43556</v>
      </c>
      <c r="D15" s="22">
        <v>43831</v>
      </c>
      <c r="E15" s="22">
        <v>44621</v>
      </c>
      <c r="F15" s="17">
        <v>500000</v>
      </c>
      <c r="G15" s="17">
        <f>(15929231.57/3.2)-500000</f>
        <v>4477884.8656249996</v>
      </c>
      <c r="H15" s="17">
        <f t="shared" ref="H15:H22" si="12">+G15+F15</f>
        <v>4977884.8656249996</v>
      </c>
      <c r="I15" s="17">
        <v>150000</v>
      </c>
      <c r="J15" s="17">
        <v>1477885</v>
      </c>
      <c r="K15" s="17">
        <f>+J15+I15</f>
        <v>1627885</v>
      </c>
      <c r="L15" s="17">
        <v>200000</v>
      </c>
      <c r="M15" s="17">
        <v>2000000</v>
      </c>
      <c r="N15" s="17">
        <f t="shared" ref="N15:N22" si="13">+M15+L15</f>
        <v>2200000</v>
      </c>
      <c r="O15" s="17">
        <v>150000</v>
      </c>
      <c r="P15" s="17">
        <v>1000000</v>
      </c>
      <c r="Q15" s="17">
        <f>+P15+O15</f>
        <v>1150000</v>
      </c>
      <c r="R15" s="17">
        <v>0</v>
      </c>
      <c r="S15" s="17">
        <v>0</v>
      </c>
      <c r="T15" s="17">
        <f t="shared" ref="T15:T22" si="14">+S15+R15</f>
        <v>0</v>
      </c>
      <c r="U15" s="17">
        <v>0</v>
      </c>
      <c r="V15" s="17">
        <v>0</v>
      </c>
      <c r="W15" s="17">
        <f t="shared" ref="W15:W22" si="15">+V15+U15</f>
        <v>0</v>
      </c>
      <c r="Y15" s="17">
        <f>+I15+L15+O15+R15+U15</f>
        <v>500000</v>
      </c>
      <c r="Z15" s="17">
        <f>+J15+M15+P15+S15+V15</f>
        <v>4477885</v>
      </c>
      <c r="AA15" s="18">
        <f t="shared" si="7"/>
        <v>4977885</v>
      </c>
      <c r="AC15" s="12">
        <f t="shared" si="3"/>
        <v>0</v>
      </c>
      <c r="AD15" s="17">
        <f>+G15-Z15</f>
        <v>-0.13437500037252903</v>
      </c>
      <c r="AE15" s="18">
        <f t="shared" si="2"/>
        <v>-0.13437500037252903</v>
      </c>
    </row>
    <row r="16" spans="2:35" s="6" customFormat="1" x14ac:dyDescent="0.25">
      <c r="B16" s="25" t="s">
        <v>28</v>
      </c>
      <c r="C16" s="22">
        <v>43556</v>
      </c>
      <c r="D16" s="22">
        <v>43831</v>
      </c>
      <c r="E16" s="22">
        <v>44621</v>
      </c>
      <c r="F16" s="17">
        <f>5000000/3.2</f>
        <v>1562500</v>
      </c>
      <c r="G16" s="17">
        <v>0</v>
      </c>
      <c r="H16" s="17">
        <f t="shared" si="12"/>
        <v>1562500</v>
      </c>
      <c r="I16" s="17">
        <v>0</v>
      </c>
      <c r="J16" s="17">
        <f t="shared" ref="J16:J20" si="16">$G16/5</f>
        <v>0</v>
      </c>
      <c r="K16" s="17">
        <f t="shared" ref="K16:K20" si="17">+J16+I16</f>
        <v>0</v>
      </c>
      <c r="L16" s="17">
        <v>0</v>
      </c>
      <c r="M16" s="17">
        <f t="shared" ref="M16:M20" si="18">$G16/5</f>
        <v>0</v>
      </c>
      <c r="N16" s="17">
        <f t="shared" si="13"/>
        <v>0</v>
      </c>
      <c r="O16" s="17">
        <v>500000</v>
      </c>
      <c r="P16" s="17">
        <f t="shared" ref="P16:P20" si="19">$G16/5</f>
        <v>0</v>
      </c>
      <c r="Q16" s="17">
        <f t="shared" ref="Q16:Q22" si="20">+P16+O16</f>
        <v>500000</v>
      </c>
      <c r="R16" s="17">
        <v>562500</v>
      </c>
      <c r="S16" s="17">
        <f t="shared" ref="S16:S20" si="21">$G16/5</f>
        <v>0</v>
      </c>
      <c r="T16" s="17">
        <f t="shared" si="14"/>
        <v>562500</v>
      </c>
      <c r="U16" s="17">
        <v>500000</v>
      </c>
      <c r="V16" s="17">
        <v>0</v>
      </c>
      <c r="W16" s="17">
        <f t="shared" si="15"/>
        <v>500000</v>
      </c>
      <c r="Y16" s="17">
        <f t="shared" si="5"/>
        <v>1562500</v>
      </c>
      <c r="Z16" s="17">
        <f t="shared" si="6"/>
        <v>0</v>
      </c>
      <c r="AA16" s="18">
        <f t="shared" si="7"/>
        <v>1562500</v>
      </c>
      <c r="AC16" s="12">
        <f t="shared" si="3"/>
        <v>0</v>
      </c>
      <c r="AD16" s="17">
        <f>+G16-Z16</f>
        <v>0</v>
      </c>
      <c r="AE16" s="18">
        <f>+H16-AA16</f>
        <v>0</v>
      </c>
    </row>
    <row r="17" spans="1:35" s="6" customFormat="1" x14ac:dyDescent="0.25">
      <c r="B17" s="25" t="s">
        <v>29</v>
      </c>
      <c r="C17" s="22">
        <v>43101</v>
      </c>
      <c r="D17" s="22">
        <v>43252</v>
      </c>
      <c r="E17" s="22">
        <v>43800</v>
      </c>
      <c r="F17" s="17">
        <f>6000000/3.2</f>
        <v>1875000</v>
      </c>
      <c r="G17" s="17">
        <v>0</v>
      </c>
      <c r="H17" s="17">
        <f t="shared" si="12"/>
        <v>1875000</v>
      </c>
      <c r="I17" s="17">
        <f>875000-150000</f>
        <v>725000</v>
      </c>
      <c r="J17" s="17">
        <f t="shared" si="16"/>
        <v>0</v>
      </c>
      <c r="K17" s="17">
        <f t="shared" si="17"/>
        <v>725000</v>
      </c>
      <c r="L17" s="17">
        <f>1000000-200000</f>
        <v>800000</v>
      </c>
      <c r="M17" s="17">
        <f t="shared" si="18"/>
        <v>0</v>
      </c>
      <c r="N17" s="17">
        <f t="shared" si="13"/>
        <v>800000</v>
      </c>
      <c r="O17" s="17">
        <v>0</v>
      </c>
      <c r="P17" s="17">
        <f t="shared" si="19"/>
        <v>0</v>
      </c>
      <c r="Q17" s="17">
        <f t="shared" si="20"/>
        <v>0</v>
      </c>
      <c r="R17" s="17">
        <v>200000</v>
      </c>
      <c r="S17" s="17">
        <f t="shared" si="21"/>
        <v>0</v>
      </c>
      <c r="T17" s="17">
        <f t="shared" si="14"/>
        <v>200000</v>
      </c>
      <c r="U17" s="17">
        <v>150000</v>
      </c>
      <c r="V17" s="17">
        <f t="shared" ref="V17:V20" si="22">$G17/5</f>
        <v>0</v>
      </c>
      <c r="W17" s="17">
        <f t="shared" si="15"/>
        <v>150000</v>
      </c>
      <c r="Y17" s="17">
        <f t="shared" si="5"/>
        <v>1875000</v>
      </c>
      <c r="Z17" s="17">
        <f t="shared" si="6"/>
        <v>0</v>
      </c>
      <c r="AA17" s="18">
        <f t="shared" si="7"/>
        <v>1875000</v>
      </c>
      <c r="AC17" s="12">
        <f t="shared" si="3"/>
        <v>0</v>
      </c>
      <c r="AD17" s="17">
        <f t="shared" ref="AD17:AD21" si="23">+G17-Z17</f>
        <v>0</v>
      </c>
      <c r="AE17" s="18">
        <f t="shared" ref="AE17:AE22" si="24">+H17-AA17</f>
        <v>0</v>
      </c>
    </row>
    <row r="18" spans="1:35" s="6" customFormat="1" x14ac:dyDescent="0.25">
      <c r="B18" s="25" t="s">
        <v>30</v>
      </c>
      <c r="C18" s="22">
        <v>43556</v>
      </c>
      <c r="D18" s="22">
        <v>43831</v>
      </c>
      <c r="E18" s="22">
        <v>44621</v>
      </c>
      <c r="F18" s="17">
        <f>17000000/3.2</f>
        <v>5312500</v>
      </c>
      <c r="G18" s="17">
        <v>0</v>
      </c>
      <c r="H18" s="17">
        <f t="shared" si="12"/>
        <v>5312500</v>
      </c>
      <c r="I18" s="17">
        <v>0</v>
      </c>
      <c r="J18" s="17">
        <f t="shared" si="16"/>
        <v>0</v>
      </c>
      <c r="K18" s="17">
        <f t="shared" si="17"/>
        <v>0</v>
      </c>
      <c r="L18" s="17">
        <v>0</v>
      </c>
      <c r="M18" s="17">
        <f t="shared" si="18"/>
        <v>0</v>
      </c>
      <c r="N18" s="17">
        <f t="shared" si="13"/>
        <v>0</v>
      </c>
      <c r="O18" s="17">
        <v>2000000</v>
      </c>
      <c r="P18" s="17">
        <f t="shared" si="19"/>
        <v>0</v>
      </c>
      <c r="Q18" s="17">
        <f t="shared" si="20"/>
        <v>2000000</v>
      </c>
      <c r="R18" s="17">
        <v>2000000</v>
      </c>
      <c r="S18" s="17">
        <f t="shared" si="21"/>
        <v>0</v>
      </c>
      <c r="T18" s="17">
        <f t="shared" si="14"/>
        <v>2000000</v>
      </c>
      <c r="U18" s="17">
        <v>1312500</v>
      </c>
      <c r="V18" s="17">
        <f t="shared" si="22"/>
        <v>0</v>
      </c>
      <c r="W18" s="17">
        <f t="shared" si="15"/>
        <v>1312500</v>
      </c>
      <c r="Y18" s="17">
        <f t="shared" si="5"/>
        <v>5312500</v>
      </c>
      <c r="Z18" s="17">
        <f t="shared" si="6"/>
        <v>0</v>
      </c>
      <c r="AA18" s="18">
        <f t="shared" si="7"/>
        <v>5312500</v>
      </c>
      <c r="AC18" s="12">
        <f t="shared" si="3"/>
        <v>0</v>
      </c>
      <c r="AD18" s="17">
        <f t="shared" si="23"/>
        <v>0</v>
      </c>
      <c r="AE18" s="18">
        <f t="shared" si="24"/>
        <v>0</v>
      </c>
    </row>
    <row r="19" spans="1:35" s="6" customFormat="1" x14ac:dyDescent="0.25">
      <c r="B19" s="25" t="s">
        <v>31</v>
      </c>
      <c r="C19" s="22">
        <v>43101</v>
      </c>
      <c r="D19" s="22">
        <v>43252</v>
      </c>
      <c r="E19" s="22">
        <v>43800</v>
      </c>
      <c r="F19" s="17">
        <f>23616716.61/3.2</f>
        <v>7380223.9406249998</v>
      </c>
      <c r="G19" s="17">
        <v>0</v>
      </c>
      <c r="H19" s="17">
        <f t="shared" si="12"/>
        <v>7380223.9406249998</v>
      </c>
      <c r="I19" s="17">
        <v>3000000</v>
      </c>
      <c r="J19" s="17">
        <f t="shared" si="16"/>
        <v>0</v>
      </c>
      <c r="K19" s="17">
        <f t="shared" si="17"/>
        <v>3000000</v>
      </c>
      <c r="L19" s="17">
        <v>4380224</v>
      </c>
      <c r="M19" s="17">
        <f t="shared" si="18"/>
        <v>0</v>
      </c>
      <c r="N19" s="17">
        <f t="shared" si="13"/>
        <v>4380224</v>
      </c>
      <c r="O19" s="17">
        <v>0</v>
      </c>
      <c r="P19" s="17">
        <f t="shared" si="19"/>
        <v>0</v>
      </c>
      <c r="Q19" s="17">
        <f t="shared" si="20"/>
        <v>0</v>
      </c>
      <c r="R19" s="17">
        <v>0</v>
      </c>
      <c r="S19" s="17">
        <f t="shared" si="21"/>
        <v>0</v>
      </c>
      <c r="T19" s="17">
        <f t="shared" si="14"/>
        <v>0</v>
      </c>
      <c r="U19" s="17">
        <v>0</v>
      </c>
      <c r="V19" s="17">
        <f t="shared" si="22"/>
        <v>0</v>
      </c>
      <c r="W19" s="17">
        <f t="shared" si="15"/>
        <v>0</v>
      </c>
      <c r="Y19" s="17">
        <f t="shared" si="5"/>
        <v>7380224</v>
      </c>
      <c r="Z19" s="17">
        <f t="shared" si="6"/>
        <v>0</v>
      </c>
      <c r="AA19" s="18">
        <f t="shared" si="7"/>
        <v>7380224</v>
      </c>
      <c r="AC19" s="12">
        <f t="shared" si="3"/>
        <v>-5.9375000186264515E-2</v>
      </c>
      <c r="AD19" s="17">
        <f t="shared" si="23"/>
        <v>0</v>
      </c>
      <c r="AE19" s="18">
        <f t="shared" si="24"/>
        <v>-5.9375000186264515E-2</v>
      </c>
    </row>
    <row r="20" spans="1:35" s="6" customFormat="1" x14ac:dyDescent="0.25">
      <c r="B20" s="25" t="s">
        <v>32</v>
      </c>
      <c r="C20" s="22">
        <v>43101</v>
      </c>
      <c r="D20" s="22">
        <v>43252</v>
      </c>
      <c r="E20" s="22">
        <v>43800</v>
      </c>
      <c r="F20" s="17">
        <f>2539888.92/3.2</f>
        <v>793715.28749999998</v>
      </c>
      <c r="G20" s="17">
        <v>0</v>
      </c>
      <c r="H20" s="17">
        <f t="shared" si="12"/>
        <v>793715.28749999998</v>
      </c>
      <c r="I20" s="17">
        <v>393715</v>
      </c>
      <c r="J20" s="17">
        <f t="shared" si="16"/>
        <v>0</v>
      </c>
      <c r="K20" s="17">
        <f t="shared" si="17"/>
        <v>393715</v>
      </c>
      <c r="L20" s="17">
        <v>400000</v>
      </c>
      <c r="M20" s="17">
        <f t="shared" si="18"/>
        <v>0</v>
      </c>
      <c r="N20" s="17">
        <f t="shared" si="13"/>
        <v>400000</v>
      </c>
      <c r="O20" s="17">
        <v>0</v>
      </c>
      <c r="P20" s="17">
        <f t="shared" si="19"/>
        <v>0</v>
      </c>
      <c r="Q20" s="17">
        <f t="shared" si="20"/>
        <v>0</v>
      </c>
      <c r="R20" s="17">
        <v>0</v>
      </c>
      <c r="S20" s="17">
        <f t="shared" si="21"/>
        <v>0</v>
      </c>
      <c r="T20" s="17">
        <f t="shared" si="14"/>
        <v>0</v>
      </c>
      <c r="U20" s="17">
        <v>0</v>
      </c>
      <c r="V20" s="17">
        <f t="shared" si="22"/>
        <v>0</v>
      </c>
      <c r="W20" s="17">
        <f t="shared" si="15"/>
        <v>0</v>
      </c>
      <c r="Y20" s="17">
        <f t="shared" si="5"/>
        <v>793715</v>
      </c>
      <c r="Z20" s="17">
        <f t="shared" si="6"/>
        <v>0</v>
      </c>
      <c r="AA20" s="18">
        <f t="shared" si="7"/>
        <v>793715</v>
      </c>
      <c r="AC20" s="12">
        <f t="shared" si="3"/>
        <v>0.28749999997671694</v>
      </c>
      <c r="AD20" s="17">
        <f t="shared" si="23"/>
        <v>0</v>
      </c>
      <c r="AE20" s="18">
        <f t="shared" si="24"/>
        <v>0.28749999997671694</v>
      </c>
    </row>
    <row r="21" spans="1:35" x14ac:dyDescent="0.25">
      <c r="B21" s="26" t="s">
        <v>33</v>
      </c>
      <c r="C21" s="26"/>
      <c r="D21" s="26"/>
      <c r="E21" s="26"/>
      <c r="F21" s="20">
        <f>+F22</f>
        <v>1830561</v>
      </c>
      <c r="G21" s="20">
        <f t="shared" ref="G21:W21" si="25">+G22</f>
        <v>11786615</v>
      </c>
      <c r="H21" s="20">
        <f t="shared" si="25"/>
        <v>13617176</v>
      </c>
      <c r="I21" s="20">
        <f t="shared" si="25"/>
        <v>0</v>
      </c>
      <c r="J21" s="20">
        <f t="shared" si="25"/>
        <v>1178661.5</v>
      </c>
      <c r="K21" s="20">
        <f>+K22</f>
        <v>1178661.5</v>
      </c>
      <c r="L21" s="20">
        <f t="shared" si="25"/>
        <v>274584.14999999997</v>
      </c>
      <c r="M21" s="20">
        <f t="shared" si="25"/>
        <v>4714646</v>
      </c>
      <c r="N21" s="20">
        <f t="shared" si="25"/>
        <v>4989230.1500000004</v>
      </c>
      <c r="O21" s="20">
        <f t="shared" si="25"/>
        <v>640696.35</v>
      </c>
      <c r="P21" s="20">
        <f>+P22</f>
        <v>2357323</v>
      </c>
      <c r="Q21" s="20">
        <f t="shared" si="25"/>
        <v>2998019.35</v>
      </c>
      <c r="R21" s="20">
        <f t="shared" si="25"/>
        <v>640696.35</v>
      </c>
      <c r="S21" s="20">
        <f t="shared" si="25"/>
        <v>1767992.25</v>
      </c>
      <c r="T21" s="20">
        <f t="shared" si="25"/>
        <v>2408688.6</v>
      </c>
      <c r="U21" s="20">
        <f t="shared" si="25"/>
        <v>274584.14999999997</v>
      </c>
      <c r="V21" s="20">
        <f t="shared" si="25"/>
        <v>1767992.25</v>
      </c>
      <c r="W21" s="20">
        <f t="shared" si="25"/>
        <v>2042576.4</v>
      </c>
      <c r="Y21" s="17">
        <f t="shared" si="5"/>
        <v>1830561</v>
      </c>
      <c r="Z21" s="17">
        <f t="shared" si="6"/>
        <v>11786615</v>
      </c>
      <c r="AA21" s="18">
        <f t="shared" si="7"/>
        <v>13617176</v>
      </c>
      <c r="AB21" s="6"/>
      <c r="AC21" s="12">
        <f t="shared" si="3"/>
        <v>0</v>
      </c>
      <c r="AD21" s="17">
        <f t="shared" si="23"/>
        <v>0</v>
      </c>
      <c r="AE21" s="18">
        <f t="shared" si="24"/>
        <v>0</v>
      </c>
    </row>
    <row r="22" spans="1:35" s="6" customFormat="1" x14ac:dyDescent="0.25">
      <c r="B22" s="25" t="s">
        <v>34</v>
      </c>
      <c r="C22" s="22">
        <v>43191</v>
      </c>
      <c r="D22" s="22">
        <v>43466</v>
      </c>
      <c r="E22" s="22">
        <v>44743</v>
      </c>
      <c r="F22" s="17">
        <f>2880561-1050000</f>
        <v>1830561</v>
      </c>
      <c r="G22" s="17">
        <f>7786615+4000000</f>
        <v>11786615</v>
      </c>
      <c r="H22" s="17">
        <f t="shared" si="12"/>
        <v>13617176</v>
      </c>
      <c r="I22" s="17">
        <v>0</v>
      </c>
      <c r="J22" s="17">
        <f>0.1*G22</f>
        <v>1178661.5</v>
      </c>
      <c r="K22" s="17">
        <f>+J22+I22</f>
        <v>1178661.5</v>
      </c>
      <c r="L22" s="17">
        <f>0.15*F22</f>
        <v>274584.14999999997</v>
      </c>
      <c r="M22" s="17">
        <f>0.4*G22</f>
        <v>4714646</v>
      </c>
      <c r="N22" s="17">
        <f t="shared" si="13"/>
        <v>4989230.1500000004</v>
      </c>
      <c r="O22" s="17">
        <f>0.35*F22</f>
        <v>640696.35</v>
      </c>
      <c r="P22" s="17">
        <f>0.2*G22</f>
        <v>2357323</v>
      </c>
      <c r="Q22" s="17">
        <f t="shared" si="20"/>
        <v>2998019.35</v>
      </c>
      <c r="R22" s="17">
        <f>0.35*F22</f>
        <v>640696.35</v>
      </c>
      <c r="S22" s="17">
        <f>0.15*G22</f>
        <v>1767992.25</v>
      </c>
      <c r="T22" s="17">
        <f t="shared" si="14"/>
        <v>2408688.6</v>
      </c>
      <c r="U22" s="17">
        <f>0.15*F22</f>
        <v>274584.14999999997</v>
      </c>
      <c r="V22" s="17">
        <f>0.15*G22</f>
        <v>1767992.25</v>
      </c>
      <c r="W22" s="17">
        <f t="shared" si="15"/>
        <v>2042576.4</v>
      </c>
      <c r="Y22" s="17">
        <f t="shared" si="5"/>
        <v>1830561</v>
      </c>
      <c r="Z22" s="17">
        <f t="shared" si="6"/>
        <v>11786615</v>
      </c>
      <c r="AA22" s="18">
        <f t="shared" si="7"/>
        <v>13617176</v>
      </c>
      <c r="AC22" s="17">
        <f t="shared" si="3"/>
        <v>0</v>
      </c>
      <c r="AD22" s="17">
        <f>+G22-Z22</f>
        <v>0</v>
      </c>
      <c r="AE22" s="18">
        <f t="shared" si="24"/>
        <v>0</v>
      </c>
    </row>
    <row r="23" spans="1:35" s="14" customFormat="1" ht="14.25" customHeight="1" x14ac:dyDescent="0.25">
      <c r="B23" s="11" t="s">
        <v>35</v>
      </c>
      <c r="C23" s="76"/>
      <c r="D23" s="76"/>
      <c r="E23" s="76"/>
      <c r="F23" s="12">
        <f t="shared" ref="F23:W23" si="26">+F25</f>
        <v>1550000</v>
      </c>
      <c r="G23" s="12">
        <f t="shared" si="26"/>
        <v>14000000</v>
      </c>
      <c r="H23" s="12">
        <f t="shared" si="26"/>
        <v>15550000</v>
      </c>
      <c r="I23" s="12">
        <f t="shared" si="26"/>
        <v>0</v>
      </c>
      <c r="J23" s="12">
        <f t="shared" si="26"/>
        <v>0</v>
      </c>
      <c r="K23" s="12">
        <f t="shared" si="26"/>
        <v>0</v>
      </c>
      <c r="L23" s="12">
        <f t="shared" si="26"/>
        <v>0</v>
      </c>
      <c r="M23" s="12">
        <f t="shared" si="26"/>
        <v>0</v>
      </c>
      <c r="N23" s="12">
        <f t="shared" si="26"/>
        <v>0</v>
      </c>
      <c r="O23" s="12">
        <f t="shared" si="26"/>
        <v>500000</v>
      </c>
      <c r="P23" s="12">
        <f t="shared" si="26"/>
        <v>4000000</v>
      </c>
      <c r="Q23" s="12">
        <f t="shared" si="26"/>
        <v>4500000</v>
      </c>
      <c r="R23" s="12">
        <f t="shared" si="26"/>
        <v>550000</v>
      </c>
      <c r="S23" s="12">
        <f t="shared" si="26"/>
        <v>5000000</v>
      </c>
      <c r="T23" s="12">
        <f t="shared" si="26"/>
        <v>5550000</v>
      </c>
      <c r="U23" s="12">
        <f t="shared" si="26"/>
        <v>500000</v>
      </c>
      <c r="V23" s="12">
        <f t="shared" si="26"/>
        <v>5000000</v>
      </c>
      <c r="W23" s="12">
        <f t="shared" si="26"/>
        <v>5500000</v>
      </c>
      <c r="Y23" s="12">
        <f t="shared" si="5"/>
        <v>1550000</v>
      </c>
      <c r="Z23" s="12">
        <f t="shared" si="6"/>
        <v>14000000</v>
      </c>
      <c r="AA23" s="13">
        <f t="shared" si="7"/>
        <v>15550000</v>
      </c>
      <c r="AC23" s="12">
        <f t="shared" si="3"/>
        <v>0</v>
      </c>
      <c r="AD23" s="12">
        <f>+G23-Z23</f>
        <v>0</v>
      </c>
      <c r="AE23" s="13">
        <f>+H23-AA23</f>
        <v>0</v>
      </c>
    </row>
    <row r="24" spans="1:35" s="9" customFormat="1" ht="14.25" customHeight="1" x14ac:dyDescent="0.25">
      <c r="A24" s="27"/>
      <c r="B24" s="24" t="s">
        <v>36</v>
      </c>
      <c r="C24" s="24"/>
      <c r="D24" s="24"/>
      <c r="E24" s="24"/>
      <c r="F24" s="20">
        <f>+F25</f>
        <v>1550000</v>
      </c>
      <c r="G24" s="20">
        <f t="shared" ref="G24:V24" si="27">+G25</f>
        <v>14000000</v>
      </c>
      <c r="H24" s="20">
        <f t="shared" si="27"/>
        <v>15550000</v>
      </c>
      <c r="I24" s="20">
        <f t="shared" si="27"/>
        <v>0</v>
      </c>
      <c r="J24" s="20">
        <f t="shared" si="27"/>
        <v>0</v>
      </c>
      <c r="K24" s="20">
        <f t="shared" si="27"/>
        <v>0</v>
      </c>
      <c r="L24" s="20">
        <f t="shared" si="27"/>
        <v>0</v>
      </c>
      <c r="M24" s="20">
        <f t="shared" si="27"/>
        <v>0</v>
      </c>
      <c r="N24" s="20">
        <f t="shared" si="27"/>
        <v>0</v>
      </c>
      <c r="O24" s="20">
        <f t="shared" si="27"/>
        <v>500000</v>
      </c>
      <c r="P24" s="20">
        <f t="shared" si="27"/>
        <v>4000000</v>
      </c>
      <c r="Q24" s="20">
        <f t="shared" si="27"/>
        <v>4500000</v>
      </c>
      <c r="R24" s="20">
        <f t="shared" si="27"/>
        <v>550000</v>
      </c>
      <c r="S24" s="20">
        <f t="shared" si="27"/>
        <v>5000000</v>
      </c>
      <c r="T24" s="20">
        <f t="shared" si="27"/>
        <v>5550000</v>
      </c>
      <c r="U24" s="20">
        <f t="shared" si="27"/>
        <v>500000</v>
      </c>
      <c r="V24" s="20">
        <f t="shared" si="27"/>
        <v>5000000</v>
      </c>
      <c r="W24" s="20">
        <f>+W25</f>
        <v>5500000</v>
      </c>
      <c r="Y24" s="12">
        <f t="shared" si="5"/>
        <v>1550000</v>
      </c>
      <c r="Z24" s="12">
        <f t="shared" si="6"/>
        <v>14000000</v>
      </c>
      <c r="AA24" s="13">
        <f t="shared" si="7"/>
        <v>15550000</v>
      </c>
      <c r="AB24" s="14"/>
      <c r="AC24" s="12">
        <f t="shared" si="3"/>
        <v>0</v>
      </c>
      <c r="AD24" s="12"/>
      <c r="AE24" s="13"/>
    </row>
    <row r="25" spans="1:35" s="6" customFormat="1" x14ac:dyDescent="0.25">
      <c r="B25" s="25" t="s">
        <v>37</v>
      </c>
      <c r="C25" s="22">
        <v>43862</v>
      </c>
      <c r="D25" s="22">
        <v>44013</v>
      </c>
      <c r="E25" s="22">
        <v>44774</v>
      </c>
      <c r="F25" s="17">
        <v>1550000</v>
      </c>
      <c r="G25" s="17">
        <v>14000000</v>
      </c>
      <c r="H25" s="17">
        <f>+G25+F25</f>
        <v>15550000</v>
      </c>
      <c r="I25" s="17">
        <v>0</v>
      </c>
      <c r="J25" s="17">
        <v>0</v>
      </c>
      <c r="K25" s="17">
        <f>+J25+I25</f>
        <v>0</v>
      </c>
      <c r="L25" s="17">
        <f>I25</f>
        <v>0</v>
      </c>
      <c r="M25" s="17">
        <v>0</v>
      </c>
      <c r="N25" s="17">
        <f>+M25+L25</f>
        <v>0</v>
      </c>
      <c r="O25" s="17">
        <v>500000</v>
      </c>
      <c r="P25" s="17">
        <v>4000000</v>
      </c>
      <c r="Q25" s="17">
        <f>+P25+O25</f>
        <v>4500000</v>
      </c>
      <c r="R25" s="17">
        <v>550000</v>
      </c>
      <c r="S25" s="17">
        <v>5000000</v>
      </c>
      <c r="T25" s="17">
        <f>+S25+R25</f>
        <v>5550000</v>
      </c>
      <c r="U25" s="17">
        <v>500000</v>
      </c>
      <c r="V25" s="17">
        <v>5000000</v>
      </c>
      <c r="W25" s="17">
        <f>+V25+U25</f>
        <v>5500000</v>
      </c>
      <c r="Y25" s="17">
        <f t="shared" si="5"/>
        <v>1550000</v>
      </c>
      <c r="Z25" s="17">
        <f t="shared" si="6"/>
        <v>14000000</v>
      </c>
      <c r="AA25" s="18">
        <f t="shared" si="7"/>
        <v>15550000</v>
      </c>
      <c r="AC25" s="12">
        <f t="shared" si="3"/>
        <v>0</v>
      </c>
      <c r="AD25" s="17"/>
      <c r="AE25" s="18"/>
    </row>
    <row r="26" spans="1:35" s="14" customFormat="1" ht="14.25" customHeight="1" x14ac:dyDescent="0.25">
      <c r="B26" s="11" t="s">
        <v>38</v>
      </c>
      <c r="C26" s="11"/>
      <c r="D26" s="11"/>
      <c r="E26" s="11"/>
      <c r="F26" s="12">
        <f t="shared" ref="F26:W26" si="28">+F27</f>
        <v>2500000</v>
      </c>
      <c r="G26" s="12">
        <f t="shared" si="28"/>
        <v>0</v>
      </c>
      <c r="H26" s="12">
        <f t="shared" si="28"/>
        <v>2500000</v>
      </c>
      <c r="I26" s="12">
        <f t="shared" si="28"/>
        <v>250000</v>
      </c>
      <c r="J26" s="12">
        <f t="shared" si="28"/>
        <v>0</v>
      </c>
      <c r="K26" s="12">
        <f>+K27</f>
        <v>250000</v>
      </c>
      <c r="L26" s="12">
        <f t="shared" si="28"/>
        <v>350000</v>
      </c>
      <c r="M26" s="12">
        <f t="shared" si="28"/>
        <v>0</v>
      </c>
      <c r="N26" s="12">
        <f t="shared" si="28"/>
        <v>350000</v>
      </c>
      <c r="O26" s="12">
        <f t="shared" si="28"/>
        <v>600000</v>
      </c>
      <c r="P26" s="12">
        <f t="shared" si="28"/>
        <v>0</v>
      </c>
      <c r="Q26" s="12">
        <f t="shared" si="28"/>
        <v>600000</v>
      </c>
      <c r="R26" s="12">
        <f t="shared" si="28"/>
        <v>750000</v>
      </c>
      <c r="S26" s="12">
        <f t="shared" si="28"/>
        <v>0</v>
      </c>
      <c r="T26" s="12">
        <f t="shared" si="28"/>
        <v>750000</v>
      </c>
      <c r="U26" s="12">
        <f t="shared" si="28"/>
        <v>550000</v>
      </c>
      <c r="V26" s="12">
        <f t="shared" si="28"/>
        <v>0</v>
      </c>
      <c r="W26" s="12">
        <f t="shared" si="28"/>
        <v>550000</v>
      </c>
      <c r="Y26" s="12">
        <f t="shared" si="5"/>
        <v>2500000</v>
      </c>
      <c r="Z26" s="12">
        <f t="shared" si="6"/>
        <v>0</v>
      </c>
      <c r="AA26" s="13">
        <f t="shared" si="7"/>
        <v>2500000</v>
      </c>
      <c r="AC26" s="12">
        <f t="shared" si="3"/>
        <v>0</v>
      </c>
      <c r="AD26" s="12">
        <f t="shared" ref="AD26:AE43" si="29">+G26-Z26</f>
        <v>0</v>
      </c>
      <c r="AE26" s="13">
        <f t="shared" si="29"/>
        <v>0</v>
      </c>
    </row>
    <row r="27" spans="1:35" s="6" customFormat="1" x14ac:dyDescent="0.25">
      <c r="B27" s="21" t="s">
        <v>39</v>
      </c>
      <c r="C27" s="22">
        <v>43101</v>
      </c>
      <c r="D27" s="22">
        <v>43252</v>
      </c>
      <c r="E27" s="22">
        <v>44713</v>
      </c>
      <c r="F27" s="17">
        <v>2500000</v>
      </c>
      <c r="G27" s="17">
        <v>0</v>
      </c>
      <c r="H27" s="17">
        <f>+G27+F27</f>
        <v>2500000</v>
      </c>
      <c r="I27" s="17">
        <v>250000</v>
      </c>
      <c r="J27" s="17">
        <v>0</v>
      </c>
      <c r="K27" s="17">
        <f>+J27+I27</f>
        <v>250000</v>
      </c>
      <c r="L27" s="17">
        <v>350000</v>
      </c>
      <c r="M27" s="17">
        <v>0</v>
      </c>
      <c r="N27" s="17">
        <f>+M27+L27</f>
        <v>350000</v>
      </c>
      <c r="O27" s="17">
        <v>600000</v>
      </c>
      <c r="P27" s="17">
        <v>0</v>
      </c>
      <c r="Q27" s="17">
        <f>+P27+O27</f>
        <v>600000</v>
      </c>
      <c r="R27" s="17">
        <v>750000</v>
      </c>
      <c r="S27" s="17">
        <v>0</v>
      </c>
      <c r="T27" s="17">
        <f>+S27+R27</f>
        <v>750000</v>
      </c>
      <c r="U27" s="17">
        <v>550000</v>
      </c>
      <c r="V27" s="17">
        <v>0</v>
      </c>
      <c r="W27" s="17">
        <f>+V27+U27</f>
        <v>550000</v>
      </c>
      <c r="Y27" s="17">
        <f t="shared" si="5"/>
        <v>2500000</v>
      </c>
      <c r="Z27" s="17">
        <f t="shared" si="6"/>
        <v>0</v>
      </c>
      <c r="AA27" s="18">
        <f t="shared" si="7"/>
        <v>2500000</v>
      </c>
      <c r="AC27" s="17">
        <f t="shared" si="3"/>
        <v>0</v>
      </c>
      <c r="AD27" s="17">
        <f t="shared" si="29"/>
        <v>0</v>
      </c>
      <c r="AE27" s="18">
        <f t="shared" si="29"/>
        <v>0</v>
      </c>
    </row>
    <row r="28" spans="1:35" x14ac:dyDescent="0.25">
      <c r="B28" s="7" t="s">
        <v>40</v>
      </c>
      <c r="C28" s="7"/>
      <c r="D28" s="7"/>
      <c r="E28" s="7"/>
      <c r="F28" s="8">
        <f>+F29</f>
        <v>3499999.88</v>
      </c>
      <c r="G28" s="8">
        <f t="shared" ref="G28:W28" si="30">+G29</f>
        <v>0</v>
      </c>
      <c r="H28" s="8">
        <f t="shared" si="30"/>
        <v>3499999.88</v>
      </c>
      <c r="I28" s="8">
        <f t="shared" si="30"/>
        <v>184210.52</v>
      </c>
      <c r="J28" s="8">
        <f t="shared" si="30"/>
        <v>0</v>
      </c>
      <c r="K28" s="8">
        <f t="shared" si="30"/>
        <v>184210.52</v>
      </c>
      <c r="L28" s="8">
        <f t="shared" si="30"/>
        <v>368421.04</v>
      </c>
      <c r="M28" s="8">
        <f t="shared" si="30"/>
        <v>0</v>
      </c>
      <c r="N28" s="8">
        <f t="shared" si="30"/>
        <v>368421.04</v>
      </c>
      <c r="O28" s="8">
        <f t="shared" si="30"/>
        <v>552631.56000000006</v>
      </c>
      <c r="P28" s="8">
        <f t="shared" si="30"/>
        <v>0</v>
      </c>
      <c r="Q28" s="8">
        <f t="shared" si="30"/>
        <v>552631.56000000006</v>
      </c>
      <c r="R28" s="8">
        <f t="shared" si="30"/>
        <v>1473684.16</v>
      </c>
      <c r="S28" s="8">
        <f t="shared" si="30"/>
        <v>0</v>
      </c>
      <c r="T28" s="8">
        <f t="shared" si="30"/>
        <v>1473684.16</v>
      </c>
      <c r="U28" s="8">
        <f t="shared" si="30"/>
        <v>921052.6</v>
      </c>
      <c r="V28" s="8">
        <f t="shared" si="30"/>
        <v>0</v>
      </c>
      <c r="W28" s="8">
        <f t="shared" si="30"/>
        <v>921052.6</v>
      </c>
      <c r="X28" s="9"/>
      <c r="Y28" s="8">
        <f t="shared" si="5"/>
        <v>3499999.8800000004</v>
      </c>
      <c r="Z28" s="8">
        <f t="shared" si="6"/>
        <v>0</v>
      </c>
      <c r="AA28" s="10">
        <f t="shared" si="7"/>
        <v>3499999.8800000004</v>
      </c>
      <c r="AB28" s="9"/>
      <c r="AC28" s="8">
        <f t="shared" si="3"/>
        <v>0</v>
      </c>
      <c r="AD28" s="8">
        <f t="shared" si="29"/>
        <v>0</v>
      </c>
      <c r="AE28" s="10">
        <f t="shared" si="29"/>
        <v>0</v>
      </c>
      <c r="AF28" s="9"/>
      <c r="AG28" s="9"/>
      <c r="AH28" s="9"/>
      <c r="AI28" s="9"/>
    </row>
    <row r="29" spans="1:35" s="6" customFormat="1" x14ac:dyDescent="0.25">
      <c r="B29" s="11" t="s">
        <v>41</v>
      </c>
      <c r="C29" s="11"/>
      <c r="D29" s="11"/>
      <c r="E29" s="11"/>
      <c r="F29" s="12">
        <f>+F31+F33+F35+F37+F41+F39</f>
        <v>3499999.88</v>
      </c>
      <c r="G29" s="12">
        <f t="shared" ref="G29:W29" si="31">+G31+G33+G35+G37+G41+G39</f>
        <v>0</v>
      </c>
      <c r="H29" s="12">
        <f t="shared" si="31"/>
        <v>3499999.88</v>
      </c>
      <c r="I29" s="12">
        <f t="shared" si="31"/>
        <v>184210.52</v>
      </c>
      <c r="J29" s="12">
        <f t="shared" si="31"/>
        <v>0</v>
      </c>
      <c r="K29" s="12">
        <f t="shared" si="31"/>
        <v>184210.52</v>
      </c>
      <c r="L29" s="12">
        <f t="shared" si="31"/>
        <v>368421.04</v>
      </c>
      <c r="M29" s="12">
        <f t="shared" si="31"/>
        <v>0</v>
      </c>
      <c r="N29" s="12">
        <f t="shared" si="31"/>
        <v>368421.04</v>
      </c>
      <c r="O29" s="12">
        <f t="shared" si="31"/>
        <v>552631.56000000006</v>
      </c>
      <c r="P29" s="12">
        <f t="shared" si="31"/>
        <v>0</v>
      </c>
      <c r="Q29" s="12">
        <f t="shared" si="31"/>
        <v>552631.56000000006</v>
      </c>
      <c r="R29" s="12">
        <f t="shared" si="31"/>
        <v>1473684.16</v>
      </c>
      <c r="S29" s="12">
        <f t="shared" si="31"/>
        <v>0</v>
      </c>
      <c r="T29" s="12">
        <f t="shared" si="31"/>
        <v>1473684.16</v>
      </c>
      <c r="U29" s="12">
        <f t="shared" si="31"/>
        <v>921052.6</v>
      </c>
      <c r="V29" s="12">
        <f t="shared" si="31"/>
        <v>0</v>
      </c>
      <c r="W29" s="12">
        <f t="shared" si="31"/>
        <v>921052.6</v>
      </c>
      <c r="X29" s="14"/>
      <c r="Y29" s="12">
        <f t="shared" si="5"/>
        <v>3499999.8800000004</v>
      </c>
      <c r="Z29" s="12">
        <f t="shared" si="6"/>
        <v>0</v>
      </c>
      <c r="AA29" s="13">
        <f t="shared" si="7"/>
        <v>3499999.8800000004</v>
      </c>
      <c r="AB29" s="14"/>
      <c r="AC29" s="12">
        <f t="shared" si="3"/>
        <v>0</v>
      </c>
      <c r="AD29" s="12">
        <f t="shared" si="29"/>
        <v>0</v>
      </c>
      <c r="AE29" s="13">
        <f t="shared" si="29"/>
        <v>0</v>
      </c>
      <c r="AF29" s="14"/>
      <c r="AG29" s="14"/>
      <c r="AH29" s="14"/>
      <c r="AI29" s="14"/>
    </row>
    <row r="30" spans="1:35" ht="27.6" x14ac:dyDescent="0.25">
      <c r="B30" s="28" t="s">
        <v>42</v>
      </c>
      <c r="C30" s="28"/>
      <c r="D30" s="28"/>
      <c r="E30" s="28"/>
      <c r="F30" s="20">
        <f>+F31</f>
        <v>552631.55999999994</v>
      </c>
      <c r="G30" s="20">
        <f t="shared" ref="G30:W30" si="32">+G31</f>
        <v>0</v>
      </c>
      <c r="H30" s="20">
        <f t="shared" si="32"/>
        <v>552631.55999999994</v>
      </c>
      <c r="I30" s="20">
        <f t="shared" si="32"/>
        <v>184210.52</v>
      </c>
      <c r="J30" s="20">
        <f t="shared" si="32"/>
        <v>0</v>
      </c>
      <c r="K30" s="20">
        <f t="shared" si="32"/>
        <v>184210.52</v>
      </c>
      <c r="L30" s="20">
        <f t="shared" si="32"/>
        <v>368421.04</v>
      </c>
      <c r="M30" s="20">
        <f t="shared" si="32"/>
        <v>0</v>
      </c>
      <c r="N30" s="20">
        <f t="shared" si="32"/>
        <v>368421.04</v>
      </c>
      <c r="O30" s="20">
        <f t="shared" si="32"/>
        <v>0</v>
      </c>
      <c r="P30" s="20">
        <f t="shared" si="32"/>
        <v>0</v>
      </c>
      <c r="Q30" s="20">
        <f t="shared" si="32"/>
        <v>0</v>
      </c>
      <c r="R30" s="20">
        <f t="shared" si="32"/>
        <v>0</v>
      </c>
      <c r="S30" s="20">
        <f t="shared" si="32"/>
        <v>0</v>
      </c>
      <c r="T30" s="20">
        <f t="shared" si="32"/>
        <v>0</v>
      </c>
      <c r="U30" s="20">
        <f t="shared" si="32"/>
        <v>0</v>
      </c>
      <c r="V30" s="20">
        <f t="shared" si="32"/>
        <v>0</v>
      </c>
      <c r="W30" s="20">
        <f t="shared" si="32"/>
        <v>0</v>
      </c>
      <c r="X30" s="9"/>
      <c r="Y30" s="12">
        <f t="shared" si="5"/>
        <v>552631.55999999994</v>
      </c>
      <c r="Z30" s="12">
        <f t="shared" si="6"/>
        <v>0</v>
      </c>
      <c r="AA30" s="13">
        <f t="shared" si="7"/>
        <v>552631.55999999994</v>
      </c>
      <c r="AB30" s="14"/>
      <c r="AC30" s="12">
        <f t="shared" si="3"/>
        <v>0</v>
      </c>
      <c r="AD30" s="12"/>
      <c r="AE30" s="13"/>
      <c r="AF30" s="9"/>
      <c r="AG30" s="9"/>
      <c r="AH30" s="9"/>
      <c r="AI30" s="9"/>
    </row>
    <row r="31" spans="1:35" s="14" customFormat="1" ht="41.4" x14ac:dyDescent="0.25">
      <c r="B31" s="29" t="s">
        <v>43</v>
      </c>
      <c r="C31" s="30">
        <v>43282</v>
      </c>
      <c r="D31" s="30">
        <v>43435</v>
      </c>
      <c r="E31" s="30">
        <v>43800</v>
      </c>
      <c r="F31" s="17">
        <f>I31+L31+O31+R31+U31</f>
        <v>552631.55999999994</v>
      </c>
      <c r="G31" s="17">
        <v>0</v>
      </c>
      <c r="H31" s="17">
        <f>+G31+F31</f>
        <v>552631.55999999994</v>
      </c>
      <c r="I31" s="17">
        <v>184210.52</v>
      </c>
      <c r="J31" s="17">
        <v>0</v>
      </c>
      <c r="K31" s="17">
        <f>+J31+I31</f>
        <v>184210.52</v>
      </c>
      <c r="L31" s="17">
        <v>368421.04</v>
      </c>
      <c r="M31" s="17">
        <v>0</v>
      </c>
      <c r="N31" s="17">
        <f>+M31+L31</f>
        <v>368421.04</v>
      </c>
      <c r="O31" s="17">
        <v>0</v>
      </c>
      <c r="P31" s="17">
        <v>0</v>
      </c>
      <c r="Q31" s="17">
        <f>+P31+O31</f>
        <v>0</v>
      </c>
      <c r="R31" s="17">
        <v>0</v>
      </c>
      <c r="S31" s="17">
        <v>0</v>
      </c>
      <c r="T31" s="17">
        <f>+S31+R31</f>
        <v>0</v>
      </c>
      <c r="U31" s="17">
        <v>0</v>
      </c>
      <c r="V31" s="17">
        <v>0</v>
      </c>
      <c r="W31" s="17">
        <f>+V31+U31</f>
        <v>0</v>
      </c>
      <c r="Y31" s="12">
        <f t="shared" si="5"/>
        <v>552631.55999999994</v>
      </c>
      <c r="Z31" s="12">
        <f t="shared" si="6"/>
        <v>0</v>
      </c>
      <c r="AA31" s="13">
        <f t="shared" si="7"/>
        <v>552631.55999999994</v>
      </c>
      <c r="AC31" s="12">
        <f t="shared" si="3"/>
        <v>0</v>
      </c>
      <c r="AD31" s="12">
        <f t="shared" si="29"/>
        <v>0</v>
      </c>
      <c r="AE31" s="13">
        <f t="shared" si="29"/>
        <v>0</v>
      </c>
    </row>
    <row r="32" spans="1:35" s="9" customFormat="1" ht="33.75" customHeight="1" x14ac:dyDescent="0.25">
      <c r="B32" s="31" t="s">
        <v>44</v>
      </c>
      <c r="C32" s="32"/>
      <c r="D32" s="32"/>
      <c r="E32" s="32"/>
      <c r="F32" s="33">
        <f>+F33</f>
        <v>721052.6</v>
      </c>
      <c r="G32" s="33">
        <f t="shared" ref="G32:W32" si="33">+G33</f>
        <v>0</v>
      </c>
      <c r="H32" s="33">
        <f t="shared" si="33"/>
        <v>721052.6</v>
      </c>
      <c r="I32" s="33">
        <f t="shared" si="33"/>
        <v>0</v>
      </c>
      <c r="J32" s="33">
        <f t="shared" si="33"/>
        <v>0</v>
      </c>
      <c r="K32" s="33">
        <f t="shared" si="33"/>
        <v>0</v>
      </c>
      <c r="L32" s="33">
        <f t="shared" si="33"/>
        <v>0</v>
      </c>
      <c r="M32" s="33">
        <f t="shared" si="33"/>
        <v>0</v>
      </c>
      <c r="N32" s="33">
        <f t="shared" si="33"/>
        <v>0</v>
      </c>
      <c r="O32" s="33">
        <f t="shared" si="33"/>
        <v>0</v>
      </c>
      <c r="P32" s="33">
        <f t="shared" si="33"/>
        <v>0</v>
      </c>
      <c r="Q32" s="33">
        <f t="shared" si="33"/>
        <v>0</v>
      </c>
      <c r="R32" s="33">
        <f t="shared" si="33"/>
        <v>360526.3</v>
      </c>
      <c r="S32" s="33">
        <f t="shared" si="33"/>
        <v>0</v>
      </c>
      <c r="T32" s="33">
        <f t="shared" si="33"/>
        <v>360526.3</v>
      </c>
      <c r="U32" s="33">
        <f t="shared" si="33"/>
        <v>360526.3</v>
      </c>
      <c r="V32" s="33">
        <f t="shared" si="33"/>
        <v>0</v>
      </c>
      <c r="W32" s="33">
        <f t="shared" si="33"/>
        <v>360526.3</v>
      </c>
      <c r="Y32" s="12">
        <f t="shared" si="5"/>
        <v>721052.6</v>
      </c>
      <c r="Z32" s="12">
        <f t="shared" si="6"/>
        <v>0</v>
      </c>
      <c r="AA32" s="13">
        <f t="shared" si="7"/>
        <v>721052.6</v>
      </c>
      <c r="AB32" s="14"/>
      <c r="AC32" s="12">
        <f t="shared" si="3"/>
        <v>0</v>
      </c>
      <c r="AD32" s="12"/>
      <c r="AE32" s="13"/>
    </row>
    <row r="33" spans="2:39" s="14" customFormat="1" x14ac:dyDescent="0.25">
      <c r="B33" s="29" t="s">
        <v>45</v>
      </c>
      <c r="C33" s="30">
        <v>44013</v>
      </c>
      <c r="D33" s="30">
        <v>44166</v>
      </c>
      <c r="E33" s="30">
        <v>44713</v>
      </c>
      <c r="F33" s="17">
        <f>I33+L33+O33+R33+U33</f>
        <v>721052.6</v>
      </c>
      <c r="G33" s="17">
        <v>0</v>
      </c>
      <c r="H33" s="17">
        <f>+G33+F33</f>
        <v>721052.6</v>
      </c>
      <c r="I33" s="17">
        <v>0</v>
      </c>
      <c r="J33" s="17">
        <v>0</v>
      </c>
      <c r="K33" s="17">
        <f>+J33+I33</f>
        <v>0</v>
      </c>
      <c r="L33" s="17">
        <v>0</v>
      </c>
      <c r="M33" s="17">
        <v>0</v>
      </c>
      <c r="N33" s="17">
        <f>+M33+L33</f>
        <v>0</v>
      </c>
      <c r="O33" s="17">
        <v>0</v>
      </c>
      <c r="P33" s="17">
        <v>0</v>
      </c>
      <c r="Q33" s="17">
        <f>+P33+O33</f>
        <v>0</v>
      </c>
      <c r="R33" s="17">
        <v>360526.3</v>
      </c>
      <c r="S33" s="17">
        <v>0</v>
      </c>
      <c r="T33" s="17">
        <f>+S33+R33</f>
        <v>360526.3</v>
      </c>
      <c r="U33" s="17">
        <v>360526.3</v>
      </c>
      <c r="V33" s="17">
        <v>0</v>
      </c>
      <c r="W33" s="17">
        <f>+V33+U33</f>
        <v>360526.3</v>
      </c>
      <c r="X33" s="6"/>
      <c r="Y33" s="17">
        <f t="shared" si="5"/>
        <v>721052.6</v>
      </c>
      <c r="Z33" s="17">
        <f t="shared" si="6"/>
        <v>0</v>
      </c>
      <c r="AA33" s="18">
        <f t="shared" si="7"/>
        <v>721052.6</v>
      </c>
      <c r="AB33" s="6"/>
      <c r="AC33" s="12">
        <f t="shared" si="3"/>
        <v>0</v>
      </c>
      <c r="AD33" s="12">
        <f t="shared" si="29"/>
        <v>0</v>
      </c>
      <c r="AE33" s="13">
        <f t="shared" si="29"/>
        <v>0</v>
      </c>
      <c r="AF33" s="6"/>
      <c r="AG33" s="6"/>
      <c r="AH33" s="6"/>
      <c r="AI33" s="6"/>
    </row>
    <row r="34" spans="2:39" s="9" customFormat="1" ht="27" customHeight="1" x14ac:dyDescent="0.25">
      <c r="B34" s="31" t="s">
        <v>46</v>
      </c>
      <c r="C34" s="32"/>
      <c r="D34" s="32"/>
      <c r="E34" s="32"/>
      <c r="F34" s="33">
        <f>+F35</f>
        <v>721052.6</v>
      </c>
      <c r="G34" s="33">
        <f t="shared" ref="G34:W34" si="34">+G35</f>
        <v>0</v>
      </c>
      <c r="H34" s="33">
        <f t="shared" si="34"/>
        <v>721052.6</v>
      </c>
      <c r="I34" s="33">
        <f t="shared" si="34"/>
        <v>0</v>
      </c>
      <c r="J34" s="33">
        <f t="shared" si="34"/>
        <v>0</v>
      </c>
      <c r="K34" s="33">
        <f t="shared" si="34"/>
        <v>0</v>
      </c>
      <c r="L34" s="33">
        <f t="shared" si="34"/>
        <v>0</v>
      </c>
      <c r="M34" s="33">
        <f t="shared" si="34"/>
        <v>0</v>
      </c>
      <c r="N34" s="33">
        <f t="shared" si="34"/>
        <v>0</v>
      </c>
      <c r="O34" s="33">
        <f t="shared" si="34"/>
        <v>0</v>
      </c>
      <c r="P34" s="33">
        <f t="shared" si="34"/>
        <v>0</v>
      </c>
      <c r="Q34" s="33">
        <f t="shared" si="34"/>
        <v>0</v>
      </c>
      <c r="R34" s="33">
        <f t="shared" si="34"/>
        <v>360526.3</v>
      </c>
      <c r="S34" s="33">
        <f t="shared" si="34"/>
        <v>0</v>
      </c>
      <c r="T34" s="33">
        <f t="shared" si="34"/>
        <v>360526.3</v>
      </c>
      <c r="U34" s="33">
        <f t="shared" si="34"/>
        <v>360526.3</v>
      </c>
      <c r="V34" s="33">
        <f t="shared" si="34"/>
        <v>0</v>
      </c>
      <c r="W34" s="33">
        <f t="shared" si="34"/>
        <v>360526.3</v>
      </c>
      <c r="X34" s="5"/>
      <c r="Y34" s="17">
        <f t="shared" si="5"/>
        <v>721052.6</v>
      </c>
      <c r="Z34" s="17">
        <f t="shared" si="6"/>
        <v>0</v>
      </c>
      <c r="AA34" s="18">
        <f t="shared" si="7"/>
        <v>721052.6</v>
      </c>
      <c r="AB34" s="6"/>
      <c r="AC34" s="12">
        <f t="shared" si="3"/>
        <v>0</v>
      </c>
      <c r="AD34" s="12"/>
      <c r="AE34" s="13"/>
      <c r="AF34" s="5"/>
      <c r="AG34" s="5"/>
      <c r="AH34" s="5"/>
      <c r="AI34" s="5"/>
    </row>
    <row r="35" spans="2:39" s="14" customFormat="1" x14ac:dyDescent="0.25">
      <c r="B35" s="29" t="s">
        <v>47</v>
      </c>
      <c r="C35" s="30">
        <v>44013</v>
      </c>
      <c r="D35" s="30">
        <v>44166</v>
      </c>
      <c r="E35" s="30">
        <v>44713</v>
      </c>
      <c r="F35" s="17">
        <f>I35+L35+O35+R35+U35</f>
        <v>721052.6</v>
      </c>
      <c r="G35" s="17">
        <v>0</v>
      </c>
      <c r="H35" s="17">
        <f>+G35+F35</f>
        <v>721052.6</v>
      </c>
      <c r="I35" s="17">
        <v>0</v>
      </c>
      <c r="J35" s="17">
        <v>0</v>
      </c>
      <c r="K35" s="17">
        <f>+J35+I35</f>
        <v>0</v>
      </c>
      <c r="L35" s="17">
        <v>0</v>
      </c>
      <c r="M35" s="17">
        <v>0</v>
      </c>
      <c r="N35" s="17">
        <f>+M35+L35</f>
        <v>0</v>
      </c>
      <c r="O35" s="17">
        <v>0</v>
      </c>
      <c r="P35" s="17">
        <v>0</v>
      </c>
      <c r="Q35" s="17">
        <f>+P35+O35</f>
        <v>0</v>
      </c>
      <c r="R35" s="17">
        <v>360526.3</v>
      </c>
      <c r="S35" s="17">
        <v>0</v>
      </c>
      <c r="T35" s="17">
        <f>+S35+R35</f>
        <v>360526.3</v>
      </c>
      <c r="U35" s="17">
        <v>360526.3</v>
      </c>
      <c r="V35" s="17">
        <v>0</v>
      </c>
      <c r="W35" s="17">
        <f>+V35+U35</f>
        <v>360526.3</v>
      </c>
      <c r="X35" s="6"/>
      <c r="Y35" s="17">
        <f t="shared" si="5"/>
        <v>721052.6</v>
      </c>
      <c r="Z35" s="17">
        <f t="shared" si="6"/>
        <v>0</v>
      </c>
      <c r="AA35" s="18">
        <f t="shared" si="7"/>
        <v>721052.6</v>
      </c>
      <c r="AB35" s="6"/>
      <c r="AC35" s="12">
        <f t="shared" si="3"/>
        <v>0</v>
      </c>
      <c r="AD35" s="12">
        <f t="shared" si="29"/>
        <v>0</v>
      </c>
      <c r="AE35" s="13">
        <f t="shared" si="29"/>
        <v>0</v>
      </c>
      <c r="AF35" s="6"/>
      <c r="AG35" s="6"/>
      <c r="AH35" s="6"/>
      <c r="AI35" s="6"/>
    </row>
    <row r="36" spans="2:39" s="9" customFormat="1" ht="27.6" x14ac:dyDescent="0.25">
      <c r="B36" s="32" t="s">
        <v>48</v>
      </c>
      <c r="C36" s="32"/>
      <c r="D36" s="32"/>
      <c r="E36" s="32"/>
      <c r="F36" s="34">
        <f>+F37</f>
        <v>552631.56000000006</v>
      </c>
      <c r="G36" s="34">
        <f t="shared" ref="G36:W36" si="35">+G37</f>
        <v>0</v>
      </c>
      <c r="H36" s="34">
        <f t="shared" si="35"/>
        <v>552631.56000000006</v>
      </c>
      <c r="I36" s="34">
        <f t="shared" si="35"/>
        <v>0</v>
      </c>
      <c r="J36" s="34">
        <f t="shared" si="35"/>
        <v>0</v>
      </c>
      <c r="K36" s="34">
        <f t="shared" si="35"/>
        <v>0</v>
      </c>
      <c r="L36" s="34">
        <f t="shared" si="35"/>
        <v>0</v>
      </c>
      <c r="M36" s="34">
        <f t="shared" si="35"/>
        <v>0</v>
      </c>
      <c r="N36" s="34">
        <f t="shared" si="35"/>
        <v>0</v>
      </c>
      <c r="O36" s="34">
        <f t="shared" si="35"/>
        <v>276315.78000000003</v>
      </c>
      <c r="P36" s="34">
        <f t="shared" si="35"/>
        <v>0</v>
      </c>
      <c r="Q36" s="34">
        <f t="shared" si="35"/>
        <v>276315.78000000003</v>
      </c>
      <c r="R36" s="34">
        <f t="shared" si="35"/>
        <v>276315.78000000003</v>
      </c>
      <c r="S36" s="34">
        <f t="shared" si="35"/>
        <v>0</v>
      </c>
      <c r="T36" s="34">
        <f t="shared" si="35"/>
        <v>276315.78000000003</v>
      </c>
      <c r="U36" s="34">
        <f t="shared" si="35"/>
        <v>0</v>
      </c>
      <c r="V36" s="34">
        <f t="shared" si="35"/>
        <v>0</v>
      </c>
      <c r="W36" s="34">
        <f t="shared" si="35"/>
        <v>0</v>
      </c>
      <c r="X36" s="5"/>
      <c r="Y36" s="17">
        <f t="shared" si="5"/>
        <v>552631.56000000006</v>
      </c>
      <c r="Z36" s="17">
        <f t="shared" si="6"/>
        <v>0</v>
      </c>
      <c r="AA36" s="18">
        <f t="shared" si="7"/>
        <v>552631.56000000006</v>
      </c>
      <c r="AB36" s="6"/>
      <c r="AC36" s="12">
        <f t="shared" si="3"/>
        <v>0</v>
      </c>
      <c r="AD36" s="12"/>
      <c r="AE36" s="13"/>
      <c r="AF36" s="5"/>
      <c r="AG36" s="5"/>
      <c r="AH36" s="5"/>
      <c r="AI36" s="5"/>
    </row>
    <row r="37" spans="2:39" s="14" customFormat="1" ht="27.6" x14ac:dyDescent="0.25">
      <c r="B37" s="35" t="s">
        <v>49</v>
      </c>
      <c r="C37" s="30">
        <v>43739</v>
      </c>
      <c r="D37" s="30">
        <v>43891</v>
      </c>
      <c r="E37" s="30">
        <v>44287</v>
      </c>
      <c r="F37" s="17">
        <f>I37+L37+O37+R37+U37</f>
        <v>552631.56000000006</v>
      </c>
      <c r="G37" s="17">
        <v>0</v>
      </c>
      <c r="H37" s="17">
        <f>+G37+F37</f>
        <v>552631.56000000006</v>
      </c>
      <c r="I37" s="17">
        <v>0</v>
      </c>
      <c r="J37" s="17">
        <v>0</v>
      </c>
      <c r="K37" s="17">
        <f>+J37+I37</f>
        <v>0</v>
      </c>
      <c r="L37" s="17">
        <v>0</v>
      </c>
      <c r="M37" s="17">
        <v>0</v>
      </c>
      <c r="N37" s="17">
        <f>+M37+L37</f>
        <v>0</v>
      </c>
      <c r="O37" s="17">
        <v>276315.78000000003</v>
      </c>
      <c r="P37" s="17">
        <v>0</v>
      </c>
      <c r="Q37" s="17">
        <f>+P37+O37</f>
        <v>276315.78000000003</v>
      </c>
      <c r="R37" s="17">
        <v>276315.78000000003</v>
      </c>
      <c r="S37" s="17">
        <v>0</v>
      </c>
      <c r="T37" s="17">
        <f>+S37+R37</f>
        <v>276315.78000000003</v>
      </c>
      <c r="U37" s="17">
        <v>0</v>
      </c>
      <c r="V37" s="17">
        <v>0</v>
      </c>
      <c r="W37" s="17">
        <f>+V37+U37</f>
        <v>0</v>
      </c>
      <c r="X37" s="6"/>
      <c r="Y37" s="17">
        <f t="shared" si="5"/>
        <v>552631.56000000006</v>
      </c>
      <c r="Z37" s="17">
        <f t="shared" si="6"/>
        <v>0</v>
      </c>
      <c r="AA37" s="18">
        <f t="shared" si="7"/>
        <v>552631.56000000006</v>
      </c>
      <c r="AB37" s="6"/>
      <c r="AC37" s="12">
        <f t="shared" si="3"/>
        <v>0</v>
      </c>
      <c r="AD37" s="12">
        <f t="shared" si="29"/>
        <v>0</v>
      </c>
      <c r="AE37" s="13">
        <f t="shared" si="29"/>
        <v>0</v>
      </c>
      <c r="AF37" s="6"/>
      <c r="AG37" s="6"/>
      <c r="AH37" s="6"/>
      <c r="AI37" s="6"/>
    </row>
    <row r="38" spans="2:39" s="9" customFormat="1" ht="30" customHeight="1" x14ac:dyDescent="0.25">
      <c r="B38" s="32" t="s">
        <v>50</v>
      </c>
      <c r="C38" s="32"/>
      <c r="D38" s="32"/>
      <c r="E38" s="32"/>
      <c r="F38" s="33">
        <f>+F39</f>
        <v>552631.56000000006</v>
      </c>
      <c r="G38" s="33">
        <f t="shared" ref="G38:W40" si="36">+G39</f>
        <v>0</v>
      </c>
      <c r="H38" s="33">
        <f t="shared" si="36"/>
        <v>552631.56000000006</v>
      </c>
      <c r="I38" s="33">
        <f t="shared" si="36"/>
        <v>0</v>
      </c>
      <c r="J38" s="33">
        <f t="shared" si="36"/>
        <v>0</v>
      </c>
      <c r="K38" s="33">
        <f t="shared" si="36"/>
        <v>0</v>
      </c>
      <c r="L38" s="33">
        <f t="shared" si="36"/>
        <v>0</v>
      </c>
      <c r="M38" s="33">
        <f t="shared" si="36"/>
        <v>0</v>
      </c>
      <c r="N38" s="33">
        <f t="shared" si="36"/>
        <v>0</v>
      </c>
      <c r="O38" s="33">
        <f t="shared" si="36"/>
        <v>276315.78000000003</v>
      </c>
      <c r="P38" s="33">
        <f t="shared" si="36"/>
        <v>0</v>
      </c>
      <c r="Q38" s="33">
        <f t="shared" si="36"/>
        <v>276315.78000000003</v>
      </c>
      <c r="R38" s="33">
        <f t="shared" si="36"/>
        <v>276315.78000000003</v>
      </c>
      <c r="S38" s="33">
        <f t="shared" si="36"/>
        <v>0</v>
      </c>
      <c r="T38" s="33">
        <f t="shared" si="36"/>
        <v>276315.78000000003</v>
      </c>
      <c r="U38" s="33">
        <f t="shared" si="36"/>
        <v>0</v>
      </c>
      <c r="V38" s="33">
        <f t="shared" si="36"/>
        <v>0</v>
      </c>
      <c r="W38" s="33">
        <f t="shared" si="36"/>
        <v>0</v>
      </c>
      <c r="X38" s="5"/>
      <c r="Y38" s="17">
        <f t="shared" ref="Y38:Y39" si="37">+I38+L38+O38+R38+U38</f>
        <v>552631.56000000006</v>
      </c>
      <c r="Z38" s="17">
        <f t="shared" ref="Z38:Z39" si="38">+J38+M38+P38+S38+V38</f>
        <v>0</v>
      </c>
      <c r="AA38" s="18">
        <f t="shared" ref="AA38:AA39" si="39">+K38+N38+Q38+T38+W38</f>
        <v>552631.56000000006</v>
      </c>
      <c r="AB38" s="6"/>
      <c r="AC38" s="12">
        <f t="shared" ref="AC38:AC39" si="40">+F38-Y38</f>
        <v>0</v>
      </c>
      <c r="AD38" s="12"/>
      <c r="AE38" s="13"/>
      <c r="AF38" s="5"/>
      <c r="AG38" s="5"/>
      <c r="AH38" s="5"/>
      <c r="AI38" s="5"/>
    </row>
    <row r="39" spans="2:39" s="14" customFormat="1" x14ac:dyDescent="0.25">
      <c r="B39" s="35" t="s">
        <v>51</v>
      </c>
      <c r="C39" s="30">
        <v>43739</v>
      </c>
      <c r="D39" s="30">
        <v>43891</v>
      </c>
      <c r="E39" s="30">
        <v>44287</v>
      </c>
      <c r="F39" s="17">
        <f>I39+L39+O39+R39+U39</f>
        <v>552631.56000000006</v>
      </c>
      <c r="G39" s="17">
        <v>0</v>
      </c>
      <c r="H39" s="17">
        <f>+G39+F39</f>
        <v>552631.56000000006</v>
      </c>
      <c r="I39" s="17">
        <v>0</v>
      </c>
      <c r="J39" s="17">
        <v>0</v>
      </c>
      <c r="K39" s="17">
        <f>+J39+I39</f>
        <v>0</v>
      </c>
      <c r="L39" s="17">
        <v>0</v>
      </c>
      <c r="M39" s="17">
        <v>0</v>
      </c>
      <c r="N39" s="17">
        <f>+M39+L39</f>
        <v>0</v>
      </c>
      <c r="O39" s="17">
        <v>276315.78000000003</v>
      </c>
      <c r="P39" s="17">
        <v>0</v>
      </c>
      <c r="Q39" s="17">
        <f>+P39+O39</f>
        <v>276315.78000000003</v>
      </c>
      <c r="R39" s="17">
        <v>276315.78000000003</v>
      </c>
      <c r="S39" s="17">
        <v>0</v>
      </c>
      <c r="T39" s="17">
        <f>+S39+R39</f>
        <v>276315.78000000003</v>
      </c>
      <c r="U39" s="17">
        <v>0</v>
      </c>
      <c r="V39" s="17">
        <v>0</v>
      </c>
      <c r="W39" s="17">
        <f>+V39+U39</f>
        <v>0</v>
      </c>
      <c r="X39" s="6"/>
      <c r="Y39" s="17">
        <f t="shared" si="37"/>
        <v>552631.56000000006</v>
      </c>
      <c r="Z39" s="17">
        <f t="shared" si="38"/>
        <v>0</v>
      </c>
      <c r="AA39" s="18">
        <f t="shared" si="39"/>
        <v>552631.56000000006</v>
      </c>
      <c r="AB39" s="6"/>
      <c r="AC39" s="12">
        <f t="shared" si="40"/>
        <v>0</v>
      </c>
      <c r="AD39" s="12">
        <f t="shared" ref="AD39" si="41">+G39-Z39</f>
        <v>0</v>
      </c>
      <c r="AE39" s="13">
        <f t="shared" ref="AE39" si="42">+H39-AA39</f>
        <v>0</v>
      </c>
      <c r="AF39" s="6"/>
      <c r="AG39" s="6"/>
      <c r="AH39" s="6"/>
      <c r="AI39" s="6"/>
    </row>
    <row r="40" spans="2:39" s="9" customFormat="1" ht="30" customHeight="1" x14ac:dyDescent="0.25">
      <c r="B40" s="32" t="s">
        <v>52</v>
      </c>
      <c r="C40" s="32"/>
      <c r="D40" s="32"/>
      <c r="E40" s="32"/>
      <c r="F40" s="33">
        <f>+F41</f>
        <v>400000</v>
      </c>
      <c r="G40" s="33">
        <f t="shared" si="36"/>
        <v>0</v>
      </c>
      <c r="H40" s="33">
        <f>+H41</f>
        <v>400000</v>
      </c>
      <c r="I40" s="33">
        <f t="shared" si="36"/>
        <v>0</v>
      </c>
      <c r="J40" s="33">
        <f t="shared" si="36"/>
        <v>0</v>
      </c>
      <c r="K40" s="33">
        <f t="shared" si="36"/>
        <v>0</v>
      </c>
      <c r="L40" s="33">
        <f t="shared" si="36"/>
        <v>0</v>
      </c>
      <c r="M40" s="33">
        <f t="shared" si="36"/>
        <v>0</v>
      </c>
      <c r="N40" s="33">
        <f t="shared" si="36"/>
        <v>0</v>
      </c>
      <c r="O40" s="33">
        <f t="shared" si="36"/>
        <v>0</v>
      </c>
      <c r="P40" s="33">
        <f t="shared" si="36"/>
        <v>0</v>
      </c>
      <c r="Q40" s="33">
        <f t="shared" si="36"/>
        <v>0</v>
      </c>
      <c r="R40" s="33">
        <f t="shared" si="36"/>
        <v>200000</v>
      </c>
      <c r="S40" s="33">
        <f t="shared" si="36"/>
        <v>0</v>
      </c>
      <c r="T40" s="33">
        <f t="shared" si="36"/>
        <v>200000</v>
      </c>
      <c r="U40" s="33">
        <f t="shared" si="36"/>
        <v>200000</v>
      </c>
      <c r="V40" s="33">
        <f t="shared" si="36"/>
        <v>0</v>
      </c>
      <c r="W40" s="33">
        <f t="shared" si="36"/>
        <v>200000</v>
      </c>
      <c r="X40" s="5"/>
      <c r="Y40" s="17">
        <f t="shared" si="5"/>
        <v>400000</v>
      </c>
      <c r="Z40" s="17">
        <f t="shared" si="6"/>
        <v>0</v>
      </c>
      <c r="AA40" s="18">
        <f t="shared" si="7"/>
        <v>400000</v>
      </c>
      <c r="AB40" s="6"/>
      <c r="AC40" s="12">
        <f t="shared" si="3"/>
        <v>0</v>
      </c>
      <c r="AD40" s="12"/>
      <c r="AE40" s="13"/>
      <c r="AF40" s="5"/>
      <c r="AG40" s="5"/>
      <c r="AH40" s="5"/>
      <c r="AI40" s="5"/>
    </row>
    <row r="41" spans="2:39" s="14" customFormat="1" ht="27.6" x14ac:dyDescent="0.25">
      <c r="B41" s="35" t="s">
        <v>53</v>
      </c>
      <c r="C41" s="30">
        <v>43739</v>
      </c>
      <c r="D41" s="30">
        <v>43891</v>
      </c>
      <c r="E41" s="30">
        <v>44287</v>
      </c>
      <c r="F41" s="17">
        <f>I41+L41+O41+R41+U41</f>
        <v>400000</v>
      </c>
      <c r="G41" s="17">
        <v>0</v>
      </c>
      <c r="H41" s="17">
        <f>+G41+F41</f>
        <v>400000</v>
      </c>
      <c r="I41" s="17">
        <v>0</v>
      </c>
      <c r="J41" s="17">
        <v>0</v>
      </c>
      <c r="K41" s="17">
        <f>+J41+I41</f>
        <v>0</v>
      </c>
      <c r="L41" s="17">
        <v>0</v>
      </c>
      <c r="M41" s="17">
        <v>0</v>
      </c>
      <c r="N41" s="17">
        <f>+M41+L41</f>
        <v>0</v>
      </c>
      <c r="O41" s="17">
        <v>0</v>
      </c>
      <c r="P41" s="17">
        <v>0</v>
      </c>
      <c r="Q41" s="17">
        <f>+P41+O41</f>
        <v>0</v>
      </c>
      <c r="R41" s="17">
        <v>200000</v>
      </c>
      <c r="S41" s="17">
        <v>0</v>
      </c>
      <c r="T41" s="17">
        <f>+S41+R41</f>
        <v>200000</v>
      </c>
      <c r="U41" s="17">
        <v>200000</v>
      </c>
      <c r="V41" s="17">
        <v>0</v>
      </c>
      <c r="W41" s="17">
        <f>+V41+U41</f>
        <v>200000</v>
      </c>
      <c r="X41" s="6"/>
      <c r="Y41" s="17">
        <f t="shared" si="5"/>
        <v>400000</v>
      </c>
      <c r="Z41" s="17">
        <f t="shared" si="6"/>
        <v>0</v>
      </c>
      <c r="AA41" s="18">
        <f t="shared" si="7"/>
        <v>400000</v>
      </c>
      <c r="AB41" s="6"/>
      <c r="AC41" s="12">
        <f t="shared" si="3"/>
        <v>0</v>
      </c>
      <c r="AD41" s="12">
        <f t="shared" si="29"/>
        <v>0</v>
      </c>
      <c r="AE41" s="13">
        <f t="shared" si="29"/>
        <v>0</v>
      </c>
      <c r="AF41" s="6"/>
      <c r="AG41" s="6"/>
      <c r="AH41" s="6"/>
      <c r="AI41" s="6"/>
    </row>
    <row r="42" spans="2:39" ht="35.25" customHeight="1" x14ac:dyDescent="0.25">
      <c r="B42" s="7" t="s">
        <v>54</v>
      </c>
      <c r="C42" s="7"/>
      <c r="D42" s="7"/>
      <c r="E42" s="7"/>
      <c r="F42" s="8">
        <f t="shared" ref="F42:U43" si="43">+F43</f>
        <v>0</v>
      </c>
      <c r="G42" s="8">
        <f t="shared" si="43"/>
        <v>1000000</v>
      </c>
      <c r="H42" s="8">
        <f t="shared" si="43"/>
        <v>1000000</v>
      </c>
      <c r="I42" s="8">
        <f t="shared" si="43"/>
        <v>0</v>
      </c>
      <c r="J42" s="8">
        <f t="shared" si="43"/>
        <v>100000</v>
      </c>
      <c r="K42" s="8">
        <f t="shared" si="43"/>
        <v>100000</v>
      </c>
      <c r="L42" s="8">
        <f t="shared" si="43"/>
        <v>0</v>
      </c>
      <c r="M42" s="8">
        <f t="shared" si="43"/>
        <v>200000</v>
      </c>
      <c r="N42" s="8">
        <f t="shared" si="43"/>
        <v>200000</v>
      </c>
      <c r="O42" s="8">
        <f t="shared" si="43"/>
        <v>0</v>
      </c>
      <c r="P42" s="8">
        <f t="shared" si="43"/>
        <v>250000</v>
      </c>
      <c r="Q42" s="8">
        <f t="shared" si="43"/>
        <v>250000</v>
      </c>
      <c r="R42" s="8">
        <f t="shared" si="43"/>
        <v>0</v>
      </c>
      <c r="S42" s="8">
        <f t="shared" si="43"/>
        <v>300000</v>
      </c>
      <c r="T42" s="8">
        <f t="shared" si="43"/>
        <v>300000</v>
      </c>
      <c r="U42" s="8">
        <f t="shared" si="43"/>
        <v>0</v>
      </c>
      <c r="V42" s="8">
        <f>+V43</f>
        <v>150000</v>
      </c>
      <c r="W42" s="8">
        <f>+W43</f>
        <v>150000</v>
      </c>
      <c r="X42" s="9"/>
      <c r="Y42" s="8">
        <f t="shared" si="5"/>
        <v>0</v>
      </c>
      <c r="Z42" s="8">
        <f t="shared" si="6"/>
        <v>1000000</v>
      </c>
      <c r="AA42" s="10">
        <f t="shared" si="7"/>
        <v>1000000</v>
      </c>
      <c r="AB42" s="9"/>
      <c r="AC42" s="8">
        <f t="shared" si="3"/>
        <v>0</v>
      </c>
      <c r="AD42" s="8">
        <f t="shared" si="29"/>
        <v>0</v>
      </c>
      <c r="AE42" s="10">
        <f t="shared" si="29"/>
        <v>0</v>
      </c>
      <c r="AF42" s="9"/>
      <c r="AG42" s="9"/>
      <c r="AH42" s="9"/>
      <c r="AI42" s="9"/>
      <c r="AM42" s="5">
        <f>2.5/64</f>
        <v>3.90625E-2</v>
      </c>
    </row>
    <row r="43" spans="2:39" s="6" customFormat="1" x14ac:dyDescent="0.25">
      <c r="B43" s="11" t="s">
        <v>55</v>
      </c>
      <c r="C43" s="11"/>
      <c r="D43" s="11"/>
      <c r="E43" s="11"/>
      <c r="F43" s="12">
        <f t="shared" si="43"/>
        <v>0</v>
      </c>
      <c r="G43" s="12">
        <f t="shared" si="43"/>
        <v>1000000</v>
      </c>
      <c r="H43" s="12">
        <f t="shared" si="43"/>
        <v>1000000</v>
      </c>
      <c r="I43" s="12">
        <f t="shared" si="43"/>
        <v>0</v>
      </c>
      <c r="J43" s="12">
        <f t="shared" si="43"/>
        <v>100000</v>
      </c>
      <c r="K43" s="12">
        <f t="shared" si="43"/>
        <v>100000</v>
      </c>
      <c r="L43" s="12">
        <f t="shared" si="43"/>
        <v>0</v>
      </c>
      <c r="M43" s="12">
        <f t="shared" si="43"/>
        <v>200000</v>
      </c>
      <c r="N43" s="12">
        <f t="shared" si="43"/>
        <v>200000</v>
      </c>
      <c r="O43" s="12">
        <f t="shared" si="43"/>
        <v>0</v>
      </c>
      <c r="P43" s="12">
        <f t="shared" si="43"/>
        <v>250000</v>
      </c>
      <c r="Q43" s="12">
        <f t="shared" si="43"/>
        <v>250000</v>
      </c>
      <c r="R43" s="12">
        <f t="shared" si="43"/>
        <v>0</v>
      </c>
      <c r="S43" s="12">
        <f t="shared" si="43"/>
        <v>300000</v>
      </c>
      <c r="T43" s="12">
        <f t="shared" si="43"/>
        <v>300000</v>
      </c>
      <c r="U43" s="12">
        <f t="shared" si="43"/>
        <v>0</v>
      </c>
      <c r="V43" s="12">
        <f>+V44</f>
        <v>150000</v>
      </c>
      <c r="W43" s="12">
        <f>+W44</f>
        <v>150000</v>
      </c>
      <c r="X43" s="14"/>
      <c r="Y43" s="12">
        <f t="shared" si="5"/>
        <v>0</v>
      </c>
      <c r="Z43" s="12">
        <f t="shared" si="6"/>
        <v>1000000</v>
      </c>
      <c r="AA43" s="13">
        <f t="shared" si="7"/>
        <v>1000000</v>
      </c>
      <c r="AB43" s="14"/>
      <c r="AC43" s="12">
        <f t="shared" si="3"/>
        <v>0</v>
      </c>
      <c r="AD43" s="12">
        <f t="shared" si="29"/>
        <v>0</v>
      </c>
      <c r="AE43" s="13">
        <f t="shared" si="29"/>
        <v>0</v>
      </c>
      <c r="AF43" s="14"/>
      <c r="AG43" s="14"/>
      <c r="AH43" s="14"/>
      <c r="AI43" s="14"/>
    </row>
    <row r="44" spans="2:39" s="14" customFormat="1" x14ac:dyDescent="0.25">
      <c r="B44" s="25" t="s">
        <v>56</v>
      </c>
      <c r="C44" s="22">
        <v>43160</v>
      </c>
      <c r="D44" s="22">
        <v>43374</v>
      </c>
      <c r="E44" s="22">
        <v>44652</v>
      </c>
      <c r="F44" s="17">
        <v>0</v>
      </c>
      <c r="G44" s="17">
        <v>1000000</v>
      </c>
      <c r="H44" s="17">
        <f>+G44+F44</f>
        <v>1000000</v>
      </c>
      <c r="I44" s="17">
        <v>0</v>
      </c>
      <c r="J44" s="17">
        <v>100000</v>
      </c>
      <c r="K44" s="17">
        <f>+J44+I44</f>
        <v>100000</v>
      </c>
      <c r="L44" s="17">
        <v>0</v>
      </c>
      <c r="M44" s="17">
        <v>200000</v>
      </c>
      <c r="N44" s="17">
        <f>+M44+L44</f>
        <v>200000</v>
      </c>
      <c r="O44" s="17">
        <v>0</v>
      </c>
      <c r="P44" s="17">
        <v>250000</v>
      </c>
      <c r="Q44" s="17">
        <f>+P44+O44</f>
        <v>250000</v>
      </c>
      <c r="R44" s="17">
        <v>0</v>
      </c>
      <c r="S44" s="17">
        <v>300000</v>
      </c>
      <c r="T44" s="17">
        <f>+S44+R44</f>
        <v>300000</v>
      </c>
      <c r="U44" s="17">
        <v>0</v>
      </c>
      <c r="V44" s="17">
        <v>150000</v>
      </c>
      <c r="W44" s="17">
        <f>+V44+U44</f>
        <v>150000</v>
      </c>
      <c r="X44" s="6"/>
      <c r="Y44" s="17">
        <f t="shared" si="5"/>
        <v>0</v>
      </c>
      <c r="Z44" s="17">
        <f t="shared" si="6"/>
        <v>1000000</v>
      </c>
      <c r="AA44" s="18">
        <f t="shared" si="7"/>
        <v>1000000</v>
      </c>
      <c r="AB44" s="6"/>
      <c r="AC44" s="17">
        <f t="shared" si="3"/>
        <v>0</v>
      </c>
      <c r="AD44" s="17">
        <f t="shared" ref="AD44:AE46" si="44">+G44-Z44</f>
        <v>0</v>
      </c>
      <c r="AE44" s="18">
        <f t="shared" si="44"/>
        <v>0</v>
      </c>
      <c r="AF44" s="6"/>
      <c r="AG44" s="6"/>
      <c r="AH44" s="6"/>
      <c r="AI44" s="6"/>
    </row>
    <row r="45" spans="2:39" ht="35.25" customHeight="1" x14ac:dyDescent="0.25">
      <c r="B45" s="7" t="s">
        <v>57</v>
      </c>
      <c r="C45" s="7"/>
      <c r="D45" s="7"/>
      <c r="E45" s="7"/>
      <c r="F45" s="8">
        <f>+F46+F52</f>
        <v>2479999.9999000002</v>
      </c>
      <c r="G45" s="8">
        <f t="shared" ref="G45:W45" si="45">+G46+G52</f>
        <v>520000</v>
      </c>
      <c r="H45" s="8">
        <f>+H46+H52</f>
        <v>2999999.9999000002</v>
      </c>
      <c r="I45" s="8">
        <f t="shared" si="45"/>
        <v>267499.999985</v>
      </c>
      <c r="J45" s="8">
        <f t="shared" si="45"/>
        <v>100000</v>
      </c>
      <c r="K45" s="8">
        <f t="shared" si="45"/>
        <v>367499.999985</v>
      </c>
      <c r="L45" s="8">
        <f t="shared" si="45"/>
        <v>489999.99998000002</v>
      </c>
      <c r="M45" s="8">
        <f t="shared" si="45"/>
        <v>100000</v>
      </c>
      <c r="N45" s="8">
        <f t="shared" si="45"/>
        <v>589999.99997999996</v>
      </c>
      <c r="O45" s="8">
        <f t="shared" si="45"/>
        <v>594999.99997</v>
      </c>
      <c r="P45" s="8">
        <f t="shared" si="45"/>
        <v>120000</v>
      </c>
      <c r="Q45" s="8">
        <f t="shared" si="45"/>
        <v>714999.99997</v>
      </c>
      <c r="R45" s="8">
        <f t="shared" si="45"/>
        <v>489999.99998000002</v>
      </c>
      <c r="S45" s="8">
        <f t="shared" si="45"/>
        <v>100000</v>
      </c>
      <c r="T45" s="8">
        <f t="shared" si="45"/>
        <v>589999.99997999996</v>
      </c>
      <c r="U45" s="8">
        <f t="shared" si="45"/>
        <v>637499.999985</v>
      </c>
      <c r="V45" s="8">
        <f t="shared" si="45"/>
        <v>100000</v>
      </c>
      <c r="W45" s="8">
        <f t="shared" si="45"/>
        <v>737499.999985</v>
      </c>
      <c r="X45" s="9"/>
      <c r="Y45" s="8">
        <f t="shared" si="5"/>
        <v>2479999.9999000002</v>
      </c>
      <c r="Z45" s="8">
        <f t="shared" si="6"/>
        <v>520000</v>
      </c>
      <c r="AA45" s="10">
        <f t="shared" si="7"/>
        <v>2999999.9999000002</v>
      </c>
      <c r="AB45" s="9"/>
      <c r="AC45" s="8">
        <f t="shared" si="3"/>
        <v>0</v>
      </c>
      <c r="AD45" s="8">
        <f t="shared" si="44"/>
        <v>0</v>
      </c>
      <c r="AE45" s="10">
        <f t="shared" si="44"/>
        <v>0</v>
      </c>
      <c r="AF45" s="9"/>
      <c r="AG45" s="9"/>
      <c r="AH45" s="9"/>
      <c r="AI45" s="9"/>
      <c r="AM45" s="5">
        <f>2.5/64</f>
        <v>3.90625E-2</v>
      </c>
    </row>
    <row r="46" spans="2:39" s="6" customFormat="1" x14ac:dyDescent="0.25">
      <c r="B46" s="11" t="s">
        <v>58</v>
      </c>
      <c r="C46" s="11"/>
      <c r="D46" s="11"/>
      <c r="E46" s="11"/>
      <c r="F46" s="12">
        <f>+F48+F51</f>
        <v>2230000</v>
      </c>
      <c r="G46" s="12">
        <f>+G48</f>
        <v>520000</v>
      </c>
      <c r="H46" s="12">
        <f>+H48+H51</f>
        <v>2750000</v>
      </c>
      <c r="I46" s="12">
        <f>+I48+I51</f>
        <v>230000</v>
      </c>
      <c r="J46" s="12">
        <f>+J48</f>
        <v>100000</v>
      </c>
      <c r="K46" s="12">
        <f>+K48+K51</f>
        <v>330000</v>
      </c>
      <c r="L46" s="12">
        <f>+L48+L51</f>
        <v>440000</v>
      </c>
      <c r="M46" s="12">
        <f>+M48</f>
        <v>100000</v>
      </c>
      <c r="N46" s="12">
        <f>+N48+N51</f>
        <v>540000</v>
      </c>
      <c r="O46" s="12">
        <f>+O48+O51</f>
        <v>520000</v>
      </c>
      <c r="P46" s="12">
        <f>+P48</f>
        <v>120000</v>
      </c>
      <c r="Q46" s="12">
        <f>+Q48+Q51</f>
        <v>640000</v>
      </c>
      <c r="R46" s="12">
        <f>+R48+R51</f>
        <v>440000</v>
      </c>
      <c r="S46" s="12">
        <f>+S48</f>
        <v>100000</v>
      </c>
      <c r="T46" s="12">
        <f>+T48+T51</f>
        <v>540000</v>
      </c>
      <c r="U46" s="12">
        <f>+U48+U51</f>
        <v>600000</v>
      </c>
      <c r="V46" s="12">
        <f>+V48</f>
        <v>100000</v>
      </c>
      <c r="W46" s="12">
        <f>+W48+W51</f>
        <v>700000</v>
      </c>
      <c r="X46" s="14"/>
      <c r="Y46" s="12">
        <f t="shared" si="5"/>
        <v>2230000</v>
      </c>
      <c r="Z46" s="12">
        <f t="shared" si="6"/>
        <v>520000</v>
      </c>
      <c r="AA46" s="13">
        <f t="shared" si="7"/>
        <v>2750000</v>
      </c>
      <c r="AB46" s="14"/>
      <c r="AC46" s="12">
        <f t="shared" si="3"/>
        <v>0</v>
      </c>
      <c r="AD46" s="12">
        <f t="shared" si="44"/>
        <v>0</v>
      </c>
      <c r="AE46" s="13">
        <f t="shared" si="44"/>
        <v>0</v>
      </c>
      <c r="AF46" s="14"/>
      <c r="AG46" s="14"/>
      <c r="AH46" s="14"/>
      <c r="AI46" s="14"/>
    </row>
    <row r="47" spans="2:39" x14ac:dyDescent="0.25">
      <c r="B47" s="24" t="s">
        <v>59</v>
      </c>
      <c r="C47" s="24"/>
      <c r="D47" s="24"/>
      <c r="E47" s="24"/>
      <c r="F47" s="20">
        <f>+F48</f>
        <v>1880000</v>
      </c>
      <c r="G47" s="20">
        <f t="shared" ref="G47:W47" si="46">+G48</f>
        <v>520000</v>
      </c>
      <c r="H47" s="20">
        <f t="shared" si="46"/>
        <v>2400000</v>
      </c>
      <c r="I47" s="20">
        <f t="shared" si="46"/>
        <v>180000</v>
      </c>
      <c r="J47" s="20">
        <f t="shared" si="46"/>
        <v>100000</v>
      </c>
      <c r="K47" s="20">
        <f t="shared" si="46"/>
        <v>280000</v>
      </c>
      <c r="L47" s="20">
        <f t="shared" si="46"/>
        <v>440000</v>
      </c>
      <c r="M47" s="20">
        <f t="shared" si="46"/>
        <v>100000</v>
      </c>
      <c r="N47" s="20">
        <f t="shared" si="46"/>
        <v>540000</v>
      </c>
      <c r="O47" s="20">
        <f t="shared" si="46"/>
        <v>490000</v>
      </c>
      <c r="P47" s="20">
        <f t="shared" si="46"/>
        <v>120000</v>
      </c>
      <c r="Q47" s="20">
        <f t="shared" si="46"/>
        <v>610000</v>
      </c>
      <c r="R47" s="20">
        <f t="shared" si="46"/>
        <v>440000</v>
      </c>
      <c r="S47" s="20">
        <f t="shared" si="46"/>
        <v>100000</v>
      </c>
      <c r="T47" s="20">
        <f t="shared" si="46"/>
        <v>540000</v>
      </c>
      <c r="U47" s="20">
        <f t="shared" si="46"/>
        <v>330000</v>
      </c>
      <c r="V47" s="20">
        <f t="shared" si="46"/>
        <v>100000</v>
      </c>
      <c r="W47" s="20">
        <f t="shared" si="46"/>
        <v>430000</v>
      </c>
      <c r="X47" s="9"/>
      <c r="Y47" s="12">
        <f t="shared" si="5"/>
        <v>1880000</v>
      </c>
      <c r="Z47" s="12">
        <f t="shared" si="6"/>
        <v>520000</v>
      </c>
      <c r="AA47" s="13">
        <f t="shared" si="7"/>
        <v>2400000</v>
      </c>
      <c r="AB47" s="14"/>
      <c r="AC47" s="12">
        <f t="shared" si="3"/>
        <v>0</v>
      </c>
      <c r="AD47" s="12"/>
      <c r="AE47" s="13"/>
      <c r="AF47" s="9"/>
      <c r="AG47" s="9"/>
      <c r="AH47" s="9"/>
      <c r="AI47" s="9"/>
    </row>
    <row r="48" spans="2:39" s="6" customFormat="1" x14ac:dyDescent="0.25">
      <c r="B48" s="25" t="s">
        <v>60</v>
      </c>
      <c r="C48" s="25"/>
      <c r="D48" s="25"/>
      <c r="E48" s="25"/>
      <c r="F48" s="17">
        <f t="shared" ref="F48:G51" si="47">I48+L48+O48+R48+U48</f>
        <v>1880000</v>
      </c>
      <c r="G48" s="17">
        <f t="shared" si="47"/>
        <v>520000</v>
      </c>
      <c r="H48" s="17">
        <f>+G48+F48</f>
        <v>2400000</v>
      </c>
      <c r="I48" s="17">
        <f>+I49+I50</f>
        <v>180000</v>
      </c>
      <c r="J48" s="17">
        <f>+J49+J50</f>
        <v>100000</v>
      </c>
      <c r="K48" s="17">
        <f>+J48+I48</f>
        <v>280000</v>
      </c>
      <c r="L48" s="17">
        <f>+L49+L50</f>
        <v>440000</v>
      </c>
      <c r="M48" s="17">
        <f>+M49+M50</f>
        <v>100000</v>
      </c>
      <c r="N48" s="17">
        <f>+M48+L48</f>
        <v>540000</v>
      </c>
      <c r="O48" s="17">
        <f>+O49+O50</f>
        <v>490000</v>
      </c>
      <c r="P48" s="17">
        <f>+P49+P50</f>
        <v>120000</v>
      </c>
      <c r="Q48" s="17">
        <f>+P48+O48</f>
        <v>610000</v>
      </c>
      <c r="R48" s="17">
        <f>+R49+R50</f>
        <v>440000</v>
      </c>
      <c r="S48" s="17">
        <f>+S49+S50</f>
        <v>100000</v>
      </c>
      <c r="T48" s="17">
        <f>+S48+R48</f>
        <v>540000</v>
      </c>
      <c r="U48" s="17">
        <f>+U49+U50</f>
        <v>330000</v>
      </c>
      <c r="V48" s="17">
        <f>+V49+V50</f>
        <v>100000</v>
      </c>
      <c r="W48" s="17">
        <f>+V48+U48</f>
        <v>430000</v>
      </c>
      <c r="Y48" s="17">
        <f t="shared" si="5"/>
        <v>1880000</v>
      </c>
      <c r="Z48" s="17">
        <f t="shared" si="6"/>
        <v>520000</v>
      </c>
      <c r="AA48" s="18">
        <f t="shared" si="7"/>
        <v>2400000</v>
      </c>
      <c r="AC48" s="17">
        <f t="shared" si="3"/>
        <v>0</v>
      </c>
      <c r="AD48" s="17">
        <f t="shared" ref="AD48:AE52" si="48">+G48-Z48</f>
        <v>0</v>
      </c>
      <c r="AE48" s="18">
        <f t="shared" si="48"/>
        <v>0</v>
      </c>
    </row>
    <row r="49" spans="2:35" s="6" customFormat="1" x14ac:dyDescent="0.25">
      <c r="B49" s="21" t="s">
        <v>61</v>
      </c>
      <c r="C49" s="22">
        <v>43101</v>
      </c>
      <c r="D49" s="22">
        <v>43282</v>
      </c>
      <c r="E49" s="22">
        <v>44743</v>
      </c>
      <c r="F49" s="17">
        <f t="shared" si="47"/>
        <v>1680000</v>
      </c>
      <c r="G49" s="17">
        <f t="shared" si="47"/>
        <v>520000</v>
      </c>
      <c r="H49" s="17">
        <f>+G49+F49</f>
        <v>2200000</v>
      </c>
      <c r="I49" s="17">
        <v>150000</v>
      </c>
      <c r="J49" s="17">
        <v>100000</v>
      </c>
      <c r="K49" s="17">
        <f>I49+J49</f>
        <v>250000</v>
      </c>
      <c r="L49" s="17">
        <v>400000</v>
      </c>
      <c r="M49" s="17">
        <v>100000</v>
      </c>
      <c r="N49" s="17">
        <f>L49+M49</f>
        <v>500000</v>
      </c>
      <c r="O49" s="17">
        <v>430000</v>
      </c>
      <c r="P49" s="17">
        <v>120000</v>
      </c>
      <c r="Q49" s="17">
        <f>O49+P49</f>
        <v>550000</v>
      </c>
      <c r="R49" s="17">
        <v>400000</v>
      </c>
      <c r="S49" s="17">
        <v>100000</v>
      </c>
      <c r="T49" s="17">
        <f>R49+S49</f>
        <v>500000</v>
      </c>
      <c r="U49" s="17">
        <v>300000</v>
      </c>
      <c r="V49" s="17">
        <v>100000</v>
      </c>
      <c r="W49" s="17">
        <f>U49+V49</f>
        <v>400000</v>
      </c>
      <c r="Y49" s="17">
        <f t="shared" si="5"/>
        <v>1680000</v>
      </c>
      <c r="Z49" s="17">
        <f t="shared" si="6"/>
        <v>520000</v>
      </c>
      <c r="AA49" s="18">
        <f t="shared" si="7"/>
        <v>2200000</v>
      </c>
      <c r="AC49" s="17">
        <f t="shared" si="3"/>
        <v>0</v>
      </c>
      <c r="AD49" s="17">
        <f t="shared" si="48"/>
        <v>0</v>
      </c>
      <c r="AE49" s="18">
        <f t="shared" si="48"/>
        <v>0</v>
      </c>
    </row>
    <row r="50" spans="2:35" s="6" customFormat="1" x14ac:dyDescent="0.25">
      <c r="B50" s="21" t="s">
        <v>62</v>
      </c>
      <c r="C50" s="22">
        <v>43132</v>
      </c>
      <c r="D50" s="22">
        <v>43191</v>
      </c>
      <c r="E50" s="22">
        <v>44682</v>
      </c>
      <c r="F50" s="17">
        <f t="shared" si="47"/>
        <v>200000</v>
      </c>
      <c r="G50" s="17">
        <f t="shared" si="47"/>
        <v>0</v>
      </c>
      <c r="H50" s="17">
        <f>+G50+F50</f>
        <v>200000</v>
      </c>
      <c r="I50" s="17">
        <v>30000</v>
      </c>
      <c r="J50" s="17">
        <v>0</v>
      </c>
      <c r="K50" s="17">
        <f>I50+J50</f>
        <v>30000</v>
      </c>
      <c r="L50" s="17">
        <v>40000</v>
      </c>
      <c r="M50" s="17">
        <v>0</v>
      </c>
      <c r="N50" s="17">
        <f>L50+M50</f>
        <v>40000</v>
      </c>
      <c r="O50" s="17">
        <v>60000</v>
      </c>
      <c r="P50" s="17">
        <v>0</v>
      </c>
      <c r="Q50" s="17">
        <f>O50+P50</f>
        <v>60000</v>
      </c>
      <c r="R50" s="17">
        <v>40000</v>
      </c>
      <c r="S50" s="17">
        <v>0</v>
      </c>
      <c r="T50" s="17">
        <f>R50+S50</f>
        <v>40000</v>
      </c>
      <c r="U50" s="17">
        <v>30000</v>
      </c>
      <c r="V50" s="17">
        <v>0</v>
      </c>
      <c r="W50" s="17">
        <f>U50+V50</f>
        <v>30000</v>
      </c>
      <c r="Y50" s="17">
        <f t="shared" si="5"/>
        <v>200000</v>
      </c>
      <c r="Z50" s="17">
        <f t="shared" si="6"/>
        <v>0</v>
      </c>
      <c r="AA50" s="18">
        <f t="shared" si="7"/>
        <v>200000</v>
      </c>
      <c r="AC50" s="17">
        <f t="shared" si="3"/>
        <v>0</v>
      </c>
      <c r="AD50" s="17">
        <f t="shared" si="48"/>
        <v>0</v>
      </c>
      <c r="AE50" s="18">
        <f t="shared" si="48"/>
        <v>0</v>
      </c>
    </row>
    <row r="51" spans="2:35" s="6" customFormat="1" x14ac:dyDescent="0.25">
      <c r="B51" s="25" t="s">
        <v>63</v>
      </c>
      <c r="C51" s="22">
        <v>43101</v>
      </c>
      <c r="D51" s="22">
        <v>43252</v>
      </c>
      <c r="E51" s="22">
        <v>44866</v>
      </c>
      <c r="F51" s="17">
        <f t="shared" si="47"/>
        <v>350000</v>
      </c>
      <c r="G51" s="17">
        <f t="shared" si="47"/>
        <v>0</v>
      </c>
      <c r="H51" s="17">
        <f>+G51+F51</f>
        <v>350000</v>
      </c>
      <c r="I51" s="17">
        <v>50000</v>
      </c>
      <c r="J51" s="17">
        <v>0</v>
      </c>
      <c r="K51" s="17">
        <f>I51+J51</f>
        <v>50000</v>
      </c>
      <c r="L51" s="17">
        <v>0</v>
      </c>
      <c r="M51" s="17">
        <v>0</v>
      </c>
      <c r="N51" s="17">
        <f>L51+M51</f>
        <v>0</v>
      </c>
      <c r="O51" s="17">
        <v>30000</v>
      </c>
      <c r="P51" s="17">
        <v>0</v>
      </c>
      <c r="Q51" s="17">
        <f>O51+P51</f>
        <v>30000</v>
      </c>
      <c r="R51" s="17">
        <v>0</v>
      </c>
      <c r="S51" s="17">
        <v>0</v>
      </c>
      <c r="T51" s="17">
        <f>R51+S51</f>
        <v>0</v>
      </c>
      <c r="U51" s="17">
        <v>270000</v>
      </c>
      <c r="V51" s="17">
        <v>0</v>
      </c>
      <c r="W51" s="17">
        <f>U51+V51</f>
        <v>270000</v>
      </c>
      <c r="Y51" s="17">
        <f t="shared" si="5"/>
        <v>350000</v>
      </c>
      <c r="Z51" s="17">
        <f t="shared" si="6"/>
        <v>0</v>
      </c>
      <c r="AA51" s="18">
        <f t="shared" si="7"/>
        <v>350000</v>
      </c>
      <c r="AC51" s="17">
        <f t="shared" si="3"/>
        <v>0</v>
      </c>
      <c r="AD51" s="17">
        <f t="shared" si="48"/>
        <v>0</v>
      </c>
      <c r="AE51" s="18">
        <f t="shared" si="48"/>
        <v>0</v>
      </c>
    </row>
    <row r="52" spans="2:35" s="6" customFormat="1" x14ac:dyDescent="0.25">
      <c r="B52" s="11" t="s">
        <v>64</v>
      </c>
      <c r="C52" s="11"/>
      <c r="D52" s="11"/>
      <c r="E52" s="11"/>
      <c r="F52" s="12">
        <f>+F54</f>
        <v>249999.9999</v>
      </c>
      <c r="G52" s="12">
        <f t="shared" ref="G52:W52" si="49">+G54</f>
        <v>0</v>
      </c>
      <c r="H52" s="12">
        <f t="shared" si="49"/>
        <v>249999.9999</v>
      </c>
      <c r="I52" s="12">
        <f t="shared" si="49"/>
        <v>37499.999985000002</v>
      </c>
      <c r="J52" s="12">
        <f t="shared" si="49"/>
        <v>0</v>
      </c>
      <c r="K52" s="12">
        <f t="shared" si="49"/>
        <v>37499.999985000002</v>
      </c>
      <c r="L52" s="12">
        <f t="shared" si="49"/>
        <v>49999.999980000001</v>
      </c>
      <c r="M52" s="12">
        <f t="shared" si="49"/>
        <v>0</v>
      </c>
      <c r="N52" s="12">
        <f t="shared" si="49"/>
        <v>49999.999980000001</v>
      </c>
      <c r="O52" s="12">
        <f t="shared" si="49"/>
        <v>74999.999970000004</v>
      </c>
      <c r="P52" s="12">
        <f t="shared" si="49"/>
        <v>0</v>
      </c>
      <c r="Q52" s="12">
        <f t="shared" si="49"/>
        <v>74999.999970000004</v>
      </c>
      <c r="R52" s="12">
        <f t="shared" si="49"/>
        <v>49999.999980000001</v>
      </c>
      <c r="S52" s="12">
        <f t="shared" si="49"/>
        <v>0</v>
      </c>
      <c r="T52" s="12">
        <f t="shared" si="49"/>
        <v>49999.999980000001</v>
      </c>
      <c r="U52" s="12">
        <f t="shared" si="49"/>
        <v>37499.999985000002</v>
      </c>
      <c r="V52" s="12">
        <f t="shared" si="49"/>
        <v>0</v>
      </c>
      <c r="W52" s="12">
        <f t="shared" si="49"/>
        <v>37499.999985000002</v>
      </c>
      <c r="X52" s="14"/>
      <c r="Y52" s="12">
        <f t="shared" si="5"/>
        <v>249999.9999</v>
      </c>
      <c r="Z52" s="12">
        <f t="shared" si="6"/>
        <v>0</v>
      </c>
      <c r="AA52" s="13">
        <f t="shared" si="7"/>
        <v>249999.9999</v>
      </c>
      <c r="AB52" s="14"/>
      <c r="AC52" s="12">
        <f t="shared" si="3"/>
        <v>0</v>
      </c>
      <c r="AD52" s="12">
        <f t="shared" si="48"/>
        <v>0</v>
      </c>
      <c r="AE52" s="13">
        <f t="shared" si="48"/>
        <v>0</v>
      </c>
      <c r="AF52" s="14"/>
      <c r="AG52" s="14"/>
      <c r="AH52" s="14"/>
      <c r="AI52" s="14"/>
    </row>
    <row r="53" spans="2:35" x14ac:dyDescent="0.25">
      <c r="B53" s="24" t="s">
        <v>65</v>
      </c>
      <c r="C53" s="24"/>
      <c r="D53" s="24"/>
      <c r="E53" s="24"/>
      <c r="F53" s="20">
        <f>+F54</f>
        <v>249999.9999</v>
      </c>
      <c r="G53" s="20">
        <f t="shared" ref="G53:W53" si="50">+G54</f>
        <v>0</v>
      </c>
      <c r="H53" s="20">
        <f t="shared" si="50"/>
        <v>249999.9999</v>
      </c>
      <c r="I53" s="20">
        <f t="shared" si="50"/>
        <v>37499.999985000002</v>
      </c>
      <c r="J53" s="20">
        <f t="shared" si="50"/>
        <v>0</v>
      </c>
      <c r="K53" s="20">
        <f t="shared" si="50"/>
        <v>37499.999985000002</v>
      </c>
      <c r="L53" s="20">
        <f t="shared" si="50"/>
        <v>49999.999980000001</v>
      </c>
      <c r="M53" s="20">
        <f t="shared" si="50"/>
        <v>0</v>
      </c>
      <c r="N53" s="20">
        <f t="shared" si="50"/>
        <v>49999.999980000001</v>
      </c>
      <c r="O53" s="20">
        <f t="shared" si="50"/>
        <v>74999.999970000004</v>
      </c>
      <c r="P53" s="20">
        <f t="shared" si="50"/>
        <v>0</v>
      </c>
      <c r="Q53" s="20">
        <f t="shared" si="50"/>
        <v>74999.999970000004</v>
      </c>
      <c r="R53" s="20">
        <f t="shared" si="50"/>
        <v>49999.999980000001</v>
      </c>
      <c r="S53" s="20">
        <f t="shared" si="50"/>
        <v>0</v>
      </c>
      <c r="T53" s="20">
        <f t="shared" si="50"/>
        <v>49999.999980000001</v>
      </c>
      <c r="U53" s="20">
        <f t="shared" si="50"/>
        <v>37499.999985000002</v>
      </c>
      <c r="V53" s="20">
        <f t="shared" si="50"/>
        <v>0</v>
      </c>
      <c r="W53" s="20">
        <f t="shared" si="50"/>
        <v>37499.999985000002</v>
      </c>
      <c r="X53" s="9"/>
      <c r="Y53" s="12">
        <f t="shared" si="5"/>
        <v>249999.9999</v>
      </c>
      <c r="Z53" s="12">
        <f t="shared" si="6"/>
        <v>0</v>
      </c>
      <c r="AA53" s="13">
        <f t="shared" si="7"/>
        <v>249999.9999</v>
      </c>
      <c r="AB53" s="14"/>
      <c r="AC53" s="12">
        <f t="shared" si="3"/>
        <v>0</v>
      </c>
      <c r="AD53" s="12"/>
      <c r="AE53" s="13"/>
      <c r="AF53" s="9"/>
      <c r="AG53" s="9"/>
      <c r="AH53" s="9"/>
      <c r="AI53" s="9"/>
    </row>
    <row r="54" spans="2:35" s="14" customFormat="1" x14ac:dyDescent="0.25">
      <c r="B54" s="36" t="s">
        <v>66</v>
      </c>
      <c r="C54" s="22">
        <v>43101</v>
      </c>
      <c r="D54" s="22">
        <v>43252</v>
      </c>
      <c r="E54" s="22">
        <v>44713</v>
      </c>
      <c r="F54" s="17">
        <f>I54+L54+O54+R54+U54</f>
        <v>249999.9999</v>
      </c>
      <c r="G54" s="17">
        <f>J54+M54+P54+S54+V54</f>
        <v>0</v>
      </c>
      <c r="H54" s="12">
        <f>+G54+F54</f>
        <v>249999.9999</v>
      </c>
      <c r="I54" s="12">
        <f>0.833333333*45000</f>
        <v>37499.999985000002</v>
      </c>
      <c r="J54" s="12">
        <v>0</v>
      </c>
      <c r="K54" s="12">
        <f>J54+I54</f>
        <v>37499.999985000002</v>
      </c>
      <c r="L54" s="12">
        <f>0.833333333*60000</f>
        <v>49999.999980000001</v>
      </c>
      <c r="M54" s="12">
        <v>0</v>
      </c>
      <c r="N54" s="12">
        <f>M54+L54</f>
        <v>49999.999980000001</v>
      </c>
      <c r="O54" s="12">
        <f>0.833333333*90000</f>
        <v>74999.999970000004</v>
      </c>
      <c r="P54" s="12">
        <v>0</v>
      </c>
      <c r="Q54" s="12">
        <f>P54+O54</f>
        <v>74999.999970000004</v>
      </c>
      <c r="R54" s="12">
        <f>0.833333333*60000</f>
        <v>49999.999980000001</v>
      </c>
      <c r="S54" s="12">
        <v>0</v>
      </c>
      <c r="T54" s="12">
        <f>S54+R54</f>
        <v>49999.999980000001</v>
      </c>
      <c r="U54" s="12">
        <f>0.833333333*45000</f>
        <v>37499.999985000002</v>
      </c>
      <c r="V54" s="12">
        <v>0</v>
      </c>
      <c r="W54" s="12">
        <f>V54+U54</f>
        <v>37499.999985000002</v>
      </c>
      <c r="Y54" s="12">
        <f t="shared" si="5"/>
        <v>249999.9999</v>
      </c>
      <c r="Z54" s="12">
        <f t="shared" si="6"/>
        <v>0</v>
      </c>
      <c r="AA54" s="13">
        <f t="shared" si="7"/>
        <v>249999.9999</v>
      </c>
      <c r="AC54" s="12">
        <f t="shared" si="3"/>
        <v>0</v>
      </c>
      <c r="AD54" s="12"/>
      <c r="AE54" s="13"/>
    </row>
    <row r="55" spans="2:35" s="42" customFormat="1" ht="18.600000000000001" thickBot="1" x14ac:dyDescent="0.4">
      <c r="B55" s="37" t="s">
        <v>67</v>
      </c>
      <c r="C55" s="37"/>
      <c r="D55" s="37"/>
      <c r="E55" s="37"/>
      <c r="F55" s="38">
        <f t="shared" ref="F55:W55" si="51">+F42+F28+F12+F5+F45</f>
        <v>31784500.108024999</v>
      </c>
      <c r="G55" s="38">
        <f t="shared" si="51"/>
        <v>31784499.865625001</v>
      </c>
      <c r="H55" s="38">
        <f t="shared" si="51"/>
        <v>63568999.973650001</v>
      </c>
      <c r="I55" s="38">
        <f t="shared" si="51"/>
        <v>6020425.5199849997</v>
      </c>
      <c r="J55" s="38">
        <f t="shared" si="51"/>
        <v>2856546.5</v>
      </c>
      <c r="K55" s="38">
        <f t="shared" si="51"/>
        <v>8876972.0199849997</v>
      </c>
      <c r="L55" s="38">
        <f t="shared" si="51"/>
        <v>8713229.1899800003</v>
      </c>
      <c r="M55" s="38">
        <f t="shared" si="51"/>
        <v>7014646</v>
      </c>
      <c r="N55" s="38">
        <f t="shared" si="51"/>
        <v>15727875.189980002</v>
      </c>
      <c r="O55" s="38">
        <f t="shared" si="51"/>
        <v>5538327.9099700004</v>
      </c>
      <c r="P55" s="38">
        <f t="shared" si="51"/>
        <v>7727323</v>
      </c>
      <c r="Q55" s="38">
        <f t="shared" si="51"/>
        <v>13265650.90997</v>
      </c>
      <c r="R55" s="38">
        <f t="shared" si="51"/>
        <v>6666880.5099799996</v>
      </c>
      <c r="S55" s="38">
        <f t="shared" si="51"/>
        <v>7167992.25</v>
      </c>
      <c r="T55" s="38">
        <f t="shared" si="51"/>
        <v>13834872.759980001</v>
      </c>
      <c r="U55" s="38">
        <f t="shared" si="51"/>
        <v>4845636.7499850001</v>
      </c>
      <c r="V55" s="38">
        <f t="shared" si="51"/>
        <v>7017992.25</v>
      </c>
      <c r="W55" s="38">
        <f t="shared" si="51"/>
        <v>11863628.999985</v>
      </c>
      <c r="X55" s="39"/>
      <c r="Y55" s="40">
        <f t="shared" si="5"/>
        <v>31784499.879900001</v>
      </c>
      <c r="Z55" s="40">
        <f>+J55+M55+P55+S55+V55</f>
        <v>31784500</v>
      </c>
      <c r="AA55" s="41">
        <f t="shared" si="7"/>
        <v>63568999.879900008</v>
      </c>
      <c r="AB55" s="39"/>
      <c r="AC55" s="40">
        <f t="shared" si="3"/>
        <v>0.22812499850988388</v>
      </c>
      <c r="AD55" s="40">
        <f>+G55-Z55</f>
        <v>-0.13437499850988388</v>
      </c>
      <c r="AE55" s="41">
        <f>+H55-AA55</f>
        <v>9.3749992549419403E-2</v>
      </c>
      <c r="AF55" s="39"/>
      <c r="AG55" s="39"/>
      <c r="AH55" s="39"/>
      <c r="AI55" s="39"/>
    </row>
    <row r="58" spans="2:35" x14ac:dyDescent="0.25">
      <c r="G58" s="43"/>
    </row>
    <row r="59" spans="2:35" x14ac:dyDescent="0.25">
      <c r="F59" s="43"/>
      <c r="G59" s="43"/>
    </row>
    <row r="61" spans="2:35" x14ac:dyDescent="0.25">
      <c r="J61" s="70"/>
      <c r="K61" s="70"/>
    </row>
    <row r="62" spans="2:35" x14ac:dyDescent="0.25">
      <c r="J62" s="70"/>
      <c r="K62" s="70"/>
    </row>
    <row r="63" spans="2:35" x14ac:dyDescent="0.25">
      <c r="J63" s="70"/>
      <c r="K63" s="70"/>
    </row>
    <row r="64" spans="2:35" x14ac:dyDescent="0.25">
      <c r="J64" s="70"/>
      <c r="K64" s="70"/>
    </row>
    <row r="66" spans="4:10" x14ac:dyDescent="0.25">
      <c r="D66" s="71"/>
      <c r="E66" s="72" t="s">
        <v>3</v>
      </c>
      <c r="F66" s="72" t="s">
        <v>4</v>
      </c>
      <c r="G66" s="72" t="s">
        <v>5</v>
      </c>
      <c r="H66" s="72" t="s">
        <v>6</v>
      </c>
      <c r="I66" s="72" t="s">
        <v>7</v>
      </c>
      <c r="J66" s="72" t="s">
        <v>8</v>
      </c>
    </row>
    <row r="67" spans="4:10" x14ac:dyDescent="0.25">
      <c r="D67" s="74" t="s">
        <v>13</v>
      </c>
      <c r="E67" s="73">
        <f>+I55</f>
        <v>6020425.5199849997</v>
      </c>
      <c r="F67" s="73">
        <f>+L55</f>
        <v>8713229.1899800003</v>
      </c>
      <c r="G67" s="73">
        <f>+O55</f>
        <v>5538327.9099700004</v>
      </c>
      <c r="H67" s="73">
        <f>+R55</f>
        <v>6666880.5099799996</v>
      </c>
      <c r="I67" s="73">
        <f>+U55</f>
        <v>4845636.7499850001</v>
      </c>
      <c r="J67" s="73">
        <f>SUM(E67:I67)</f>
        <v>31784499.879900001</v>
      </c>
    </row>
    <row r="68" spans="4:10" x14ac:dyDescent="0.25">
      <c r="D68" s="74" t="s">
        <v>68</v>
      </c>
      <c r="E68" s="73">
        <f>+J55</f>
        <v>2856546.5</v>
      </c>
      <c r="F68" s="73">
        <f>+M55</f>
        <v>7014646</v>
      </c>
      <c r="G68" s="73">
        <f>+P55</f>
        <v>7727323</v>
      </c>
      <c r="H68" s="73">
        <f>+S55</f>
        <v>7167992.25</v>
      </c>
      <c r="I68" s="73">
        <f>+V55</f>
        <v>7017992.25</v>
      </c>
      <c r="J68" s="73">
        <f t="shared" ref="J68" si="52">SUM(E68:I68)</f>
        <v>31784500</v>
      </c>
    </row>
    <row r="69" spans="4:10" x14ac:dyDescent="0.25">
      <c r="D69" s="74" t="s">
        <v>69</v>
      </c>
      <c r="E69" s="73">
        <f>+E68+E67</f>
        <v>8876972.0199849997</v>
      </c>
      <c r="F69" s="73">
        <f t="shared" ref="F69:J69" si="53">+F68+F67</f>
        <v>15727875.18998</v>
      </c>
      <c r="G69" s="73">
        <f t="shared" si="53"/>
        <v>13265650.90997</v>
      </c>
      <c r="H69" s="73">
        <f t="shared" si="53"/>
        <v>13834872.759980001</v>
      </c>
      <c r="I69" s="73">
        <f t="shared" si="53"/>
        <v>11863628.999985</v>
      </c>
      <c r="J69" s="73">
        <f t="shared" si="53"/>
        <v>63568999.879900001</v>
      </c>
    </row>
    <row r="70" spans="4:10" x14ac:dyDescent="0.25">
      <c r="D70" s="74" t="s">
        <v>70</v>
      </c>
      <c r="E70" s="75">
        <f>+E69/J69</f>
        <v>0.13964309705605146</v>
      </c>
      <c r="F70" s="75">
        <f>+F69/J69</f>
        <v>0.24741423051635938</v>
      </c>
      <c r="G70" s="75">
        <f>+G69/J69</f>
        <v>0.20868113286401554</v>
      </c>
      <c r="H70" s="75">
        <f>+H69/J69</f>
        <v>0.21763552653208368</v>
      </c>
      <c r="I70" s="75">
        <f>+I69/J69</f>
        <v>0.18662601303148993</v>
      </c>
      <c r="J70" s="75">
        <f>+I70+H70+G70+F70+E70</f>
        <v>1</v>
      </c>
    </row>
  </sheetData>
  <mergeCells count="23">
    <mergeCell ref="R2:T2"/>
    <mergeCell ref="U2:W2"/>
    <mergeCell ref="Y2:AA2"/>
    <mergeCell ref="AC2:AE2"/>
    <mergeCell ref="C3:C4"/>
    <mergeCell ref="D3:D4"/>
    <mergeCell ref="E3:E4"/>
    <mergeCell ref="F3:F4"/>
    <mergeCell ref="G3:G4"/>
    <mergeCell ref="H3:H4"/>
    <mergeCell ref="O2:Q2"/>
    <mergeCell ref="O3:Q3"/>
    <mergeCell ref="R3:T3"/>
    <mergeCell ref="U3:W3"/>
    <mergeCell ref="Y3:AA3"/>
    <mergeCell ref="AC3:AE3"/>
    <mergeCell ref="B2:B4"/>
    <mergeCell ref="C2:E2"/>
    <mergeCell ref="F2:H2"/>
    <mergeCell ref="I2:K2"/>
    <mergeCell ref="L2:N2"/>
    <mergeCell ref="I3:K3"/>
    <mergeCell ref="L3:N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AJ72"/>
  <sheetViews>
    <sheetView showGridLines="0" zoomScale="70" zoomScaleNormal="70" workbookViewId="0">
      <pane xSplit="2" ySplit="4" topLeftCell="C32" activePane="bottomRight" state="frozen"/>
      <selection pane="topRight" activeCell="C1" sqref="C1"/>
      <selection pane="bottomLeft" activeCell="A5" sqref="A5"/>
      <selection pane="bottomRight" activeCell="T40" sqref="T40"/>
    </sheetView>
  </sheetViews>
  <sheetFormatPr defaultColWidth="9.109375" defaultRowHeight="13.8" x14ac:dyDescent="0.25"/>
  <cols>
    <col min="1" max="1" width="0.5546875" style="5" customWidth="1"/>
    <col min="2" max="2" width="64.44140625" style="5" customWidth="1"/>
    <col min="3" max="28" width="17.5546875" style="5" customWidth="1"/>
    <col min="29" max="16384" width="9.109375" style="5"/>
  </cols>
  <sheetData>
    <row r="1" spans="2:32" ht="21.75" customHeight="1" x14ac:dyDescent="0.25">
      <c r="B1" s="1"/>
      <c r="C1" s="2"/>
      <c r="D1" s="3"/>
      <c r="E1" s="4"/>
      <c r="J1" s="5">
        <v>19</v>
      </c>
      <c r="M1" s="5">
        <v>2020</v>
      </c>
      <c r="P1" s="5">
        <v>2021</v>
      </c>
      <c r="S1" s="5">
        <v>2022</v>
      </c>
    </row>
    <row r="2" spans="2:32" ht="13.95" customHeight="1" x14ac:dyDescent="0.25">
      <c r="B2" s="95" t="s">
        <v>0</v>
      </c>
      <c r="C2" s="98" t="s">
        <v>2</v>
      </c>
      <c r="D2" s="99"/>
      <c r="E2" s="100"/>
      <c r="F2" s="98" t="s">
        <v>3</v>
      </c>
      <c r="G2" s="99"/>
      <c r="H2" s="100"/>
      <c r="I2" s="98" t="s">
        <v>4</v>
      </c>
      <c r="J2" s="99"/>
      <c r="K2" s="100"/>
      <c r="L2" s="98" t="s">
        <v>5</v>
      </c>
      <c r="M2" s="99"/>
      <c r="N2" s="100"/>
      <c r="O2" s="98" t="s">
        <v>6</v>
      </c>
      <c r="P2" s="99"/>
      <c r="Q2" s="100"/>
      <c r="R2" s="98" t="s">
        <v>7</v>
      </c>
      <c r="S2" s="99"/>
      <c r="T2" s="100"/>
      <c r="V2" s="101" t="s">
        <v>8</v>
      </c>
      <c r="W2" s="102"/>
      <c r="X2" s="103"/>
      <c r="Z2" s="101" t="s">
        <v>9</v>
      </c>
      <c r="AA2" s="102"/>
      <c r="AB2" s="103"/>
    </row>
    <row r="3" spans="2:32" ht="13.95" customHeight="1" x14ac:dyDescent="0.25">
      <c r="B3" s="96"/>
      <c r="C3" s="104" t="s">
        <v>13</v>
      </c>
      <c r="D3" s="104" t="s">
        <v>14</v>
      </c>
      <c r="E3" s="104" t="s">
        <v>8</v>
      </c>
      <c r="F3" s="98" t="s">
        <v>15</v>
      </c>
      <c r="G3" s="99"/>
      <c r="H3" s="100"/>
      <c r="I3" s="98" t="s">
        <v>15</v>
      </c>
      <c r="J3" s="99"/>
      <c r="K3" s="100"/>
      <c r="L3" s="98" t="s">
        <v>15</v>
      </c>
      <c r="M3" s="99"/>
      <c r="N3" s="100"/>
      <c r="O3" s="98" t="s">
        <v>15</v>
      </c>
      <c r="P3" s="99"/>
      <c r="Q3" s="100"/>
      <c r="R3" s="98" t="s">
        <v>15</v>
      </c>
      <c r="S3" s="99"/>
      <c r="T3" s="100"/>
      <c r="V3" s="98" t="s">
        <v>15</v>
      </c>
      <c r="W3" s="99"/>
      <c r="X3" s="106"/>
      <c r="Y3" s="6"/>
      <c r="Z3" s="98" t="s">
        <v>15</v>
      </c>
      <c r="AA3" s="99"/>
      <c r="AB3" s="106"/>
    </row>
    <row r="4" spans="2:32" ht="27.75" customHeight="1" x14ac:dyDescent="0.25">
      <c r="B4" s="97"/>
      <c r="C4" s="105"/>
      <c r="D4" s="105"/>
      <c r="E4" s="105"/>
      <c r="F4" s="76" t="s">
        <v>13</v>
      </c>
      <c r="G4" s="76" t="s">
        <v>14</v>
      </c>
      <c r="H4" s="76" t="s">
        <v>16</v>
      </c>
      <c r="I4" s="76" t="s">
        <v>13</v>
      </c>
      <c r="J4" s="76" t="s">
        <v>14</v>
      </c>
      <c r="K4" s="76" t="s">
        <v>16</v>
      </c>
      <c r="L4" s="76" t="s">
        <v>13</v>
      </c>
      <c r="M4" s="76" t="s">
        <v>14</v>
      </c>
      <c r="N4" s="76" t="s">
        <v>16</v>
      </c>
      <c r="O4" s="76" t="s">
        <v>13</v>
      </c>
      <c r="P4" s="76" t="s">
        <v>14</v>
      </c>
      <c r="Q4" s="76" t="s">
        <v>16</v>
      </c>
      <c r="R4" s="76" t="s">
        <v>13</v>
      </c>
      <c r="S4" s="76" t="s">
        <v>14</v>
      </c>
      <c r="T4" s="76" t="s">
        <v>16</v>
      </c>
      <c r="V4" s="76" t="s">
        <v>13</v>
      </c>
      <c r="W4" s="76" t="s">
        <v>14</v>
      </c>
      <c r="X4" s="77" t="s">
        <v>16</v>
      </c>
      <c r="Y4" s="6"/>
      <c r="Z4" s="76" t="s">
        <v>13</v>
      </c>
      <c r="AA4" s="76" t="s">
        <v>14</v>
      </c>
      <c r="AB4" s="77" t="s">
        <v>16</v>
      </c>
    </row>
    <row r="5" spans="2:32" x14ac:dyDescent="0.25">
      <c r="B5" s="7" t="s">
        <v>17</v>
      </c>
      <c r="C5" s="8">
        <v>2500000</v>
      </c>
      <c r="D5" s="8">
        <v>0</v>
      </c>
      <c r="E5" s="8">
        <v>2500000</v>
      </c>
      <c r="F5" s="8">
        <v>1050000</v>
      </c>
      <c r="G5" s="8">
        <v>0</v>
      </c>
      <c r="H5" s="8">
        <v>1050000</v>
      </c>
      <c r="I5" s="8">
        <v>1450000</v>
      </c>
      <c r="J5" s="8">
        <v>0</v>
      </c>
      <c r="K5" s="8">
        <v>1450000</v>
      </c>
      <c r="L5" s="8">
        <v>0</v>
      </c>
      <c r="M5" s="8">
        <v>0</v>
      </c>
      <c r="N5" s="8">
        <v>0</v>
      </c>
      <c r="O5" s="8">
        <v>0</v>
      </c>
      <c r="P5" s="8">
        <v>0</v>
      </c>
      <c r="Q5" s="8">
        <v>0</v>
      </c>
      <c r="R5" s="8">
        <v>0</v>
      </c>
      <c r="S5" s="8">
        <v>0</v>
      </c>
      <c r="T5" s="8">
        <v>0</v>
      </c>
      <c r="U5" s="9"/>
      <c r="V5" s="8">
        <v>2500000</v>
      </c>
      <c r="W5" s="8">
        <v>0</v>
      </c>
      <c r="X5" s="10">
        <v>2500000</v>
      </c>
      <c r="Y5" s="9"/>
      <c r="Z5" s="8">
        <v>0</v>
      </c>
      <c r="AA5" s="8">
        <v>0</v>
      </c>
      <c r="AB5" s="10">
        <v>0</v>
      </c>
      <c r="AC5" s="9"/>
      <c r="AD5" s="9"/>
      <c r="AE5" s="9"/>
      <c r="AF5" s="9"/>
    </row>
    <row r="6" spans="2:32" s="9" customFormat="1" x14ac:dyDescent="0.25">
      <c r="B6" s="11" t="s">
        <v>18</v>
      </c>
      <c r="C6" s="12">
        <v>2500000</v>
      </c>
      <c r="D6" s="12">
        <v>0</v>
      </c>
      <c r="E6" s="12">
        <v>2500000</v>
      </c>
      <c r="F6" s="12">
        <v>1050000</v>
      </c>
      <c r="G6" s="12">
        <v>0</v>
      </c>
      <c r="H6" s="12">
        <v>1050000</v>
      </c>
      <c r="I6" s="12">
        <v>1450000</v>
      </c>
      <c r="J6" s="12">
        <v>0</v>
      </c>
      <c r="K6" s="12">
        <v>1450000</v>
      </c>
      <c r="L6" s="12">
        <v>0</v>
      </c>
      <c r="M6" s="12">
        <v>0</v>
      </c>
      <c r="N6" s="12">
        <v>0</v>
      </c>
      <c r="O6" s="12">
        <v>0</v>
      </c>
      <c r="P6" s="12">
        <v>0</v>
      </c>
      <c r="Q6" s="12">
        <v>0</v>
      </c>
      <c r="R6" s="12">
        <v>0</v>
      </c>
      <c r="S6" s="12">
        <v>0</v>
      </c>
      <c r="T6" s="12">
        <v>0</v>
      </c>
      <c r="V6" s="12">
        <v>2500000</v>
      </c>
      <c r="W6" s="12">
        <v>0</v>
      </c>
      <c r="X6" s="13">
        <v>2500000</v>
      </c>
      <c r="Y6" s="14"/>
      <c r="Z6" s="12">
        <v>0</v>
      </c>
      <c r="AA6" s="12">
        <v>0</v>
      </c>
      <c r="AB6" s="13">
        <v>0</v>
      </c>
    </row>
    <row r="7" spans="2:32" ht="16.95" customHeight="1" x14ac:dyDescent="0.25">
      <c r="B7" s="15" t="s">
        <v>19</v>
      </c>
      <c r="C7" s="16">
        <v>2500000</v>
      </c>
      <c r="D7" s="16">
        <v>0</v>
      </c>
      <c r="E7" s="16">
        <v>2500000</v>
      </c>
      <c r="F7" s="16">
        <v>1050000</v>
      </c>
      <c r="G7" s="16">
        <v>0</v>
      </c>
      <c r="H7" s="16">
        <v>1050000</v>
      </c>
      <c r="I7" s="16">
        <v>1450000</v>
      </c>
      <c r="J7" s="16">
        <v>0</v>
      </c>
      <c r="K7" s="16">
        <v>1450000</v>
      </c>
      <c r="L7" s="16">
        <v>0</v>
      </c>
      <c r="M7" s="16">
        <v>0</v>
      </c>
      <c r="N7" s="16">
        <v>0</v>
      </c>
      <c r="O7" s="16">
        <v>0</v>
      </c>
      <c r="P7" s="16">
        <v>0</v>
      </c>
      <c r="Q7" s="16">
        <v>0</v>
      </c>
      <c r="R7" s="16">
        <v>0</v>
      </c>
      <c r="S7" s="16">
        <v>0</v>
      </c>
      <c r="T7" s="16">
        <v>0</v>
      </c>
      <c r="V7" s="17">
        <v>2500000</v>
      </c>
      <c r="W7" s="17">
        <v>0</v>
      </c>
      <c r="X7" s="18">
        <v>2500000</v>
      </c>
      <c r="Y7" s="6"/>
      <c r="Z7" s="17">
        <v>0</v>
      </c>
      <c r="AA7" s="17">
        <v>0</v>
      </c>
      <c r="AB7" s="18">
        <v>0</v>
      </c>
    </row>
    <row r="8" spans="2:32" s="6" customFormat="1" x14ac:dyDescent="0.25">
      <c r="B8" s="21" t="s">
        <v>21</v>
      </c>
      <c r="C8" s="17">
        <v>1750000</v>
      </c>
      <c r="D8" s="17">
        <v>0</v>
      </c>
      <c r="E8" s="17">
        <v>1750000</v>
      </c>
      <c r="F8" s="17">
        <v>750000</v>
      </c>
      <c r="G8" s="17">
        <v>0</v>
      </c>
      <c r="H8" s="17">
        <v>750000</v>
      </c>
      <c r="I8" s="17">
        <v>1000000</v>
      </c>
      <c r="J8" s="17">
        <v>0</v>
      </c>
      <c r="K8" s="17">
        <v>1000000</v>
      </c>
      <c r="L8" s="17">
        <v>0</v>
      </c>
      <c r="M8" s="17">
        <v>0</v>
      </c>
      <c r="N8" s="17">
        <v>0</v>
      </c>
      <c r="O8" s="17">
        <v>0</v>
      </c>
      <c r="P8" s="17">
        <v>0</v>
      </c>
      <c r="Q8" s="17">
        <v>0</v>
      </c>
      <c r="R8" s="17">
        <v>0</v>
      </c>
      <c r="S8" s="17">
        <v>0</v>
      </c>
      <c r="T8" s="17">
        <v>0</v>
      </c>
      <c r="V8" s="17">
        <v>1750000</v>
      </c>
      <c r="W8" s="17">
        <v>0</v>
      </c>
      <c r="X8" s="18">
        <v>1750000</v>
      </c>
      <c r="Z8" s="17">
        <v>0</v>
      </c>
      <c r="AA8" s="17">
        <v>0</v>
      </c>
      <c r="AB8" s="18">
        <v>0</v>
      </c>
    </row>
    <row r="9" spans="2:32" s="6" customFormat="1" x14ac:dyDescent="0.25">
      <c r="B9" s="21" t="s">
        <v>23</v>
      </c>
      <c r="C9" s="17">
        <v>750000</v>
      </c>
      <c r="D9" s="17">
        <v>0</v>
      </c>
      <c r="E9" s="17">
        <v>750000</v>
      </c>
      <c r="F9" s="17">
        <v>300000</v>
      </c>
      <c r="G9" s="17">
        <v>0</v>
      </c>
      <c r="H9" s="17">
        <v>300000</v>
      </c>
      <c r="I9" s="17">
        <v>450000</v>
      </c>
      <c r="J9" s="17">
        <v>0</v>
      </c>
      <c r="K9" s="17">
        <v>450000</v>
      </c>
      <c r="L9" s="17">
        <v>0</v>
      </c>
      <c r="M9" s="17">
        <v>0</v>
      </c>
      <c r="N9" s="17">
        <v>0</v>
      </c>
      <c r="O9" s="17">
        <v>0</v>
      </c>
      <c r="P9" s="17">
        <v>0</v>
      </c>
      <c r="Q9" s="17">
        <v>0</v>
      </c>
      <c r="R9" s="17">
        <v>0</v>
      </c>
      <c r="S9" s="17">
        <v>0</v>
      </c>
      <c r="T9" s="17">
        <v>0</v>
      </c>
      <c r="V9" s="17">
        <v>750000</v>
      </c>
      <c r="W9" s="17">
        <v>0</v>
      </c>
      <c r="X9" s="18">
        <v>750000</v>
      </c>
      <c r="Z9" s="17">
        <v>0</v>
      </c>
      <c r="AA9" s="17">
        <v>0</v>
      </c>
      <c r="AB9" s="18">
        <v>0</v>
      </c>
    </row>
    <row r="10" spans="2:32" s="9" customFormat="1" x14ac:dyDescent="0.25">
      <c r="B10" s="7" t="s">
        <v>24</v>
      </c>
      <c r="C10" s="8">
        <v>23304500.228125002</v>
      </c>
      <c r="D10" s="8">
        <v>30264499.865625001</v>
      </c>
      <c r="E10" s="8">
        <v>53569000.09375</v>
      </c>
      <c r="F10" s="8">
        <v>4518715</v>
      </c>
      <c r="G10" s="8">
        <v>2656546.5</v>
      </c>
      <c r="H10" s="8">
        <v>7175261.5</v>
      </c>
      <c r="I10" s="8">
        <v>6404808.1500000004</v>
      </c>
      <c r="J10" s="8">
        <v>6714646</v>
      </c>
      <c r="K10" s="8">
        <v>13119454.15</v>
      </c>
      <c r="L10" s="8">
        <v>4390696.3499999996</v>
      </c>
      <c r="M10" s="8">
        <v>7357323</v>
      </c>
      <c r="N10" s="8">
        <v>11748019.35</v>
      </c>
      <c r="O10" s="8">
        <v>4703196.3499999996</v>
      </c>
      <c r="P10" s="8">
        <v>6767992.25</v>
      </c>
      <c r="Q10" s="8">
        <v>11471188.6</v>
      </c>
      <c r="R10" s="8">
        <v>3287084.15</v>
      </c>
      <c r="S10" s="8">
        <v>6767992.25</v>
      </c>
      <c r="T10" s="8">
        <v>10055076.4</v>
      </c>
      <c r="V10" s="8">
        <v>23304500</v>
      </c>
      <c r="W10" s="8">
        <v>30264500</v>
      </c>
      <c r="X10" s="8">
        <v>53569000</v>
      </c>
      <c r="Z10" s="8">
        <v>0.22812500223517418</v>
      </c>
      <c r="AA10" s="8">
        <v>-0.13437499850988388</v>
      </c>
      <c r="AB10" s="8">
        <v>9.375E-2</v>
      </c>
    </row>
    <row r="11" spans="2:32" s="14" customFormat="1" x14ac:dyDescent="0.25">
      <c r="B11" s="11" t="s">
        <v>25</v>
      </c>
      <c r="C11" s="12">
        <v>19254500.228125002</v>
      </c>
      <c r="D11" s="12">
        <v>16264499.865625</v>
      </c>
      <c r="E11" s="12">
        <v>35519000.09375</v>
      </c>
      <c r="F11" s="12">
        <v>4268715</v>
      </c>
      <c r="G11" s="12">
        <v>2656546.5</v>
      </c>
      <c r="H11" s="12">
        <v>6925261.5</v>
      </c>
      <c r="I11" s="12">
        <v>6054808.1500000004</v>
      </c>
      <c r="J11" s="12">
        <v>6714646</v>
      </c>
      <c r="K11" s="12">
        <v>12769454.15</v>
      </c>
      <c r="L11" s="12">
        <v>3290696.35</v>
      </c>
      <c r="M11" s="12">
        <v>3357323</v>
      </c>
      <c r="N11" s="12">
        <v>6648019.3499999996</v>
      </c>
      <c r="O11" s="12">
        <v>3403196.35</v>
      </c>
      <c r="P11" s="12">
        <v>1767992.25</v>
      </c>
      <c r="Q11" s="12">
        <v>5171188.5999999996</v>
      </c>
      <c r="R11" s="12">
        <v>2237084.15</v>
      </c>
      <c r="S11" s="12">
        <v>1767992.25</v>
      </c>
      <c r="T11" s="12">
        <v>4005076.4</v>
      </c>
      <c r="V11" s="12">
        <v>19254500</v>
      </c>
      <c r="W11" s="12">
        <v>16264500</v>
      </c>
      <c r="X11" s="13">
        <v>35519000</v>
      </c>
      <c r="Z11" s="12">
        <v>0.22812500223517418</v>
      </c>
      <c r="AA11" s="12">
        <v>-0.13437500037252903</v>
      </c>
      <c r="AB11" s="13">
        <v>9.375E-2</v>
      </c>
    </row>
    <row r="12" spans="2:32" s="6" customFormat="1" x14ac:dyDescent="0.25">
      <c r="B12" s="25" t="s">
        <v>27</v>
      </c>
      <c r="C12" s="17">
        <v>500000</v>
      </c>
      <c r="D12" s="17">
        <v>4477884.8656249996</v>
      </c>
      <c r="E12" s="17">
        <v>4977884.8656249996</v>
      </c>
      <c r="F12" s="17">
        <v>150000</v>
      </c>
      <c r="G12" s="17">
        <v>1477885</v>
      </c>
      <c r="H12" s="17">
        <v>1627885</v>
      </c>
      <c r="I12" s="17">
        <v>200000</v>
      </c>
      <c r="J12" s="17">
        <v>2000000</v>
      </c>
      <c r="K12" s="17">
        <v>2200000</v>
      </c>
      <c r="L12" s="17">
        <v>150000</v>
      </c>
      <c r="M12" s="17">
        <v>1000000</v>
      </c>
      <c r="N12" s="17">
        <v>1150000</v>
      </c>
      <c r="O12" s="17">
        <v>0</v>
      </c>
      <c r="P12" s="17">
        <v>0</v>
      </c>
      <c r="Q12" s="17">
        <v>0</v>
      </c>
      <c r="R12" s="17">
        <v>0</v>
      </c>
      <c r="S12" s="17">
        <v>0</v>
      </c>
      <c r="T12" s="17">
        <v>0</v>
      </c>
      <c r="V12" s="17">
        <v>500000</v>
      </c>
      <c r="W12" s="17">
        <v>4477885</v>
      </c>
      <c r="X12" s="18">
        <v>4977885</v>
      </c>
      <c r="Z12" s="12">
        <v>0</v>
      </c>
      <c r="AA12" s="17">
        <v>-0.13437500037252903</v>
      </c>
      <c r="AB12" s="18">
        <v>-0.13437500037252903</v>
      </c>
    </row>
    <row r="13" spans="2:32" s="6" customFormat="1" x14ac:dyDescent="0.25">
      <c r="B13" s="25" t="s">
        <v>28</v>
      </c>
      <c r="C13" s="17">
        <v>1562500</v>
      </c>
      <c r="D13" s="17">
        <v>0</v>
      </c>
      <c r="E13" s="17">
        <v>1562500</v>
      </c>
      <c r="F13" s="17">
        <v>0</v>
      </c>
      <c r="G13" s="17">
        <v>0</v>
      </c>
      <c r="H13" s="17">
        <v>0</v>
      </c>
      <c r="I13" s="17">
        <v>0</v>
      </c>
      <c r="J13" s="17">
        <v>0</v>
      </c>
      <c r="K13" s="17">
        <v>0</v>
      </c>
      <c r="L13" s="17">
        <v>500000</v>
      </c>
      <c r="M13" s="17">
        <v>0</v>
      </c>
      <c r="N13" s="17">
        <v>500000</v>
      </c>
      <c r="O13" s="17">
        <v>562500</v>
      </c>
      <c r="P13" s="17">
        <v>0</v>
      </c>
      <c r="Q13" s="17">
        <v>562500</v>
      </c>
      <c r="R13" s="17">
        <v>500000</v>
      </c>
      <c r="S13" s="17">
        <v>0</v>
      </c>
      <c r="T13" s="17">
        <v>500000</v>
      </c>
      <c r="V13" s="17">
        <v>1562500</v>
      </c>
      <c r="W13" s="17">
        <v>0</v>
      </c>
      <c r="X13" s="18">
        <v>1562500</v>
      </c>
      <c r="Z13" s="12">
        <v>0</v>
      </c>
      <c r="AA13" s="17">
        <v>0</v>
      </c>
      <c r="AB13" s="18">
        <v>0</v>
      </c>
    </row>
    <row r="14" spans="2:32" s="6" customFormat="1" x14ac:dyDescent="0.25">
      <c r="B14" s="25" t="s">
        <v>29</v>
      </c>
      <c r="C14" s="17">
        <v>1875000</v>
      </c>
      <c r="D14" s="17">
        <v>0</v>
      </c>
      <c r="E14" s="17">
        <v>1875000</v>
      </c>
      <c r="F14" s="17">
        <v>725000</v>
      </c>
      <c r="G14" s="17">
        <v>0</v>
      </c>
      <c r="H14" s="17">
        <v>725000</v>
      </c>
      <c r="I14" s="17">
        <v>800000</v>
      </c>
      <c r="J14" s="17">
        <v>0</v>
      </c>
      <c r="K14" s="17">
        <v>800000</v>
      </c>
      <c r="L14" s="17">
        <v>0</v>
      </c>
      <c r="M14" s="17">
        <v>0</v>
      </c>
      <c r="N14" s="17">
        <v>0</v>
      </c>
      <c r="O14" s="17">
        <v>200000</v>
      </c>
      <c r="P14" s="17">
        <v>0</v>
      </c>
      <c r="Q14" s="17">
        <v>200000</v>
      </c>
      <c r="R14" s="17">
        <v>150000</v>
      </c>
      <c r="S14" s="17">
        <v>0</v>
      </c>
      <c r="T14" s="17">
        <v>150000</v>
      </c>
      <c r="V14" s="17">
        <v>1875000</v>
      </c>
      <c r="W14" s="17">
        <v>0</v>
      </c>
      <c r="X14" s="18">
        <v>1875000</v>
      </c>
      <c r="Z14" s="12">
        <v>0</v>
      </c>
      <c r="AA14" s="17">
        <v>0</v>
      </c>
      <c r="AB14" s="18">
        <v>0</v>
      </c>
    </row>
    <row r="15" spans="2:32" s="6" customFormat="1" x14ac:dyDescent="0.25">
      <c r="B15" s="25" t="s">
        <v>30</v>
      </c>
      <c r="C15" s="17">
        <v>5312500</v>
      </c>
      <c r="D15" s="17">
        <v>0</v>
      </c>
      <c r="E15" s="17">
        <v>5312500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L15" s="17">
        <v>2000000</v>
      </c>
      <c r="M15" s="17">
        <v>0</v>
      </c>
      <c r="N15" s="17">
        <v>2000000</v>
      </c>
      <c r="O15" s="17">
        <v>2000000</v>
      </c>
      <c r="P15" s="17">
        <v>0</v>
      </c>
      <c r="Q15" s="17">
        <v>2000000</v>
      </c>
      <c r="R15" s="17">
        <v>1312500</v>
      </c>
      <c r="S15" s="17">
        <v>0</v>
      </c>
      <c r="T15" s="17">
        <v>1312500</v>
      </c>
      <c r="V15" s="17">
        <v>5312500</v>
      </c>
      <c r="W15" s="17">
        <v>0</v>
      </c>
      <c r="X15" s="18">
        <v>5312500</v>
      </c>
      <c r="Z15" s="12">
        <v>0</v>
      </c>
      <c r="AA15" s="17">
        <v>0</v>
      </c>
      <c r="AB15" s="18">
        <v>0</v>
      </c>
    </row>
    <row r="16" spans="2:32" s="6" customFormat="1" x14ac:dyDescent="0.25">
      <c r="B16" s="25" t="s">
        <v>31</v>
      </c>
      <c r="C16" s="17">
        <v>7380223.9406249998</v>
      </c>
      <c r="D16" s="17">
        <v>0</v>
      </c>
      <c r="E16" s="17">
        <v>7380223.9406249998</v>
      </c>
      <c r="F16" s="17">
        <v>3000000</v>
      </c>
      <c r="G16" s="17">
        <v>0</v>
      </c>
      <c r="H16" s="17">
        <v>3000000</v>
      </c>
      <c r="I16" s="17">
        <v>4380224</v>
      </c>
      <c r="J16" s="17">
        <v>0</v>
      </c>
      <c r="K16" s="17">
        <v>4380224</v>
      </c>
      <c r="L16" s="17">
        <v>0</v>
      </c>
      <c r="M16" s="17">
        <v>0</v>
      </c>
      <c r="N16" s="17">
        <v>0</v>
      </c>
      <c r="O16" s="17">
        <v>0</v>
      </c>
      <c r="P16" s="17">
        <v>0</v>
      </c>
      <c r="Q16" s="17">
        <v>0</v>
      </c>
      <c r="R16" s="17">
        <v>0</v>
      </c>
      <c r="S16" s="17">
        <v>0</v>
      </c>
      <c r="T16" s="17">
        <v>0</v>
      </c>
      <c r="V16" s="17">
        <v>7380224</v>
      </c>
      <c r="W16" s="17">
        <v>0</v>
      </c>
      <c r="X16" s="18">
        <v>7380224</v>
      </c>
      <c r="Z16" s="12">
        <v>-5.9375000186264515E-2</v>
      </c>
      <c r="AA16" s="17">
        <v>0</v>
      </c>
      <c r="AB16" s="18">
        <v>-5.9375000186264515E-2</v>
      </c>
    </row>
    <row r="17" spans="2:36" s="6" customFormat="1" x14ac:dyDescent="0.25">
      <c r="B17" s="25" t="s">
        <v>32</v>
      </c>
      <c r="C17" s="17">
        <v>793715.28749999998</v>
      </c>
      <c r="D17" s="17">
        <v>0</v>
      </c>
      <c r="E17" s="17">
        <v>793715.28749999998</v>
      </c>
      <c r="F17" s="17">
        <v>393715</v>
      </c>
      <c r="G17" s="17">
        <v>0</v>
      </c>
      <c r="H17" s="17">
        <v>393715</v>
      </c>
      <c r="I17" s="17">
        <v>400000</v>
      </c>
      <c r="J17" s="17">
        <v>0</v>
      </c>
      <c r="K17" s="17">
        <v>400000</v>
      </c>
      <c r="L17" s="17">
        <v>0</v>
      </c>
      <c r="M17" s="17">
        <v>0</v>
      </c>
      <c r="N17" s="17">
        <v>0</v>
      </c>
      <c r="O17" s="17">
        <v>0</v>
      </c>
      <c r="P17" s="17">
        <v>0</v>
      </c>
      <c r="Q17" s="17">
        <v>0</v>
      </c>
      <c r="R17" s="17">
        <v>0</v>
      </c>
      <c r="S17" s="17">
        <v>0</v>
      </c>
      <c r="T17" s="17">
        <v>0</v>
      </c>
      <c r="V17" s="17">
        <v>793715</v>
      </c>
      <c r="W17" s="17">
        <v>0</v>
      </c>
      <c r="X17" s="18">
        <v>793715</v>
      </c>
      <c r="Z17" s="12">
        <v>0.28749999997671694</v>
      </c>
      <c r="AA17" s="17">
        <v>0</v>
      </c>
      <c r="AB17" s="18">
        <v>0.28749999997671694</v>
      </c>
    </row>
    <row r="18" spans="2:36" s="6" customFormat="1" x14ac:dyDescent="0.25">
      <c r="B18" s="25" t="s">
        <v>34</v>
      </c>
      <c r="C18" s="17">
        <v>1830561</v>
      </c>
      <c r="D18" s="17">
        <v>11786615</v>
      </c>
      <c r="E18" s="17">
        <v>13617176</v>
      </c>
      <c r="F18" s="17">
        <v>0</v>
      </c>
      <c r="G18" s="17">
        <v>1178661.5</v>
      </c>
      <c r="H18" s="17">
        <v>1178661.5</v>
      </c>
      <c r="I18" s="17">
        <v>274584.14999999997</v>
      </c>
      <c r="J18" s="17">
        <v>4714646</v>
      </c>
      <c r="K18" s="17">
        <v>4989230.1500000004</v>
      </c>
      <c r="L18" s="17">
        <v>640696.35</v>
      </c>
      <c r="M18" s="17">
        <v>2357323</v>
      </c>
      <c r="N18" s="17">
        <v>2998019.35</v>
      </c>
      <c r="O18" s="17">
        <v>640696.35</v>
      </c>
      <c r="P18" s="17">
        <v>1767992.25</v>
      </c>
      <c r="Q18" s="17">
        <v>2408688.6</v>
      </c>
      <c r="R18" s="17">
        <v>274584.14999999997</v>
      </c>
      <c r="S18" s="17">
        <v>1767992.25</v>
      </c>
      <c r="T18" s="17">
        <v>2042576.4</v>
      </c>
      <c r="V18" s="17">
        <v>1830561</v>
      </c>
      <c r="W18" s="17">
        <v>11786615</v>
      </c>
      <c r="X18" s="18">
        <v>13617176</v>
      </c>
      <c r="Z18" s="17">
        <v>0</v>
      </c>
      <c r="AA18" s="17">
        <v>0</v>
      </c>
      <c r="AB18" s="18">
        <v>0</v>
      </c>
    </row>
    <row r="19" spans="2:36" s="14" customFormat="1" ht="14.25" customHeight="1" x14ac:dyDescent="0.25">
      <c r="B19" s="11" t="s">
        <v>35</v>
      </c>
      <c r="C19" s="12">
        <v>1550000</v>
      </c>
      <c r="D19" s="12">
        <v>14000000</v>
      </c>
      <c r="E19" s="12">
        <v>15550000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500000</v>
      </c>
      <c r="M19" s="12">
        <v>4000000</v>
      </c>
      <c r="N19" s="12">
        <v>4500000</v>
      </c>
      <c r="O19" s="12">
        <v>550000</v>
      </c>
      <c r="P19" s="12">
        <v>5000000</v>
      </c>
      <c r="Q19" s="12">
        <v>5550000</v>
      </c>
      <c r="R19" s="12">
        <v>500000</v>
      </c>
      <c r="S19" s="12">
        <v>5000000</v>
      </c>
      <c r="T19" s="12">
        <v>5500000</v>
      </c>
      <c r="V19" s="12">
        <v>1550000</v>
      </c>
      <c r="W19" s="12">
        <v>14000000</v>
      </c>
      <c r="X19" s="13">
        <v>15550000</v>
      </c>
      <c r="Z19" s="12">
        <v>0</v>
      </c>
      <c r="AA19" s="12">
        <v>0</v>
      </c>
      <c r="AB19" s="13">
        <v>0</v>
      </c>
    </row>
    <row r="20" spans="2:36" s="6" customFormat="1" x14ac:dyDescent="0.25">
      <c r="B20" s="25" t="s">
        <v>37</v>
      </c>
      <c r="C20" s="17">
        <v>1550000</v>
      </c>
      <c r="D20" s="17">
        <v>14000000</v>
      </c>
      <c r="E20" s="17">
        <v>15550000</v>
      </c>
      <c r="F20" s="17">
        <v>0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  <c r="L20" s="17">
        <v>500000</v>
      </c>
      <c r="M20" s="17">
        <v>4000000</v>
      </c>
      <c r="N20" s="17">
        <v>4500000</v>
      </c>
      <c r="O20" s="17">
        <v>550000</v>
      </c>
      <c r="P20" s="17">
        <v>5000000</v>
      </c>
      <c r="Q20" s="17">
        <v>5550000</v>
      </c>
      <c r="R20" s="17">
        <v>500000</v>
      </c>
      <c r="S20" s="17">
        <v>5000000</v>
      </c>
      <c r="T20" s="17">
        <v>5500000</v>
      </c>
      <c r="V20" s="17">
        <v>1550000</v>
      </c>
      <c r="W20" s="17">
        <v>14000000</v>
      </c>
      <c r="X20" s="18">
        <v>15550000</v>
      </c>
      <c r="Z20" s="12">
        <v>0</v>
      </c>
      <c r="AA20" s="17"/>
      <c r="AB20" s="18"/>
    </row>
    <row r="21" spans="2:36" s="14" customFormat="1" ht="14.25" customHeight="1" x14ac:dyDescent="0.25">
      <c r="B21" s="11" t="s">
        <v>38</v>
      </c>
      <c r="C21" s="12">
        <v>2500000</v>
      </c>
      <c r="D21" s="12">
        <v>0</v>
      </c>
      <c r="E21" s="12">
        <v>2500000</v>
      </c>
      <c r="F21" s="12">
        <v>250000</v>
      </c>
      <c r="G21" s="12">
        <v>0</v>
      </c>
      <c r="H21" s="12">
        <v>250000</v>
      </c>
      <c r="I21" s="12">
        <v>350000</v>
      </c>
      <c r="J21" s="12">
        <v>0</v>
      </c>
      <c r="K21" s="12">
        <v>350000</v>
      </c>
      <c r="L21" s="12">
        <v>600000</v>
      </c>
      <c r="M21" s="12">
        <v>0</v>
      </c>
      <c r="N21" s="12">
        <v>600000</v>
      </c>
      <c r="O21" s="12">
        <v>750000</v>
      </c>
      <c r="P21" s="12">
        <v>0</v>
      </c>
      <c r="Q21" s="12">
        <v>750000</v>
      </c>
      <c r="R21" s="12">
        <v>550000</v>
      </c>
      <c r="S21" s="12">
        <v>0</v>
      </c>
      <c r="T21" s="12">
        <v>550000</v>
      </c>
      <c r="V21" s="12">
        <v>2500000</v>
      </c>
      <c r="W21" s="12">
        <v>0</v>
      </c>
      <c r="X21" s="13">
        <v>2500000</v>
      </c>
      <c r="Z21" s="12">
        <v>0</v>
      </c>
      <c r="AA21" s="12">
        <v>0</v>
      </c>
      <c r="AB21" s="13">
        <v>0</v>
      </c>
    </row>
    <row r="22" spans="2:36" s="6" customFormat="1" x14ac:dyDescent="0.25">
      <c r="B22" s="21" t="s">
        <v>39</v>
      </c>
      <c r="C22" s="17">
        <v>2500000</v>
      </c>
      <c r="D22" s="17">
        <v>0</v>
      </c>
      <c r="E22" s="17">
        <v>2500000</v>
      </c>
      <c r="F22" s="17">
        <v>250000</v>
      </c>
      <c r="G22" s="17">
        <v>0</v>
      </c>
      <c r="H22" s="17">
        <v>250000</v>
      </c>
      <c r="I22" s="17">
        <v>350000</v>
      </c>
      <c r="J22" s="17">
        <v>0</v>
      </c>
      <c r="K22" s="17">
        <v>350000</v>
      </c>
      <c r="L22" s="17">
        <v>600000</v>
      </c>
      <c r="M22" s="17">
        <v>0</v>
      </c>
      <c r="N22" s="17">
        <v>600000</v>
      </c>
      <c r="O22" s="17">
        <v>750000</v>
      </c>
      <c r="P22" s="17">
        <v>0</v>
      </c>
      <c r="Q22" s="17">
        <v>750000</v>
      </c>
      <c r="R22" s="17">
        <v>550000</v>
      </c>
      <c r="S22" s="17">
        <v>0</v>
      </c>
      <c r="T22" s="17">
        <v>550000</v>
      </c>
      <c r="V22" s="17">
        <v>2500000</v>
      </c>
      <c r="W22" s="17">
        <v>0</v>
      </c>
      <c r="X22" s="18">
        <v>2500000</v>
      </c>
      <c r="Z22" s="17">
        <v>0</v>
      </c>
      <c r="AA22" s="17">
        <v>0</v>
      </c>
      <c r="AB22" s="18">
        <v>0</v>
      </c>
    </row>
    <row r="23" spans="2:36" x14ac:dyDescent="0.25">
      <c r="B23" s="7" t="s">
        <v>40</v>
      </c>
      <c r="C23" s="8">
        <v>3499999.88</v>
      </c>
      <c r="D23" s="8">
        <v>0</v>
      </c>
      <c r="E23" s="8">
        <v>3499999.88</v>
      </c>
      <c r="F23" s="8">
        <v>184210.52</v>
      </c>
      <c r="G23" s="8">
        <v>0</v>
      </c>
      <c r="H23" s="8">
        <v>184210.52</v>
      </c>
      <c r="I23" s="8">
        <v>368421.04</v>
      </c>
      <c r="J23" s="8">
        <v>0</v>
      </c>
      <c r="K23" s="8">
        <v>368421.04</v>
      </c>
      <c r="L23" s="8">
        <v>552631.56000000006</v>
      </c>
      <c r="M23" s="8">
        <v>0</v>
      </c>
      <c r="N23" s="8">
        <v>552631.56000000006</v>
      </c>
      <c r="O23" s="8">
        <v>1473684.16</v>
      </c>
      <c r="P23" s="8">
        <v>0</v>
      </c>
      <c r="Q23" s="8">
        <v>1473684.16</v>
      </c>
      <c r="R23" s="8">
        <v>921052.6</v>
      </c>
      <c r="S23" s="8">
        <v>0</v>
      </c>
      <c r="T23" s="8">
        <v>921052.6</v>
      </c>
      <c r="U23" s="9"/>
      <c r="V23" s="8">
        <v>3499999.8800000004</v>
      </c>
      <c r="W23" s="8">
        <v>0</v>
      </c>
      <c r="X23" s="10">
        <v>3499999.8800000004</v>
      </c>
      <c r="Y23" s="9"/>
      <c r="Z23" s="8">
        <v>0</v>
      </c>
      <c r="AA23" s="8">
        <v>0</v>
      </c>
      <c r="AB23" s="10">
        <v>0</v>
      </c>
      <c r="AC23" s="9"/>
      <c r="AD23" s="9"/>
      <c r="AE23" s="9"/>
      <c r="AF23" s="9"/>
    </row>
    <row r="24" spans="2:36" s="6" customFormat="1" x14ac:dyDescent="0.25">
      <c r="B24" s="11" t="s">
        <v>41</v>
      </c>
      <c r="C24" s="12">
        <v>3499999.88</v>
      </c>
      <c r="D24" s="12">
        <v>0</v>
      </c>
      <c r="E24" s="12">
        <v>3499999.88</v>
      </c>
      <c r="F24" s="12">
        <v>184210.52</v>
      </c>
      <c r="G24" s="12">
        <v>0</v>
      </c>
      <c r="H24" s="12">
        <v>184210.52</v>
      </c>
      <c r="I24" s="12">
        <v>368421.04</v>
      </c>
      <c r="J24" s="12">
        <v>0</v>
      </c>
      <c r="K24" s="12">
        <v>368421.04</v>
      </c>
      <c r="L24" s="12">
        <v>552631.56000000006</v>
      </c>
      <c r="M24" s="12">
        <v>0</v>
      </c>
      <c r="N24" s="12">
        <v>552631.56000000006</v>
      </c>
      <c r="O24" s="12">
        <v>1473684.16</v>
      </c>
      <c r="P24" s="12">
        <v>0</v>
      </c>
      <c r="Q24" s="12">
        <v>1473684.16</v>
      </c>
      <c r="R24" s="12">
        <v>921052.6</v>
      </c>
      <c r="S24" s="12">
        <v>0</v>
      </c>
      <c r="T24" s="12">
        <v>921052.6</v>
      </c>
      <c r="U24" s="14"/>
      <c r="V24" s="12">
        <v>3499999.8800000004</v>
      </c>
      <c r="W24" s="12">
        <v>0</v>
      </c>
      <c r="X24" s="13">
        <v>3499999.8800000004</v>
      </c>
      <c r="Y24" s="14"/>
      <c r="Z24" s="12">
        <v>0</v>
      </c>
      <c r="AA24" s="12">
        <v>0</v>
      </c>
      <c r="AB24" s="13">
        <v>0</v>
      </c>
      <c r="AC24" s="14"/>
      <c r="AD24" s="14"/>
      <c r="AE24" s="14"/>
      <c r="AF24" s="14"/>
    </row>
    <row r="25" spans="2:36" s="14" customFormat="1" ht="41.4" x14ac:dyDescent="0.25">
      <c r="B25" s="29" t="s">
        <v>43</v>
      </c>
      <c r="C25" s="17">
        <v>552631.55999999994</v>
      </c>
      <c r="D25" s="17">
        <v>0</v>
      </c>
      <c r="E25" s="17">
        <v>552631.55999999994</v>
      </c>
      <c r="F25" s="17">
        <v>184210.52</v>
      </c>
      <c r="G25" s="17">
        <v>0</v>
      </c>
      <c r="H25" s="17">
        <v>184210.52</v>
      </c>
      <c r="I25" s="17">
        <v>368421.04</v>
      </c>
      <c r="J25" s="17">
        <v>0</v>
      </c>
      <c r="K25" s="17">
        <v>368421.04</v>
      </c>
      <c r="L25" s="17">
        <v>0</v>
      </c>
      <c r="M25" s="17">
        <v>0</v>
      </c>
      <c r="N25" s="17">
        <v>0</v>
      </c>
      <c r="O25" s="17">
        <v>0</v>
      </c>
      <c r="P25" s="17">
        <v>0</v>
      </c>
      <c r="Q25" s="17">
        <v>0</v>
      </c>
      <c r="R25" s="17">
        <v>0</v>
      </c>
      <c r="S25" s="17">
        <v>0</v>
      </c>
      <c r="T25" s="17">
        <v>0</v>
      </c>
      <c r="V25" s="12">
        <v>552631.55999999994</v>
      </c>
      <c r="W25" s="12">
        <v>0</v>
      </c>
      <c r="X25" s="13">
        <v>552631.55999999994</v>
      </c>
      <c r="Z25" s="12">
        <v>0</v>
      </c>
      <c r="AA25" s="12">
        <v>0</v>
      </c>
      <c r="AB25" s="13">
        <v>0</v>
      </c>
    </row>
    <row r="26" spans="2:36" s="14" customFormat="1" x14ac:dyDescent="0.25">
      <c r="B26" s="29" t="s">
        <v>45</v>
      </c>
      <c r="C26" s="17">
        <v>721052.6</v>
      </c>
      <c r="D26" s="17">
        <v>0</v>
      </c>
      <c r="E26" s="17">
        <v>721052.6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7">
        <v>360526.3</v>
      </c>
      <c r="P26" s="17">
        <v>0</v>
      </c>
      <c r="Q26" s="17">
        <v>360526.3</v>
      </c>
      <c r="R26" s="17">
        <v>360526.3</v>
      </c>
      <c r="S26" s="17">
        <v>0</v>
      </c>
      <c r="T26" s="17">
        <v>360526.3</v>
      </c>
      <c r="U26" s="6"/>
      <c r="V26" s="17">
        <v>721052.6</v>
      </c>
      <c r="W26" s="17">
        <v>0</v>
      </c>
      <c r="X26" s="18">
        <v>721052.6</v>
      </c>
      <c r="Y26" s="6"/>
      <c r="Z26" s="12">
        <v>0</v>
      </c>
      <c r="AA26" s="12">
        <v>0</v>
      </c>
      <c r="AB26" s="13">
        <v>0</v>
      </c>
      <c r="AC26" s="6"/>
      <c r="AD26" s="6"/>
      <c r="AE26" s="6"/>
      <c r="AF26" s="6"/>
    </row>
    <row r="27" spans="2:36" s="14" customFormat="1" x14ac:dyDescent="0.25">
      <c r="B27" s="29" t="s">
        <v>47</v>
      </c>
      <c r="C27" s="17">
        <v>721052.6</v>
      </c>
      <c r="D27" s="17">
        <v>0</v>
      </c>
      <c r="E27" s="17">
        <v>721052.6</v>
      </c>
      <c r="F27" s="17">
        <v>0</v>
      </c>
      <c r="G27" s="17">
        <v>0</v>
      </c>
      <c r="H27" s="17">
        <v>0</v>
      </c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17">
        <v>0</v>
      </c>
      <c r="O27" s="17">
        <v>360526.3</v>
      </c>
      <c r="P27" s="17">
        <v>0</v>
      </c>
      <c r="Q27" s="17">
        <v>360526.3</v>
      </c>
      <c r="R27" s="17">
        <v>360526.3</v>
      </c>
      <c r="S27" s="17">
        <v>0</v>
      </c>
      <c r="T27" s="17">
        <v>360526.3</v>
      </c>
      <c r="U27" s="6"/>
      <c r="V27" s="17">
        <v>721052.6</v>
      </c>
      <c r="W27" s="17">
        <v>0</v>
      </c>
      <c r="X27" s="18">
        <v>721052.6</v>
      </c>
      <c r="Y27" s="6"/>
      <c r="Z27" s="12">
        <v>0</v>
      </c>
      <c r="AA27" s="12">
        <v>0</v>
      </c>
      <c r="AB27" s="13">
        <v>0</v>
      </c>
      <c r="AC27" s="6"/>
      <c r="AD27" s="6"/>
      <c r="AE27" s="6"/>
      <c r="AF27" s="6"/>
    </row>
    <row r="28" spans="2:36" s="14" customFormat="1" ht="27.6" x14ac:dyDescent="0.25">
      <c r="B28" s="35" t="s">
        <v>49</v>
      </c>
      <c r="C28" s="17">
        <v>552631.56000000006</v>
      </c>
      <c r="D28" s="17">
        <v>0</v>
      </c>
      <c r="E28" s="17">
        <v>552631.56000000006</v>
      </c>
      <c r="F28" s="17">
        <v>0</v>
      </c>
      <c r="G28" s="17">
        <v>0</v>
      </c>
      <c r="H28" s="17">
        <v>0</v>
      </c>
      <c r="I28" s="17">
        <v>0</v>
      </c>
      <c r="J28" s="17">
        <v>0</v>
      </c>
      <c r="K28" s="17">
        <v>0</v>
      </c>
      <c r="L28" s="17">
        <v>276315.78000000003</v>
      </c>
      <c r="M28" s="17">
        <v>0</v>
      </c>
      <c r="N28" s="17">
        <v>276315.78000000003</v>
      </c>
      <c r="O28" s="17">
        <v>276315.78000000003</v>
      </c>
      <c r="P28" s="17">
        <v>0</v>
      </c>
      <c r="Q28" s="17">
        <v>276315.78000000003</v>
      </c>
      <c r="R28" s="17">
        <v>0</v>
      </c>
      <c r="S28" s="17">
        <v>0</v>
      </c>
      <c r="T28" s="17">
        <v>0</v>
      </c>
      <c r="U28" s="6"/>
      <c r="V28" s="17">
        <v>552631.56000000006</v>
      </c>
      <c r="W28" s="17">
        <v>0</v>
      </c>
      <c r="X28" s="18">
        <v>552631.56000000006</v>
      </c>
      <c r="Y28" s="6"/>
      <c r="Z28" s="12">
        <v>0</v>
      </c>
      <c r="AA28" s="12">
        <v>0</v>
      </c>
      <c r="AB28" s="13">
        <v>0</v>
      </c>
      <c r="AC28" s="6"/>
      <c r="AD28" s="6"/>
      <c r="AE28" s="6"/>
      <c r="AF28" s="6"/>
    </row>
    <row r="29" spans="2:36" s="14" customFormat="1" x14ac:dyDescent="0.25">
      <c r="B29" s="35" t="s">
        <v>51</v>
      </c>
      <c r="C29" s="17">
        <v>552631.56000000006</v>
      </c>
      <c r="D29" s="17">
        <v>0</v>
      </c>
      <c r="E29" s="17">
        <v>552631.56000000006</v>
      </c>
      <c r="F29" s="17">
        <v>0</v>
      </c>
      <c r="G29" s="17">
        <v>0</v>
      </c>
      <c r="H29" s="17">
        <v>0</v>
      </c>
      <c r="I29" s="17">
        <v>0</v>
      </c>
      <c r="J29" s="17">
        <v>0</v>
      </c>
      <c r="K29" s="17">
        <v>0</v>
      </c>
      <c r="L29" s="17">
        <v>276315.78000000003</v>
      </c>
      <c r="M29" s="17">
        <v>0</v>
      </c>
      <c r="N29" s="17">
        <v>276315.78000000003</v>
      </c>
      <c r="O29" s="17">
        <v>276315.78000000003</v>
      </c>
      <c r="P29" s="17">
        <v>0</v>
      </c>
      <c r="Q29" s="17">
        <v>276315.78000000003</v>
      </c>
      <c r="R29" s="17">
        <v>0</v>
      </c>
      <c r="S29" s="17">
        <v>0</v>
      </c>
      <c r="T29" s="17">
        <v>0</v>
      </c>
      <c r="U29" s="6"/>
      <c r="V29" s="17">
        <v>552631.56000000006</v>
      </c>
      <c r="W29" s="17">
        <v>0</v>
      </c>
      <c r="X29" s="18">
        <v>552631.56000000006</v>
      </c>
      <c r="Y29" s="6"/>
      <c r="Z29" s="12">
        <v>0</v>
      </c>
      <c r="AA29" s="12">
        <v>0</v>
      </c>
      <c r="AB29" s="13">
        <v>0</v>
      </c>
      <c r="AC29" s="6"/>
      <c r="AD29" s="6"/>
      <c r="AE29" s="6"/>
      <c r="AF29" s="6"/>
    </row>
    <row r="30" spans="2:36" s="14" customFormat="1" ht="27.6" x14ac:dyDescent="0.25">
      <c r="B30" s="35" t="s">
        <v>53</v>
      </c>
      <c r="C30" s="17">
        <v>400000</v>
      </c>
      <c r="D30" s="17">
        <v>0</v>
      </c>
      <c r="E30" s="17">
        <v>400000</v>
      </c>
      <c r="F30" s="17">
        <v>0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17">
        <v>0</v>
      </c>
      <c r="O30" s="17">
        <v>200000</v>
      </c>
      <c r="P30" s="17">
        <v>0</v>
      </c>
      <c r="Q30" s="17">
        <v>200000</v>
      </c>
      <c r="R30" s="17">
        <v>200000</v>
      </c>
      <c r="S30" s="17">
        <v>0</v>
      </c>
      <c r="T30" s="17">
        <v>200000</v>
      </c>
      <c r="U30" s="6"/>
      <c r="V30" s="17">
        <v>400000</v>
      </c>
      <c r="W30" s="17">
        <v>0</v>
      </c>
      <c r="X30" s="18">
        <v>400000</v>
      </c>
      <c r="Y30" s="6"/>
      <c r="Z30" s="12">
        <v>0</v>
      </c>
      <c r="AA30" s="12">
        <v>0</v>
      </c>
      <c r="AB30" s="13">
        <v>0</v>
      </c>
      <c r="AC30" s="6"/>
      <c r="AD30" s="6"/>
      <c r="AE30" s="6"/>
      <c r="AF30" s="6"/>
    </row>
    <row r="31" spans="2:36" ht="35.25" customHeight="1" x14ac:dyDescent="0.25">
      <c r="B31" s="7" t="s">
        <v>54</v>
      </c>
      <c r="C31" s="8">
        <v>0</v>
      </c>
      <c r="D31" s="8">
        <v>1000000</v>
      </c>
      <c r="E31" s="8">
        <v>1000000</v>
      </c>
      <c r="F31" s="8">
        <v>0</v>
      </c>
      <c r="G31" s="8">
        <v>100000</v>
      </c>
      <c r="H31" s="8">
        <v>100000</v>
      </c>
      <c r="I31" s="8">
        <v>0</v>
      </c>
      <c r="J31" s="8">
        <v>200000</v>
      </c>
      <c r="K31" s="8">
        <v>200000</v>
      </c>
      <c r="L31" s="8">
        <v>0</v>
      </c>
      <c r="M31" s="8">
        <v>250000</v>
      </c>
      <c r="N31" s="8">
        <v>250000</v>
      </c>
      <c r="O31" s="8">
        <v>0</v>
      </c>
      <c r="P31" s="8">
        <v>300000</v>
      </c>
      <c r="Q31" s="8">
        <v>300000</v>
      </c>
      <c r="R31" s="8">
        <v>0</v>
      </c>
      <c r="S31" s="8">
        <v>150000</v>
      </c>
      <c r="T31" s="8">
        <v>150000</v>
      </c>
      <c r="U31" s="9"/>
      <c r="V31" s="8">
        <v>0</v>
      </c>
      <c r="W31" s="8">
        <v>1000000</v>
      </c>
      <c r="X31" s="10">
        <v>1000000</v>
      </c>
      <c r="Y31" s="9"/>
      <c r="Z31" s="8">
        <v>0</v>
      </c>
      <c r="AA31" s="8">
        <v>0</v>
      </c>
      <c r="AB31" s="10">
        <v>0</v>
      </c>
      <c r="AC31" s="9"/>
      <c r="AD31" s="9"/>
      <c r="AE31" s="9"/>
      <c r="AF31" s="9"/>
      <c r="AJ31" s="5">
        <v>3.90625E-2</v>
      </c>
    </row>
    <row r="32" spans="2:36" s="6" customFormat="1" x14ac:dyDescent="0.25">
      <c r="B32" s="11" t="s">
        <v>55</v>
      </c>
      <c r="C32" s="12">
        <v>0</v>
      </c>
      <c r="D32" s="12">
        <v>1000000</v>
      </c>
      <c r="E32" s="12">
        <v>1000000</v>
      </c>
      <c r="F32" s="12">
        <v>0</v>
      </c>
      <c r="G32" s="12">
        <v>100000</v>
      </c>
      <c r="H32" s="12">
        <v>100000</v>
      </c>
      <c r="I32" s="12">
        <v>0</v>
      </c>
      <c r="J32" s="12">
        <v>200000</v>
      </c>
      <c r="K32" s="12">
        <v>200000</v>
      </c>
      <c r="L32" s="12">
        <v>0</v>
      </c>
      <c r="M32" s="12">
        <v>250000</v>
      </c>
      <c r="N32" s="12">
        <v>250000</v>
      </c>
      <c r="O32" s="12">
        <v>0</v>
      </c>
      <c r="P32" s="12">
        <v>300000</v>
      </c>
      <c r="Q32" s="12">
        <v>300000</v>
      </c>
      <c r="R32" s="12">
        <v>0</v>
      </c>
      <c r="S32" s="12">
        <v>150000</v>
      </c>
      <c r="T32" s="12">
        <v>150000</v>
      </c>
      <c r="U32" s="14"/>
      <c r="V32" s="12">
        <v>0</v>
      </c>
      <c r="W32" s="12">
        <v>1000000</v>
      </c>
      <c r="X32" s="13">
        <v>1000000</v>
      </c>
      <c r="Y32" s="14"/>
      <c r="Z32" s="12">
        <v>0</v>
      </c>
      <c r="AA32" s="12">
        <v>0</v>
      </c>
      <c r="AB32" s="13">
        <v>0</v>
      </c>
      <c r="AC32" s="14"/>
      <c r="AD32" s="14"/>
      <c r="AE32" s="14"/>
      <c r="AF32" s="14"/>
    </row>
    <row r="33" spans="2:36" s="14" customFormat="1" x14ac:dyDescent="0.25">
      <c r="B33" s="25" t="s">
        <v>56</v>
      </c>
      <c r="C33" s="17">
        <v>0</v>
      </c>
      <c r="D33" s="17">
        <v>1000000</v>
      </c>
      <c r="E33" s="17">
        <v>1000000</v>
      </c>
      <c r="F33" s="17">
        <v>0</v>
      </c>
      <c r="G33" s="17">
        <v>100000</v>
      </c>
      <c r="H33" s="17">
        <v>100000</v>
      </c>
      <c r="I33" s="17">
        <v>0</v>
      </c>
      <c r="J33" s="17">
        <v>200000</v>
      </c>
      <c r="K33" s="17">
        <v>200000</v>
      </c>
      <c r="L33" s="17">
        <v>0</v>
      </c>
      <c r="M33" s="17">
        <v>250000</v>
      </c>
      <c r="N33" s="17">
        <v>250000</v>
      </c>
      <c r="O33" s="17">
        <v>0</v>
      </c>
      <c r="P33" s="17">
        <v>300000</v>
      </c>
      <c r="Q33" s="17">
        <v>300000</v>
      </c>
      <c r="R33" s="17">
        <v>0</v>
      </c>
      <c r="S33" s="17">
        <v>150000</v>
      </c>
      <c r="T33" s="17">
        <v>150000</v>
      </c>
      <c r="U33" s="6"/>
      <c r="V33" s="17">
        <v>0</v>
      </c>
      <c r="W33" s="17">
        <v>1000000</v>
      </c>
      <c r="X33" s="18">
        <v>1000000</v>
      </c>
      <c r="Y33" s="6"/>
      <c r="Z33" s="17">
        <v>0</v>
      </c>
      <c r="AA33" s="17">
        <v>0</v>
      </c>
      <c r="AB33" s="18">
        <v>0</v>
      </c>
      <c r="AC33" s="6"/>
      <c r="AD33" s="6"/>
      <c r="AE33" s="6"/>
      <c r="AF33" s="6"/>
    </row>
    <row r="34" spans="2:36" ht="35.25" customHeight="1" x14ac:dyDescent="0.25">
      <c r="B34" s="7" t="s">
        <v>57</v>
      </c>
      <c r="C34" s="8">
        <v>2479999.9999000002</v>
      </c>
      <c r="D34" s="8">
        <v>520000</v>
      </c>
      <c r="E34" s="8">
        <v>2999999.9999000002</v>
      </c>
      <c r="F34" s="8">
        <v>367499.999985</v>
      </c>
      <c r="G34" s="8">
        <v>100000</v>
      </c>
      <c r="H34" s="8">
        <v>467499.999985</v>
      </c>
      <c r="I34" s="8">
        <v>489999.99998000002</v>
      </c>
      <c r="J34" s="8">
        <v>100000</v>
      </c>
      <c r="K34" s="8">
        <v>589999.99997999996</v>
      </c>
      <c r="L34" s="8">
        <v>684999.99997</v>
      </c>
      <c r="M34" s="8">
        <v>120000</v>
      </c>
      <c r="N34" s="8">
        <v>804999.99997</v>
      </c>
      <c r="O34" s="8">
        <v>489999.99998000002</v>
      </c>
      <c r="P34" s="8">
        <v>100000</v>
      </c>
      <c r="Q34" s="8">
        <v>589999.99997999996</v>
      </c>
      <c r="R34" s="8">
        <v>447499.999985</v>
      </c>
      <c r="S34" s="8">
        <v>100000</v>
      </c>
      <c r="T34" s="8">
        <v>547499.999985</v>
      </c>
      <c r="U34" s="9"/>
      <c r="V34" s="8">
        <v>2479999.9999000002</v>
      </c>
      <c r="W34" s="8">
        <v>520000</v>
      </c>
      <c r="X34" s="10">
        <v>2999999.9999000002</v>
      </c>
      <c r="Y34" s="9"/>
      <c r="Z34" s="8">
        <v>0</v>
      </c>
      <c r="AA34" s="8">
        <v>0</v>
      </c>
      <c r="AB34" s="10">
        <v>0</v>
      </c>
      <c r="AC34" s="9"/>
      <c r="AD34" s="9"/>
      <c r="AE34" s="9"/>
      <c r="AF34" s="9"/>
      <c r="AJ34" s="5">
        <v>3.90625E-2</v>
      </c>
    </row>
    <row r="35" spans="2:36" s="6" customFormat="1" x14ac:dyDescent="0.25">
      <c r="B35" s="11" t="s">
        <v>58</v>
      </c>
      <c r="C35" s="12">
        <v>2230000</v>
      </c>
      <c r="D35" s="12">
        <v>520000</v>
      </c>
      <c r="E35" s="12">
        <v>2750000</v>
      </c>
      <c r="F35" s="12">
        <v>330000</v>
      </c>
      <c r="G35" s="12">
        <v>100000</v>
      </c>
      <c r="H35" s="12">
        <v>430000</v>
      </c>
      <c r="I35" s="12">
        <v>440000</v>
      </c>
      <c r="J35" s="12">
        <v>100000</v>
      </c>
      <c r="K35" s="12">
        <v>540000</v>
      </c>
      <c r="L35" s="12">
        <v>610000</v>
      </c>
      <c r="M35" s="12">
        <v>120000</v>
      </c>
      <c r="N35" s="12">
        <v>730000</v>
      </c>
      <c r="O35" s="12">
        <v>440000</v>
      </c>
      <c r="P35" s="12">
        <v>100000</v>
      </c>
      <c r="Q35" s="12">
        <v>540000</v>
      </c>
      <c r="R35" s="12">
        <v>410000</v>
      </c>
      <c r="S35" s="12">
        <v>100000</v>
      </c>
      <c r="T35" s="12">
        <v>510000</v>
      </c>
      <c r="U35" s="14"/>
      <c r="V35" s="12">
        <v>2230000</v>
      </c>
      <c r="W35" s="12">
        <v>520000</v>
      </c>
      <c r="X35" s="13">
        <v>2750000</v>
      </c>
      <c r="Y35" s="14"/>
      <c r="Z35" s="12">
        <v>0</v>
      </c>
      <c r="AA35" s="12">
        <v>0</v>
      </c>
      <c r="AB35" s="13">
        <v>0</v>
      </c>
      <c r="AC35" s="14"/>
      <c r="AD35" s="14"/>
      <c r="AE35" s="14"/>
      <c r="AF35" s="14"/>
    </row>
    <row r="36" spans="2:36" s="6" customFormat="1" x14ac:dyDescent="0.25">
      <c r="B36" s="25" t="s">
        <v>60</v>
      </c>
      <c r="C36" s="17">
        <v>1880000</v>
      </c>
      <c r="D36" s="17">
        <v>520000</v>
      </c>
      <c r="E36" s="17">
        <v>2400000</v>
      </c>
      <c r="F36" s="17">
        <v>180000</v>
      </c>
      <c r="G36" s="17">
        <v>100000</v>
      </c>
      <c r="H36" s="17">
        <v>280000</v>
      </c>
      <c r="I36" s="17">
        <v>440000</v>
      </c>
      <c r="J36" s="17">
        <v>100000</v>
      </c>
      <c r="K36" s="17">
        <v>540000</v>
      </c>
      <c r="L36" s="17">
        <v>490000</v>
      </c>
      <c r="M36" s="17">
        <v>120000</v>
      </c>
      <c r="N36" s="17">
        <v>610000</v>
      </c>
      <c r="O36" s="17">
        <v>440000</v>
      </c>
      <c r="P36" s="17">
        <v>100000</v>
      </c>
      <c r="Q36" s="17">
        <v>540000</v>
      </c>
      <c r="R36" s="17">
        <v>330000</v>
      </c>
      <c r="S36" s="17">
        <v>100000</v>
      </c>
      <c r="T36" s="17">
        <v>430000</v>
      </c>
      <c r="V36" s="17">
        <v>1880000</v>
      </c>
      <c r="W36" s="17">
        <v>520000</v>
      </c>
      <c r="X36" s="18">
        <v>2400000</v>
      </c>
      <c r="Z36" s="17">
        <v>0</v>
      </c>
      <c r="AA36" s="17">
        <v>0</v>
      </c>
      <c r="AB36" s="18">
        <v>0</v>
      </c>
    </row>
    <row r="37" spans="2:36" s="6" customFormat="1" x14ac:dyDescent="0.25">
      <c r="B37" s="21" t="s">
        <v>61</v>
      </c>
      <c r="C37" s="17">
        <v>1680000</v>
      </c>
      <c r="D37" s="17">
        <v>520000</v>
      </c>
      <c r="E37" s="17">
        <v>2200000</v>
      </c>
      <c r="F37" s="17">
        <v>150000</v>
      </c>
      <c r="G37" s="17">
        <v>100000</v>
      </c>
      <c r="H37" s="17">
        <v>250000</v>
      </c>
      <c r="I37" s="17">
        <v>400000</v>
      </c>
      <c r="J37" s="17">
        <v>100000</v>
      </c>
      <c r="K37" s="17">
        <v>500000</v>
      </c>
      <c r="L37" s="17">
        <v>430000</v>
      </c>
      <c r="M37" s="17">
        <v>120000</v>
      </c>
      <c r="N37" s="17">
        <v>550000</v>
      </c>
      <c r="O37" s="17">
        <v>400000</v>
      </c>
      <c r="P37" s="17">
        <v>100000</v>
      </c>
      <c r="Q37" s="17">
        <v>500000</v>
      </c>
      <c r="R37" s="17">
        <v>300000</v>
      </c>
      <c r="S37" s="17">
        <v>100000</v>
      </c>
      <c r="T37" s="17">
        <v>400000</v>
      </c>
      <c r="V37" s="17">
        <v>1680000</v>
      </c>
      <c r="W37" s="17">
        <v>520000</v>
      </c>
      <c r="X37" s="18">
        <v>2200000</v>
      </c>
      <c r="Z37" s="17">
        <v>0</v>
      </c>
      <c r="AA37" s="17">
        <v>0</v>
      </c>
      <c r="AB37" s="18">
        <v>0</v>
      </c>
    </row>
    <row r="38" spans="2:36" s="6" customFormat="1" x14ac:dyDescent="0.25">
      <c r="B38" s="21" t="s">
        <v>62</v>
      </c>
      <c r="C38" s="17">
        <v>200000</v>
      </c>
      <c r="D38" s="17">
        <v>0</v>
      </c>
      <c r="E38" s="17">
        <v>200000</v>
      </c>
      <c r="F38" s="17">
        <v>30000</v>
      </c>
      <c r="G38" s="17">
        <v>0</v>
      </c>
      <c r="H38" s="17">
        <v>30000</v>
      </c>
      <c r="I38" s="17">
        <v>40000</v>
      </c>
      <c r="J38" s="17">
        <v>0</v>
      </c>
      <c r="K38" s="17">
        <v>40000</v>
      </c>
      <c r="L38" s="17">
        <v>60000</v>
      </c>
      <c r="M38" s="17">
        <v>0</v>
      </c>
      <c r="N38" s="17">
        <v>60000</v>
      </c>
      <c r="O38" s="17">
        <v>40000</v>
      </c>
      <c r="P38" s="17">
        <v>0</v>
      </c>
      <c r="Q38" s="17">
        <v>40000</v>
      </c>
      <c r="R38" s="17">
        <v>30000</v>
      </c>
      <c r="S38" s="17">
        <v>0</v>
      </c>
      <c r="T38" s="17">
        <v>30000</v>
      </c>
      <c r="V38" s="17">
        <v>200000</v>
      </c>
      <c r="W38" s="17">
        <v>0</v>
      </c>
      <c r="X38" s="18">
        <v>200000</v>
      </c>
      <c r="Z38" s="17">
        <v>0</v>
      </c>
      <c r="AA38" s="17">
        <v>0</v>
      </c>
      <c r="AB38" s="18">
        <v>0</v>
      </c>
    </row>
    <row r="39" spans="2:36" s="6" customFormat="1" x14ac:dyDescent="0.25">
      <c r="B39" s="25" t="s">
        <v>63</v>
      </c>
      <c r="C39" s="17">
        <v>350000</v>
      </c>
      <c r="D39" s="17">
        <v>0</v>
      </c>
      <c r="E39" s="17">
        <v>350000</v>
      </c>
      <c r="F39" s="17">
        <v>50000</v>
      </c>
      <c r="G39" s="17">
        <v>0</v>
      </c>
      <c r="H39" s="17">
        <v>50000</v>
      </c>
      <c r="I39" s="17">
        <v>0</v>
      </c>
      <c r="J39" s="17">
        <v>0</v>
      </c>
      <c r="K39" s="17">
        <v>0</v>
      </c>
      <c r="L39" s="17">
        <v>30000</v>
      </c>
      <c r="M39" s="17">
        <v>0</v>
      </c>
      <c r="N39" s="17">
        <v>30000</v>
      </c>
      <c r="O39" s="17">
        <v>0</v>
      </c>
      <c r="P39" s="17">
        <v>0</v>
      </c>
      <c r="Q39" s="17">
        <v>0</v>
      </c>
      <c r="R39" s="17">
        <v>220000</v>
      </c>
      <c r="S39" s="17">
        <v>0</v>
      </c>
      <c r="T39" s="17">
        <v>220000</v>
      </c>
      <c r="V39" s="17">
        <v>350000</v>
      </c>
      <c r="W39" s="17">
        <v>0</v>
      </c>
      <c r="X39" s="18">
        <v>350000</v>
      </c>
      <c r="Z39" s="17">
        <v>0</v>
      </c>
      <c r="AA39" s="17">
        <v>0</v>
      </c>
      <c r="AB39" s="18">
        <v>0</v>
      </c>
    </row>
    <row r="40" spans="2:36" s="6" customFormat="1" x14ac:dyDescent="0.25">
      <c r="B40" s="11" t="s">
        <v>64</v>
      </c>
      <c r="C40" s="12">
        <v>249999.9999</v>
      </c>
      <c r="D40" s="12">
        <v>0</v>
      </c>
      <c r="E40" s="12">
        <v>249999.9999</v>
      </c>
      <c r="F40" s="12">
        <v>37499.999985000002</v>
      </c>
      <c r="G40" s="12">
        <v>0</v>
      </c>
      <c r="H40" s="12">
        <v>37499.999985000002</v>
      </c>
      <c r="I40" s="12">
        <v>49999.999980000001</v>
      </c>
      <c r="J40" s="12">
        <v>0</v>
      </c>
      <c r="K40" s="12">
        <v>49999.999980000001</v>
      </c>
      <c r="L40" s="12">
        <v>74999.999970000004</v>
      </c>
      <c r="M40" s="12">
        <v>0</v>
      </c>
      <c r="N40" s="12">
        <v>74999.999970000004</v>
      </c>
      <c r="O40" s="12">
        <v>49999.999980000001</v>
      </c>
      <c r="P40" s="12">
        <v>0</v>
      </c>
      <c r="Q40" s="12">
        <v>49999.999980000001</v>
      </c>
      <c r="R40" s="12">
        <v>37499.999985000002</v>
      </c>
      <c r="S40" s="12">
        <v>0</v>
      </c>
      <c r="T40" s="12">
        <v>37499.999985000002</v>
      </c>
      <c r="U40" s="14"/>
      <c r="V40" s="12">
        <v>249999.9999</v>
      </c>
      <c r="W40" s="12">
        <v>0</v>
      </c>
      <c r="X40" s="13">
        <v>249999.9999</v>
      </c>
      <c r="Y40" s="14"/>
      <c r="Z40" s="12">
        <v>0</v>
      </c>
      <c r="AA40" s="12">
        <v>0</v>
      </c>
      <c r="AB40" s="13">
        <v>0</v>
      </c>
      <c r="AC40" s="14"/>
      <c r="AD40" s="14"/>
      <c r="AE40" s="14"/>
      <c r="AF40" s="14"/>
    </row>
    <row r="41" spans="2:36" s="14" customFormat="1" x14ac:dyDescent="0.25">
      <c r="B41" s="36" t="s">
        <v>66</v>
      </c>
      <c r="C41" s="17">
        <v>249999.9999</v>
      </c>
      <c r="D41" s="17">
        <v>0</v>
      </c>
      <c r="E41" s="12">
        <v>249999.9999</v>
      </c>
      <c r="F41" s="12">
        <v>37499.999985000002</v>
      </c>
      <c r="G41" s="12">
        <v>0</v>
      </c>
      <c r="H41" s="12">
        <v>37499.999985000002</v>
      </c>
      <c r="I41" s="12">
        <v>49999.999980000001</v>
      </c>
      <c r="J41" s="12">
        <v>0</v>
      </c>
      <c r="K41" s="12">
        <v>49999.999980000001</v>
      </c>
      <c r="L41" s="12">
        <v>74999.999970000004</v>
      </c>
      <c r="M41" s="12">
        <v>0</v>
      </c>
      <c r="N41" s="12">
        <v>74999.999970000004</v>
      </c>
      <c r="O41" s="12">
        <v>49999.999980000001</v>
      </c>
      <c r="P41" s="12">
        <v>0</v>
      </c>
      <c r="Q41" s="12">
        <v>49999.999980000001</v>
      </c>
      <c r="R41" s="12">
        <v>37499.999985000002</v>
      </c>
      <c r="S41" s="12">
        <v>0</v>
      </c>
      <c r="T41" s="12">
        <v>37499.999985000002</v>
      </c>
      <c r="V41" s="12">
        <v>249999.9999</v>
      </c>
      <c r="W41" s="12">
        <v>0</v>
      </c>
      <c r="X41" s="13">
        <v>249999.9999</v>
      </c>
      <c r="Z41" s="12">
        <v>0</v>
      </c>
      <c r="AA41" s="12"/>
      <c r="AB41" s="13"/>
    </row>
    <row r="42" spans="2:36" s="42" customFormat="1" ht="18.600000000000001" thickBot="1" x14ac:dyDescent="0.4">
      <c r="B42" s="37" t="s">
        <v>67</v>
      </c>
      <c r="C42" s="38">
        <v>31784500.108024999</v>
      </c>
      <c r="D42" s="38">
        <v>31784499.865625001</v>
      </c>
      <c r="E42" s="38">
        <v>63568999.973650001</v>
      </c>
      <c r="F42" s="38">
        <v>6120425.5199849997</v>
      </c>
      <c r="G42" s="38">
        <v>2856546.5</v>
      </c>
      <c r="H42" s="38">
        <v>8976972.0199849997</v>
      </c>
      <c r="I42" s="38">
        <v>8713229.1899800003</v>
      </c>
      <c r="J42" s="38">
        <v>7014646</v>
      </c>
      <c r="K42" s="38">
        <v>15727875.189980002</v>
      </c>
      <c r="L42" s="38">
        <v>5628327.9099700004</v>
      </c>
      <c r="M42" s="38">
        <v>7727323</v>
      </c>
      <c r="N42" s="38">
        <v>13355650.90997</v>
      </c>
      <c r="O42" s="38">
        <v>6666880.5099799996</v>
      </c>
      <c r="P42" s="38">
        <v>7167992.25</v>
      </c>
      <c r="Q42" s="38">
        <v>13834872.759980001</v>
      </c>
      <c r="R42" s="38">
        <v>4655636.7499850001</v>
      </c>
      <c r="S42" s="38">
        <v>7017992.25</v>
      </c>
      <c r="T42" s="38">
        <v>11673628.999985</v>
      </c>
      <c r="U42" s="39"/>
      <c r="V42" s="40">
        <v>31784499.879900001</v>
      </c>
      <c r="W42" s="40">
        <v>31784500</v>
      </c>
      <c r="X42" s="41">
        <v>63568999.879900008</v>
      </c>
      <c r="Y42" s="39"/>
      <c r="Z42" s="40">
        <v>0.22812499850988388</v>
      </c>
      <c r="AA42" s="40">
        <v>-0.13437499850988388</v>
      </c>
      <c r="AB42" s="41">
        <v>9.3749992549419403E-2</v>
      </c>
      <c r="AC42" s="39"/>
      <c r="AD42" s="39"/>
      <c r="AE42" s="39"/>
      <c r="AF42" s="39"/>
    </row>
    <row r="45" spans="2:36" x14ac:dyDescent="0.25">
      <c r="D45" s="43"/>
    </row>
    <row r="46" spans="2:36" x14ac:dyDescent="0.25">
      <c r="C46" s="43">
        <v>31784500</v>
      </c>
      <c r="D46" s="43">
        <v>31784500</v>
      </c>
    </row>
    <row r="47" spans="2:36" x14ac:dyDescent="0.25">
      <c r="C47" s="43">
        <v>-0.10802499949932098</v>
      </c>
      <c r="D47" s="43">
        <v>0.13437499850988388</v>
      </c>
    </row>
    <row r="49" spans="2:9" x14ac:dyDescent="0.25">
      <c r="B49" s="44" t="s">
        <v>71</v>
      </c>
      <c r="C49" s="45" t="s">
        <v>72</v>
      </c>
      <c r="D49" s="45" t="s">
        <v>73</v>
      </c>
      <c r="E49" s="45" t="s">
        <v>74</v>
      </c>
      <c r="F49" s="45" t="s">
        <v>75</v>
      </c>
      <c r="G49" s="45" t="s">
        <v>76</v>
      </c>
      <c r="H49" s="45" t="s">
        <v>8</v>
      </c>
    </row>
    <row r="50" spans="2:9" x14ac:dyDescent="0.25">
      <c r="B50" s="46" t="s">
        <v>77</v>
      </c>
      <c r="C50" s="47">
        <f>+C51+C52</f>
        <v>1050000</v>
      </c>
      <c r="D50" s="47">
        <f t="shared" ref="D50:H50" si="0">+D51+D52</f>
        <v>1450000</v>
      </c>
      <c r="E50" s="47">
        <f t="shared" si="0"/>
        <v>0</v>
      </c>
      <c r="F50" s="47">
        <f t="shared" si="0"/>
        <v>0</v>
      </c>
      <c r="G50" s="47">
        <f t="shared" si="0"/>
        <v>0</v>
      </c>
      <c r="H50" s="47">
        <f t="shared" si="0"/>
        <v>2500000</v>
      </c>
    </row>
    <row r="51" spans="2:9" x14ac:dyDescent="0.25">
      <c r="B51" s="48" t="s">
        <v>78</v>
      </c>
      <c r="C51" s="49">
        <f>+H8</f>
        <v>750000</v>
      </c>
      <c r="D51" s="49">
        <f>+K8</f>
        <v>1000000</v>
      </c>
      <c r="E51" s="49">
        <v>0</v>
      </c>
      <c r="F51" s="49">
        <v>0</v>
      </c>
      <c r="G51" s="49">
        <v>0</v>
      </c>
      <c r="H51" s="49">
        <f>SUM(C51:G51)</f>
        <v>1750000</v>
      </c>
    </row>
    <row r="52" spans="2:9" x14ac:dyDescent="0.25">
      <c r="B52" s="48" t="s">
        <v>79</v>
      </c>
      <c r="C52" s="49">
        <f>+H9</f>
        <v>300000</v>
      </c>
      <c r="D52" s="49">
        <f>+K9</f>
        <v>450000</v>
      </c>
      <c r="E52" s="49">
        <v>0</v>
      </c>
      <c r="F52" s="49">
        <v>0</v>
      </c>
      <c r="G52" s="49">
        <v>0</v>
      </c>
      <c r="H52" s="49">
        <f>SUM(C52:G52)</f>
        <v>750000</v>
      </c>
    </row>
    <row r="53" spans="2:9" x14ac:dyDescent="0.25">
      <c r="B53" s="46" t="s">
        <v>80</v>
      </c>
      <c r="C53" s="47">
        <f>+C54+C55+C56+C57</f>
        <v>7275261.5</v>
      </c>
      <c r="D53" s="47">
        <f t="shared" ref="D53:H53" si="1">+D54+D55+D56+D57</f>
        <v>13319454.15</v>
      </c>
      <c r="E53" s="47">
        <f t="shared" si="1"/>
        <v>11998019.35</v>
      </c>
      <c r="F53" s="47">
        <f t="shared" si="1"/>
        <v>11771188.6</v>
      </c>
      <c r="G53" s="47">
        <f t="shared" si="1"/>
        <v>10205076.4</v>
      </c>
      <c r="H53" s="47">
        <f t="shared" si="1"/>
        <v>54569000</v>
      </c>
      <c r="I53" s="43"/>
    </row>
    <row r="54" spans="2:9" x14ac:dyDescent="0.25">
      <c r="B54" s="50" t="s">
        <v>81</v>
      </c>
      <c r="C54" s="49">
        <f>+H18+H12</f>
        <v>2806546.5</v>
      </c>
      <c r="D54" s="49">
        <f>+K18+K12+300000</f>
        <v>7489230.1500000004</v>
      </c>
      <c r="E54" s="49">
        <f>+N18+N12+300000+1500000</f>
        <v>5948019.3499999996</v>
      </c>
      <c r="F54" s="49">
        <f>+Q18+Q12+300000-750000</f>
        <v>1958688.6</v>
      </c>
      <c r="G54" s="49">
        <f>+T18+T12+550000-1350000</f>
        <v>1242576.3999999999</v>
      </c>
      <c r="H54" s="49">
        <f>SUM(C54:G54)</f>
        <v>19445061</v>
      </c>
    </row>
    <row r="55" spans="2:9" x14ac:dyDescent="0.25">
      <c r="B55" s="51" t="s">
        <v>82</v>
      </c>
      <c r="C55" s="49">
        <f>+H14</f>
        <v>725000</v>
      </c>
      <c r="D55" s="49">
        <f>+K15+K14</f>
        <v>800000</v>
      </c>
      <c r="E55" s="49">
        <f>+N14+N13</f>
        <v>500000</v>
      </c>
      <c r="F55" s="49">
        <f>+Q15+Q14</f>
        <v>2200000</v>
      </c>
      <c r="G55" s="49">
        <f>+T15+T14</f>
        <v>1462500</v>
      </c>
      <c r="H55" s="49">
        <f t="shared" ref="H55:H57" si="2">SUM(C55:G55)</f>
        <v>5687500</v>
      </c>
      <c r="I55" s="43"/>
    </row>
    <row r="56" spans="2:9" x14ac:dyDescent="0.25">
      <c r="B56" s="51" t="s">
        <v>83</v>
      </c>
      <c r="C56" s="49">
        <f>+H17+H16+H13+350000</f>
        <v>3743715</v>
      </c>
      <c r="D56" s="49">
        <f>+K17+K16-5000+255000</f>
        <v>5030224</v>
      </c>
      <c r="E56" s="49">
        <f>+N17+N16+N13+200000</f>
        <v>700000</v>
      </c>
      <c r="F56" s="49">
        <f>+Q17+Q16+Q13+250000</f>
        <v>812500</v>
      </c>
      <c r="G56" s="49">
        <f>+T17+T16+T13+250000</f>
        <v>750000</v>
      </c>
      <c r="H56" s="49">
        <f t="shared" si="2"/>
        <v>11036439</v>
      </c>
    </row>
    <row r="57" spans="2:9" x14ac:dyDescent="0.25">
      <c r="B57" s="51" t="s">
        <v>84</v>
      </c>
      <c r="C57" s="49">
        <f>+H20</f>
        <v>0</v>
      </c>
      <c r="D57" s="49">
        <f>+K20</f>
        <v>0</v>
      </c>
      <c r="E57" s="49">
        <f>+N20+250000+100000</f>
        <v>4850000</v>
      </c>
      <c r="F57" s="49">
        <f>+Q19+250000+1000000</f>
        <v>6800000</v>
      </c>
      <c r="G57" s="49">
        <f>+T20+250000+1000000</f>
        <v>6750000</v>
      </c>
      <c r="H57" s="49">
        <f t="shared" si="2"/>
        <v>18400000</v>
      </c>
    </row>
    <row r="58" spans="2:9" x14ac:dyDescent="0.25">
      <c r="B58" s="46" t="s">
        <v>85</v>
      </c>
      <c r="C58" s="47">
        <f>+C59+C60+C61+C62+C63+C64</f>
        <v>184210.52</v>
      </c>
      <c r="D58" s="47">
        <f t="shared" ref="D58:H58" si="3">+D59+D60+D61+D62+D63+D64</f>
        <v>368421.04</v>
      </c>
      <c r="E58" s="47">
        <f t="shared" si="3"/>
        <v>552631.56000000006</v>
      </c>
      <c r="F58" s="47">
        <f t="shared" si="3"/>
        <v>1473684.1600000001</v>
      </c>
      <c r="G58" s="47">
        <f t="shared" si="3"/>
        <v>921052.6</v>
      </c>
      <c r="H58" s="47">
        <f t="shared" si="3"/>
        <v>3499999.88</v>
      </c>
    </row>
    <row r="59" spans="2:9" x14ac:dyDescent="0.25">
      <c r="B59" s="51" t="s">
        <v>86</v>
      </c>
      <c r="C59" s="49">
        <f t="shared" ref="C59:C64" si="4">+H25</f>
        <v>184210.52</v>
      </c>
      <c r="D59" s="49">
        <f t="shared" ref="D59:D64" si="5">+K25</f>
        <v>368421.04</v>
      </c>
      <c r="E59" s="49"/>
      <c r="F59" s="49"/>
      <c r="G59" s="49"/>
      <c r="H59" s="49">
        <f>SUM(C59:G59)</f>
        <v>552631.55999999994</v>
      </c>
    </row>
    <row r="60" spans="2:9" x14ac:dyDescent="0.25">
      <c r="B60" s="50" t="s">
        <v>87</v>
      </c>
      <c r="C60" s="49">
        <f t="shared" si="4"/>
        <v>0</v>
      </c>
      <c r="D60" s="49">
        <f t="shared" si="5"/>
        <v>0</v>
      </c>
      <c r="E60" s="49">
        <f>+N26</f>
        <v>0</v>
      </c>
      <c r="F60" s="49">
        <f>+Q26</f>
        <v>360526.3</v>
      </c>
      <c r="G60" s="49">
        <f>+T26</f>
        <v>360526.3</v>
      </c>
      <c r="H60" s="49">
        <f t="shared" ref="H60:H69" si="6">SUM(C60:G60)</f>
        <v>721052.6</v>
      </c>
    </row>
    <row r="61" spans="2:9" x14ac:dyDescent="0.25">
      <c r="B61" s="51" t="s">
        <v>88</v>
      </c>
      <c r="C61" s="49">
        <f t="shared" si="4"/>
        <v>0</v>
      </c>
      <c r="D61" s="49">
        <f t="shared" si="5"/>
        <v>0</v>
      </c>
      <c r="E61" s="49">
        <f>+N27</f>
        <v>0</v>
      </c>
      <c r="F61" s="49">
        <f>+Q27</f>
        <v>360526.3</v>
      </c>
      <c r="G61" s="49">
        <f>+T27</f>
        <v>360526.3</v>
      </c>
      <c r="H61" s="49">
        <f t="shared" si="6"/>
        <v>721052.6</v>
      </c>
    </row>
    <row r="62" spans="2:9" x14ac:dyDescent="0.25">
      <c r="B62" s="52" t="s">
        <v>89</v>
      </c>
      <c r="C62" s="49">
        <f t="shared" si="4"/>
        <v>0</v>
      </c>
      <c r="D62" s="49">
        <f t="shared" si="5"/>
        <v>0</v>
      </c>
      <c r="E62" s="49">
        <f>+N28</f>
        <v>276315.78000000003</v>
      </c>
      <c r="F62" s="49">
        <f>+Q28</f>
        <v>276315.78000000003</v>
      </c>
      <c r="G62" s="49">
        <f>+T28</f>
        <v>0</v>
      </c>
      <c r="H62" s="49">
        <f t="shared" si="6"/>
        <v>552631.56000000006</v>
      </c>
    </row>
    <row r="63" spans="2:9" x14ac:dyDescent="0.25">
      <c r="B63" s="52" t="s">
        <v>90</v>
      </c>
      <c r="C63" s="49">
        <f t="shared" si="4"/>
        <v>0</v>
      </c>
      <c r="D63" s="49">
        <f t="shared" si="5"/>
        <v>0</v>
      </c>
      <c r="E63" s="49">
        <f>+N29</f>
        <v>276315.78000000003</v>
      </c>
      <c r="F63" s="49">
        <f>+Q29</f>
        <v>276315.78000000003</v>
      </c>
      <c r="G63" s="49">
        <f>+T29</f>
        <v>0</v>
      </c>
      <c r="H63" s="49">
        <f t="shared" si="6"/>
        <v>552631.56000000006</v>
      </c>
    </row>
    <row r="64" spans="2:9" ht="21.6" x14ac:dyDescent="0.25">
      <c r="B64" s="52" t="s">
        <v>91</v>
      </c>
      <c r="C64" s="49">
        <f t="shared" si="4"/>
        <v>0</v>
      </c>
      <c r="D64" s="49">
        <f t="shared" si="5"/>
        <v>0</v>
      </c>
      <c r="E64" s="49">
        <f>+N30</f>
        <v>0</v>
      </c>
      <c r="F64" s="49">
        <f>+Q30</f>
        <v>200000</v>
      </c>
      <c r="G64" s="49">
        <f>+T30</f>
        <v>200000</v>
      </c>
      <c r="H64" s="49">
        <f t="shared" si="6"/>
        <v>400000</v>
      </c>
    </row>
    <row r="65" spans="2:8" x14ac:dyDescent="0.25">
      <c r="B65" s="46" t="s">
        <v>57</v>
      </c>
      <c r="C65" s="47">
        <f>+C66+C67+C68+C69</f>
        <v>367499.999985</v>
      </c>
      <c r="D65" s="47">
        <f t="shared" ref="D65:G65" si="7">+D66+D67+D68+D69</f>
        <v>589999.99997999996</v>
      </c>
      <c r="E65" s="47">
        <f t="shared" si="7"/>
        <v>714999.99997</v>
      </c>
      <c r="F65" s="47">
        <f t="shared" si="7"/>
        <v>589999.99997999996</v>
      </c>
      <c r="G65" s="47">
        <f t="shared" si="7"/>
        <v>737499.999985</v>
      </c>
      <c r="H65" s="47">
        <f>+H66+H67+H68+H69</f>
        <v>2999999.9999000002</v>
      </c>
    </row>
    <row r="66" spans="2:8" x14ac:dyDescent="0.25">
      <c r="B66" s="51" t="s">
        <v>92</v>
      </c>
      <c r="C66" s="53">
        <f>+H36</f>
        <v>280000</v>
      </c>
      <c r="D66" s="53">
        <f>+K36</f>
        <v>540000</v>
      </c>
      <c r="E66" s="53">
        <f>+N36</f>
        <v>610000</v>
      </c>
      <c r="F66" s="53">
        <f>+Q36</f>
        <v>540000</v>
      </c>
      <c r="G66" s="53">
        <f>+T36</f>
        <v>430000</v>
      </c>
      <c r="H66" s="53">
        <f>SUM(C66:G66)</f>
        <v>2400000</v>
      </c>
    </row>
    <row r="67" spans="2:8" x14ac:dyDescent="0.25">
      <c r="B67" s="51" t="s">
        <v>93</v>
      </c>
      <c r="C67" s="53">
        <f>+H40</f>
        <v>37499.999985000002</v>
      </c>
      <c r="D67" s="53">
        <f>+K40</f>
        <v>49999.999980000001</v>
      </c>
      <c r="E67" s="53">
        <f>+N40</f>
        <v>74999.999970000004</v>
      </c>
      <c r="F67" s="53">
        <f>+Q40</f>
        <v>49999.999980000001</v>
      </c>
      <c r="G67" s="53">
        <f>+T40</f>
        <v>37499.999985000002</v>
      </c>
      <c r="H67" s="53">
        <f t="shared" ref="H67:H68" si="8">SUM(C67:G67)</f>
        <v>249999.9999</v>
      </c>
    </row>
    <row r="68" spans="2:8" x14ac:dyDescent="0.25">
      <c r="B68" s="51" t="s">
        <v>94</v>
      </c>
      <c r="C68" s="53">
        <v>0</v>
      </c>
      <c r="D68" s="53">
        <f>+K39</f>
        <v>0</v>
      </c>
      <c r="E68" s="53">
        <v>30000</v>
      </c>
      <c r="F68" s="53">
        <f>+Q39</f>
        <v>0</v>
      </c>
      <c r="G68" s="53">
        <v>220000</v>
      </c>
      <c r="H68" s="53">
        <f t="shared" si="8"/>
        <v>250000</v>
      </c>
    </row>
    <row r="69" spans="2:8" ht="21.6" x14ac:dyDescent="0.25">
      <c r="B69" s="52" t="s">
        <v>95</v>
      </c>
      <c r="C69" s="49">
        <v>50000</v>
      </c>
      <c r="D69" s="49">
        <v>0</v>
      </c>
      <c r="E69" s="49">
        <v>0</v>
      </c>
      <c r="F69" s="49">
        <v>0</v>
      </c>
      <c r="G69" s="49">
        <v>50000</v>
      </c>
      <c r="H69" s="49">
        <f t="shared" si="6"/>
        <v>100000</v>
      </c>
    </row>
    <row r="70" spans="2:8" x14ac:dyDescent="0.25">
      <c r="B70" s="54" t="s">
        <v>8</v>
      </c>
      <c r="C70" s="47">
        <f>+C58+C53+C50+C65</f>
        <v>8876972.0199849997</v>
      </c>
      <c r="D70" s="47">
        <f t="shared" ref="D70:G70" si="9">+D58+D53+D50+D65</f>
        <v>15727875.18998</v>
      </c>
      <c r="E70" s="47">
        <f t="shared" si="9"/>
        <v>13265650.90997</v>
      </c>
      <c r="F70" s="47">
        <f t="shared" si="9"/>
        <v>13834872.759980001</v>
      </c>
      <c r="G70" s="47">
        <f t="shared" si="9"/>
        <v>11863628.999985</v>
      </c>
      <c r="H70" s="47">
        <f>+H58+H53+H50+H65</f>
        <v>63568999.879900001</v>
      </c>
    </row>
    <row r="72" spans="2:8" x14ac:dyDescent="0.25">
      <c r="H72" s="43">
        <f>+H70-E42</f>
        <v>-9.375E-2</v>
      </c>
    </row>
  </sheetData>
  <mergeCells count="19">
    <mergeCell ref="Z2:AB2"/>
    <mergeCell ref="C3:C4"/>
    <mergeCell ref="D3:D4"/>
    <mergeCell ref="E3:E4"/>
    <mergeCell ref="R3:T3"/>
    <mergeCell ref="V3:X3"/>
    <mergeCell ref="Z3:AB3"/>
    <mergeCell ref="O3:Q3"/>
    <mergeCell ref="O2:Q2"/>
    <mergeCell ref="L3:N3"/>
    <mergeCell ref="L2:N2"/>
    <mergeCell ref="R2:T2"/>
    <mergeCell ref="V2:X2"/>
    <mergeCell ref="B2:B4"/>
    <mergeCell ref="F3:H3"/>
    <mergeCell ref="I3:K3"/>
    <mergeCell ref="F2:H2"/>
    <mergeCell ref="I2:K2"/>
    <mergeCell ref="C2:E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N46"/>
  <sheetViews>
    <sheetView tabSelected="1" workbookViewId="0">
      <selection activeCell="C5" sqref="C5"/>
    </sheetView>
  </sheetViews>
  <sheetFormatPr defaultColWidth="9.109375" defaultRowHeight="13.8" x14ac:dyDescent="0.25"/>
  <cols>
    <col min="1" max="1" width="0.5546875" style="59" customWidth="1"/>
    <col min="2" max="2" width="64.44140625" style="59" customWidth="1"/>
    <col min="3" max="5" width="16" style="59" customWidth="1"/>
    <col min="6" max="10" width="14.5546875" style="59" customWidth="1"/>
    <col min="11" max="11" width="16" style="59" customWidth="1"/>
    <col min="12" max="16384" width="9.109375" style="59"/>
  </cols>
  <sheetData>
    <row r="1" spans="2:14" ht="21.75" customHeight="1" x14ac:dyDescent="0.25">
      <c r="B1" s="55"/>
      <c r="C1" s="56"/>
      <c r="D1" s="57"/>
      <c r="E1" s="58"/>
      <c r="J1" s="59">
        <v>2019</v>
      </c>
    </row>
    <row r="2" spans="2:14" ht="13.95" customHeight="1" x14ac:dyDescent="0.25">
      <c r="B2" s="108" t="s">
        <v>0</v>
      </c>
      <c r="C2" s="109" t="s">
        <v>2</v>
      </c>
      <c r="D2" s="109"/>
      <c r="E2" s="109"/>
      <c r="F2" s="109" t="s">
        <v>3</v>
      </c>
      <c r="G2" s="109"/>
      <c r="H2" s="109"/>
      <c r="I2" s="109" t="s">
        <v>4</v>
      </c>
      <c r="J2" s="109"/>
      <c r="K2" s="109"/>
      <c r="L2" s="107" t="s">
        <v>70</v>
      </c>
      <c r="M2" s="107"/>
      <c r="N2" s="107"/>
    </row>
    <row r="3" spans="2:14" ht="13.95" customHeight="1" x14ac:dyDescent="0.25">
      <c r="B3" s="109"/>
      <c r="C3" s="109" t="s">
        <v>13</v>
      </c>
      <c r="D3" s="109" t="s">
        <v>14</v>
      </c>
      <c r="E3" s="109" t="s">
        <v>8</v>
      </c>
      <c r="F3" s="109" t="s">
        <v>15</v>
      </c>
      <c r="G3" s="109"/>
      <c r="H3" s="109"/>
      <c r="I3" s="109" t="s">
        <v>15</v>
      </c>
      <c r="J3" s="109"/>
      <c r="K3" s="109"/>
      <c r="L3" s="107" t="s">
        <v>13</v>
      </c>
      <c r="M3" s="107" t="s">
        <v>14</v>
      </c>
      <c r="N3" s="107" t="s">
        <v>8</v>
      </c>
    </row>
    <row r="4" spans="2:14" ht="27.75" customHeight="1" x14ac:dyDescent="0.25">
      <c r="B4" s="109"/>
      <c r="C4" s="109"/>
      <c r="D4" s="109"/>
      <c r="E4" s="109"/>
      <c r="F4" s="78" t="s">
        <v>13</v>
      </c>
      <c r="G4" s="78" t="s">
        <v>14</v>
      </c>
      <c r="H4" s="78" t="s">
        <v>16</v>
      </c>
      <c r="I4" s="78" t="s">
        <v>13</v>
      </c>
      <c r="J4" s="78" t="s">
        <v>14</v>
      </c>
      <c r="K4" s="78" t="s">
        <v>16</v>
      </c>
      <c r="L4" s="107"/>
      <c r="M4" s="107"/>
      <c r="N4" s="107"/>
    </row>
    <row r="5" spans="2:14" ht="14.4" x14ac:dyDescent="0.3">
      <c r="B5" s="60" t="s">
        <v>17</v>
      </c>
      <c r="C5" s="61">
        <f>'ORÇAMENTO US$'!C5</f>
        <v>2500000</v>
      </c>
      <c r="D5" s="61">
        <f>'ORÇAMENTO US$'!D5</f>
        <v>0</v>
      </c>
      <c r="E5" s="61">
        <f>'ORÇAMENTO US$'!E5</f>
        <v>2500000</v>
      </c>
      <c r="F5" s="61">
        <f>'ORÇAMENTO US$'!F5</f>
        <v>1050000</v>
      </c>
      <c r="G5" s="61">
        <f>'ORÇAMENTO US$'!G5</f>
        <v>0</v>
      </c>
      <c r="H5" s="61">
        <f>'ORÇAMENTO US$'!H5</f>
        <v>1050000</v>
      </c>
      <c r="I5" s="61">
        <f>'ORÇAMENTO US$'!I5/2</f>
        <v>725000</v>
      </c>
      <c r="J5" s="61">
        <f>'ORÇAMENTO US$'!J5/2</f>
        <v>0</v>
      </c>
      <c r="K5" s="61">
        <f>'ORÇAMENTO US$'!K5/2</f>
        <v>725000</v>
      </c>
      <c r="L5" s="79">
        <f>C5/$E5</f>
        <v>1</v>
      </c>
      <c r="M5" s="79">
        <f t="shared" ref="M5:N20" si="0">D5/$E5</f>
        <v>0</v>
      </c>
      <c r="N5" s="79">
        <f t="shared" si="0"/>
        <v>1</v>
      </c>
    </row>
    <row r="6" spans="2:14" s="62" customFormat="1" ht="14.4" x14ac:dyDescent="0.3">
      <c r="B6" s="60" t="s">
        <v>18</v>
      </c>
      <c r="C6" s="61">
        <f>'ORÇAMENTO US$'!C6</f>
        <v>2500000</v>
      </c>
      <c r="D6" s="61">
        <f>'ORÇAMENTO US$'!D6</f>
        <v>0</v>
      </c>
      <c r="E6" s="61">
        <f>'ORÇAMENTO US$'!E6</f>
        <v>2500000</v>
      </c>
      <c r="F6" s="61">
        <f>'ORÇAMENTO US$'!F6</f>
        <v>1050000</v>
      </c>
      <c r="G6" s="61">
        <f>'ORÇAMENTO US$'!G6</f>
        <v>0</v>
      </c>
      <c r="H6" s="61">
        <f>'ORÇAMENTO US$'!H6</f>
        <v>1050000</v>
      </c>
      <c r="I6" s="61">
        <f>'ORÇAMENTO US$'!I6/2</f>
        <v>725000</v>
      </c>
      <c r="J6" s="61">
        <f>'ORÇAMENTO US$'!J6/2</f>
        <v>0</v>
      </c>
      <c r="K6" s="61">
        <f>'ORÇAMENTO US$'!K6/2</f>
        <v>725000</v>
      </c>
      <c r="L6" s="79">
        <f t="shared" ref="L6:N42" si="1">C6/$E6</f>
        <v>1</v>
      </c>
      <c r="M6" s="79">
        <f t="shared" si="0"/>
        <v>0</v>
      </c>
      <c r="N6" s="79">
        <f t="shared" si="0"/>
        <v>1</v>
      </c>
    </row>
    <row r="7" spans="2:14" ht="14.4" x14ac:dyDescent="0.3">
      <c r="B7" s="63" t="s">
        <v>19</v>
      </c>
      <c r="C7" s="61">
        <f>'ORÇAMENTO US$'!C7</f>
        <v>2500000</v>
      </c>
      <c r="D7" s="61">
        <f>'ORÇAMENTO US$'!D7</f>
        <v>0</v>
      </c>
      <c r="E7" s="61">
        <f>'ORÇAMENTO US$'!E7</f>
        <v>2500000</v>
      </c>
      <c r="F7" s="61">
        <f>'ORÇAMENTO US$'!F7</f>
        <v>1050000</v>
      </c>
      <c r="G7" s="61">
        <f>'ORÇAMENTO US$'!G7</f>
        <v>0</v>
      </c>
      <c r="H7" s="61">
        <f>'ORÇAMENTO US$'!H7</f>
        <v>1050000</v>
      </c>
      <c r="I7" s="61">
        <f>'ORÇAMENTO US$'!I7/2</f>
        <v>725000</v>
      </c>
      <c r="J7" s="61">
        <f>'ORÇAMENTO US$'!J7/2</f>
        <v>0</v>
      </c>
      <c r="K7" s="61">
        <f>'ORÇAMENTO US$'!K7/2</f>
        <v>725000</v>
      </c>
      <c r="L7" s="79">
        <f t="shared" si="1"/>
        <v>1</v>
      </c>
      <c r="M7" s="79">
        <f t="shared" si="0"/>
        <v>0</v>
      </c>
      <c r="N7" s="79">
        <f t="shared" si="0"/>
        <v>1</v>
      </c>
    </row>
    <row r="8" spans="2:14" ht="14.4" x14ac:dyDescent="0.3">
      <c r="B8" s="64" t="s">
        <v>21</v>
      </c>
      <c r="C8" s="61">
        <f>'ORÇAMENTO US$'!C8</f>
        <v>1750000</v>
      </c>
      <c r="D8" s="61">
        <f>'ORÇAMENTO US$'!D8</f>
        <v>0</v>
      </c>
      <c r="E8" s="61">
        <f>'ORÇAMENTO US$'!E8</f>
        <v>1750000</v>
      </c>
      <c r="F8" s="61">
        <f>'ORÇAMENTO US$'!F8</f>
        <v>750000</v>
      </c>
      <c r="G8" s="61">
        <f>'ORÇAMENTO US$'!G8</f>
        <v>0</v>
      </c>
      <c r="H8" s="61">
        <f>'ORÇAMENTO US$'!H8</f>
        <v>750000</v>
      </c>
      <c r="I8" s="61">
        <f>'ORÇAMENTO US$'!I8/2</f>
        <v>500000</v>
      </c>
      <c r="J8" s="61">
        <f>'ORÇAMENTO US$'!J8/2</f>
        <v>0</v>
      </c>
      <c r="K8" s="61">
        <f>'ORÇAMENTO US$'!K8/2</f>
        <v>500000</v>
      </c>
      <c r="L8" s="79">
        <f t="shared" si="1"/>
        <v>1</v>
      </c>
      <c r="M8" s="79">
        <f t="shared" si="0"/>
        <v>0</v>
      </c>
      <c r="N8" s="79">
        <f t="shared" si="0"/>
        <v>1</v>
      </c>
    </row>
    <row r="9" spans="2:14" ht="14.4" x14ac:dyDescent="0.3">
      <c r="B9" s="64" t="s">
        <v>23</v>
      </c>
      <c r="C9" s="61">
        <f>'ORÇAMENTO US$'!C9</f>
        <v>750000</v>
      </c>
      <c r="D9" s="61">
        <f>'ORÇAMENTO US$'!D9</f>
        <v>0</v>
      </c>
      <c r="E9" s="61">
        <f>'ORÇAMENTO US$'!E9</f>
        <v>750000</v>
      </c>
      <c r="F9" s="61">
        <f>'ORÇAMENTO US$'!F9</f>
        <v>300000</v>
      </c>
      <c r="G9" s="61">
        <f>'ORÇAMENTO US$'!G9</f>
        <v>0</v>
      </c>
      <c r="H9" s="61">
        <f>'ORÇAMENTO US$'!H9</f>
        <v>300000</v>
      </c>
      <c r="I9" s="61">
        <f>'ORÇAMENTO US$'!I9/2</f>
        <v>225000</v>
      </c>
      <c r="J9" s="61">
        <f>'ORÇAMENTO US$'!J9/2</f>
        <v>0</v>
      </c>
      <c r="K9" s="61">
        <f>'ORÇAMENTO US$'!K9/2</f>
        <v>225000</v>
      </c>
      <c r="L9" s="79">
        <f t="shared" si="1"/>
        <v>1</v>
      </c>
      <c r="M9" s="79">
        <f t="shared" si="0"/>
        <v>0</v>
      </c>
      <c r="N9" s="79">
        <f t="shared" si="0"/>
        <v>1</v>
      </c>
    </row>
    <row r="10" spans="2:14" s="62" customFormat="1" ht="14.4" x14ac:dyDescent="0.3">
      <c r="B10" s="60" t="s">
        <v>24</v>
      </c>
      <c r="C10" s="61">
        <f>'ORÇAMENTO US$'!C10</f>
        <v>23304500.228125002</v>
      </c>
      <c r="D10" s="61">
        <f>'ORÇAMENTO US$'!D10</f>
        <v>30264499.865625001</v>
      </c>
      <c r="E10" s="61">
        <f>'ORÇAMENTO US$'!E10</f>
        <v>53569000.09375</v>
      </c>
      <c r="F10" s="61">
        <f>'ORÇAMENTO US$'!F10</f>
        <v>4518715</v>
      </c>
      <c r="G10" s="61">
        <f>'ORÇAMENTO US$'!G10</f>
        <v>2656546.5</v>
      </c>
      <c r="H10" s="61">
        <f>'ORÇAMENTO US$'!H10</f>
        <v>7175261.5</v>
      </c>
      <c r="I10" s="61">
        <f>'ORÇAMENTO US$'!I10/2</f>
        <v>3202404.0750000002</v>
      </c>
      <c r="J10" s="61">
        <f>'ORÇAMENTO US$'!J10/2</f>
        <v>3357323</v>
      </c>
      <c r="K10" s="61">
        <f>'ORÇAMENTO US$'!K10/2</f>
        <v>6559727.0750000002</v>
      </c>
      <c r="L10" s="79">
        <f t="shared" si="1"/>
        <v>0.43503705851033764</v>
      </c>
      <c r="M10" s="79">
        <f t="shared" si="0"/>
        <v>0.56496294148966242</v>
      </c>
      <c r="N10" s="79">
        <f t="shared" si="0"/>
        <v>1</v>
      </c>
    </row>
    <row r="11" spans="2:14" s="62" customFormat="1" ht="14.4" x14ac:dyDescent="0.3">
      <c r="B11" s="60" t="s">
        <v>25</v>
      </c>
      <c r="C11" s="61">
        <f>'ORÇAMENTO US$'!C11</f>
        <v>19254500.228125002</v>
      </c>
      <c r="D11" s="61">
        <f>'ORÇAMENTO US$'!D11</f>
        <v>16264499.865625</v>
      </c>
      <c r="E11" s="61">
        <f>'ORÇAMENTO US$'!E11</f>
        <v>35519000.09375</v>
      </c>
      <c r="F11" s="61">
        <f>'ORÇAMENTO US$'!F11</f>
        <v>4268715</v>
      </c>
      <c r="G11" s="61">
        <f>'ORÇAMENTO US$'!G11</f>
        <v>2656546.5</v>
      </c>
      <c r="H11" s="61">
        <f>'ORÇAMENTO US$'!H11</f>
        <v>6925261.5</v>
      </c>
      <c r="I11" s="61">
        <f>'ORÇAMENTO US$'!I11/2</f>
        <v>3027404.0750000002</v>
      </c>
      <c r="J11" s="61">
        <f>'ORÇAMENTO US$'!J11/2</f>
        <v>3357323</v>
      </c>
      <c r="K11" s="61">
        <f>'ORÇAMENTO US$'!K11/2</f>
        <v>6384727.0750000002</v>
      </c>
      <c r="L11" s="79">
        <f t="shared" si="1"/>
        <v>0.54209015392618176</v>
      </c>
      <c r="M11" s="79">
        <f t="shared" si="0"/>
        <v>0.45790984607381829</v>
      </c>
      <c r="N11" s="79">
        <f t="shared" si="0"/>
        <v>1</v>
      </c>
    </row>
    <row r="12" spans="2:14" ht="14.4" x14ac:dyDescent="0.3">
      <c r="B12" s="25" t="s">
        <v>27</v>
      </c>
      <c r="C12" s="61">
        <f>'ORÇAMENTO US$'!C12</f>
        <v>500000</v>
      </c>
      <c r="D12" s="61">
        <f>'ORÇAMENTO US$'!D12</f>
        <v>4477884.8656249996</v>
      </c>
      <c r="E12" s="61">
        <f>'ORÇAMENTO US$'!E12</f>
        <v>4977884.8656249996</v>
      </c>
      <c r="F12" s="61">
        <f>'ORÇAMENTO US$'!F12</f>
        <v>150000</v>
      </c>
      <c r="G12" s="61">
        <f>'ORÇAMENTO US$'!G12</f>
        <v>1477885</v>
      </c>
      <c r="H12" s="61">
        <f>'ORÇAMENTO US$'!H12</f>
        <v>1627885</v>
      </c>
      <c r="I12" s="61">
        <f>'ORÇAMENTO US$'!I12/2</f>
        <v>100000</v>
      </c>
      <c r="J12" s="61">
        <f>'ORÇAMENTO US$'!J12/2</f>
        <v>1000000</v>
      </c>
      <c r="K12" s="61">
        <f>'ORÇAMENTO US$'!K12/2</f>
        <v>1100000</v>
      </c>
      <c r="L12" s="79">
        <f t="shared" si="1"/>
        <v>0.10044426769545671</v>
      </c>
      <c r="M12" s="79">
        <f t="shared" si="0"/>
        <v>0.89955573230454333</v>
      </c>
      <c r="N12" s="79">
        <f t="shared" si="0"/>
        <v>1</v>
      </c>
    </row>
    <row r="13" spans="2:14" ht="14.4" x14ac:dyDescent="0.3">
      <c r="B13" s="25" t="s">
        <v>28</v>
      </c>
      <c r="C13" s="61">
        <f>'ORÇAMENTO US$'!C13</f>
        <v>1562500</v>
      </c>
      <c r="D13" s="61">
        <f>'ORÇAMENTO US$'!D13</f>
        <v>0</v>
      </c>
      <c r="E13" s="61">
        <f>'ORÇAMENTO US$'!E13</f>
        <v>1562500</v>
      </c>
      <c r="F13" s="61">
        <f>'ORÇAMENTO US$'!F13</f>
        <v>0</v>
      </c>
      <c r="G13" s="61">
        <f>'ORÇAMENTO US$'!G13</f>
        <v>0</v>
      </c>
      <c r="H13" s="61">
        <f>'ORÇAMENTO US$'!H13</f>
        <v>0</v>
      </c>
      <c r="I13" s="61">
        <f>'ORÇAMENTO US$'!I13/2</f>
        <v>0</v>
      </c>
      <c r="J13" s="61">
        <f>'ORÇAMENTO US$'!J13/2</f>
        <v>0</v>
      </c>
      <c r="K13" s="61">
        <f>'ORÇAMENTO US$'!K13/2</f>
        <v>0</v>
      </c>
      <c r="L13" s="79">
        <f t="shared" si="1"/>
        <v>1</v>
      </c>
      <c r="M13" s="79">
        <f t="shared" si="0"/>
        <v>0</v>
      </c>
      <c r="N13" s="79">
        <f t="shared" si="0"/>
        <v>1</v>
      </c>
    </row>
    <row r="14" spans="2:14" ht="14.4" x14ac:dyDescent="0.3">
      <c r="B14" s="25" t="s">
        <v>29</v>
      </c>
      <c r="C14" s="61">
        <f>'ORÇAMENTO US$'!C14</f>
        <v>1875000</v>
      </c>
      <c r="D14" s="61">
        <f>'ORÇAMENTO US$'!D14</f>
        <v>0</v>
      </c>
      <c r="E14" s="61">
        <f>'ORÇAMENTO US$'!E14</f>
        <v>1875000</v>
      </c>
      <c r="F14" s="61">
        <f>'ORÇAMENTO US$'!F14</f>
        <v>725000</v>
      </c>
      <c r="G14" s="61">
        <f>'ORÇAMENTO US$'!G14</f>
        <v>0</v>
      </c>
      <c r="H14" s="61">
        <f>'ORÇAMENTO US$'!H14</f>
        <v>725000</v>
      </c>
      <c r="I14" s="61">
        <f>'ORÇAMENTO US$'!I14/2</f>
        <v>400000</v>
      </c>
      <c r="J14" s="61">
        <f>'ORÇAMENTO US$'!J14/2</f>
        <v>0</v>
      </c>
      <c r="K14" s="61">
        <f>'ORÇAMENTO US$'!K14/2</f>
        <v>400000</v>
      </c>
      <c r="L14" s="79">
        <f t="shared" si="1"/>
        <v>1</v>
      </c>
      <c r="M14" s="79">
        <f t="shared" si="0"/>
        <v>0</v>
      </c>
      <c r="N14" s="79">
        <f t="shared" si="0"/>
        <v>1</v>
      </c>
    </row>
    <row r="15" spans="2:14" ht="14.4" x14ac:dyDescent="0.3">
      <c r="B15" s="25" t="s">
        <v>30</v>
      </c>
      <c r="C15" s="61">
        <f>'ORÇAMENTO US$'!C15</f>
        <v>5312500</v>
      </c>
      <c r="D15" s="61">
        <f>'ORÇAMENTO US$'!D15</f>
        <v>0</v>
      </c>
      <c r="E15" s="61">
        <f>'ORÇAMENTO US$'!E15</f>
        <v>5312500</v>
      </c>
      <c r="F15" s="61">
        <f>'ORÇAMENTO US$'!F15</f>
        <v>0</v>
      </c>
      <c r="G15" s="61">
        <f>'ORÇAMENTO US$'!G15</f>
        <v>0</v>
      </c>
      <c r="H15" s="61">
        <f>'ORÇAMENTO US$'!H15</f>
        <v>0</v>
      </c>
      <c r="I15" s="61">
        <f>'ORÇAMENTO US$'!I15/2</f>
        <v>0</v>
      </c>
      <c r="J15" s="61">
        <f>'ORÇAMENTO US$'!J15/2</f>
        <v>0</v>
      </c>
      <c r="K15" s="61">
        <f>'ORÇAMENTO US$'!K15/2</f>
        <v>0</v>
      </c>
      <c r="L15" s="79">
        <f t="shared" si="1"/>
        <v>1</v>
      </c>
      <c r="M15" s="79">
        <f t="shared" si="0"/>
        <v>0</v>
      </c>
      <c r="N15" s="79">
        <f t="shared" si="0"/>
        <v>1</v>
      </c>
    </row>
    <row r="16" spans="2:14" ht="14.4" x14ac:dyDescent="0.3">
      <c r="B16" s="25" t="s">
        <v>31</v>
      </c>
      <c r="C16" s="61">
        <f>'ORÇAMENTO US$'!C16</f>
        <v>7380223.9406249998</v>
      </c>
      <c r="D16" s="61">
        <f>'ORÇAMENTO US$'!D16</f>
        <v>0</v>
      </c>
      <c r="E16" s="61">
        <f>'ORÇAMENTO US$'!E16</f>
        <v>7380223.9406249998</v>
      </c>
      <c r="F16" s="61">
        <f>'ORÇAMENTO US$'!F16</f>
        <v>3000000</v>
      </c>
      <c r="G16" s="61">
        <f>'ORÇAMENTO US$'!G16</f>
        <v>0</v>
      </c>
      <c r="H16" s="61">
        <f>'ORÇAMENTO US$'!H16</f>
        <v>3000000</v>
      </c>
      <c r="I16" s="61">
        <f>'ORÇAMENTO US$'!I16/2</f>
        <v>2190112</v>
      </c>
      <c r="J16" s="61">
        <f>'ORÇAMENTO US$'!J16/2</f>
        <v>0</v>
      </c>
      <c r="K16" s="61">
        <f>'ORÇAMENTO US$'!K16/2</f>
        <v>2190112</v>
      </c>
      <c r="L16" s="79">
        <f t="shared" si="1"/>
        <v>1</v>
      </c>
      <c r="M16" s="79">
        <f t="shared" si="0"/>
        <v>0</v>
      </c>
      <c r="N16" s="79">
        <f t="shared" si="0"/>
        <v>1</v>
      </c>
    </row>
    <row r="17" spans="2:14" ht="14.4" x14ac:dyDescent="0.3">
      <c r="B17" s="25" t="s">
        <v>32</v>
      </c>
      <c r="C17" s="61">
        <f>'ORÇAMENTO US$'!C17</f>
        <v>793715.28749999998</v>
      </c>
      <c r="D17" s="61">
        <f>'ORÇAMENTO US$'!D17</f>
        <v>0</v>
      </c>
      <c r="E17" s="61">
        <f>'ORÇAMENTO US$'!E17</f>
        <v>793715.28749999998</v>
      </c>
      <c r="F17" s="61">
        <f>'ORÇAMENTO US$'!F17</f>
        <v>393715</v>
      </c>
      <c r="G17" s="61">
        <f>'ORÇAMENTO US$'!G17</f>
        <v>0</v>
      </c>
      <c r="H17" s="61">
        <f>'ORÇAMENTO US$'!H17</f>
        <v>393715</v>
      </c>
      <c r="I17" s="61">
        <f>'ORÇAMENTO US$'!I17/2</f>
        <v>200000</v>
      </c>
      <c r="J17" s="61">
        <f>'ORÇAMENTO US$'!J17/2</f>
        <v>0</v>
      </c>
      <c r="K17" s="61">
        <f>'ORÇAMENTO US$'!K17/2</f>
        <v>200000</v>
      </c>
      <c r="L17" s="79">
        <f t="shared" si="1"/>
        <v>1</v>
      </c>
      <c r="M17" s="79">
        <f t="shared" si="0"/>
        <v>0</v>
      </c>
      <c r="N17" s="79">
        <f t="shared" si="0"/>
        <v>1</v>
      </c>
    </row>
    <row r="18" spans="2:14" ht="14.4" x14ac:dyDescent="0.3">
      <c r="B18" s="63" t="s">
        <v>34</v>
      </c>
      <c r="C18" s="61">
        <f>'ORÇAMENTO US$'!C18</f>
        <v>1830561</v>
      </c>
      <c r="D18" s="61">
        <f>'ORÇAMENTO US$'!D18</f>
        <v>11786615</v>
      </c>
      <c r="E18" s="61">
        <f>'ORÇAMENTO US$'!E18</f>
        <v>13617176</v>
      </c>
      <c r="F18" s="61">
        <f>'ORÇAMENTO US$'!F18</f>
        <v>0</v>
      </c>
      <c r="G18" s="61">
        <f>'ORÇAMENTO US$'!G18</f>
        <v>1178661.5</v>
      </c>
      <c r="H18" s="61">
        <f>'ORÇAMENTO US$'!H18</f>
        <v>1178661.5</v>
      </c>
      <c r="I18" s="61">
        <f>'ORÇAMENTO US$'!I18/2</f>
        <v>137292.07499999998</v>
      </c>
      <c r="J18" s="61">
        <f>'ORÇAMENTO US$'!J18/2</f>
        <v>2357323</v>
      </c>
      <c r="K18" s="61">
        <f>'ORÇAMENTO US$'!K18/2</f>
        <v>2494615.0750000002</v>
      </c>
      <c r="L18" s="79">
        <f t="shared" si="1"/>
        <v>0.134430295973262</v>
      </c>
      <c r="M18" s="79">
        <f t="shared" si="0"/>
        <v>0.86556970402673805</v>
      </c>
      <c r="N18" s="79">
        <f t="shared" si="0"/>
        <v>1</v>
      </c>
    </row>
    <row r="19" spans="2:14" s="62" customFormat="1" ht="14.4" x14ac:dyDescent="0.3">
      <c r="B19" s="60" t="s">
        <v>35</v>
      </c>
      <c r="C19" s="61">
        <f>'ORÇAMENTO US$'!C19</f>
        <v>1550000</v>
      </c>
      <c r="D19" s="61">
        <f>'ORÇAMENTO US$'!D19</f>
        <v>14000000</v>
      </c>
      <c r="E19" s="61">
        <f>'ORÇAMENTO US$'!E19</f>
        <v>15550000</v>
      </c>
      <c r="F19" s="61">
        <f>'ORÇAMENTO US$'!F19</f>
        <v>0</v>
      </c>
      <c r="G19" s="61">
        <f>'ORÇAMENTO US$'!G19</f>
        <v>0</v>
      </c>
      <c r="H19" s="61">
        <f>'ORÇAMENTO US$'!H19</f>
        <v>0</v>
      </c>
      <c r="I19" s="61">
        <f>'ORÇAMENTO US$'!I19/2</f>
        <v>0</v>
      </c>
      <c r="J19" s="61">
        <f>'ORÇAMENTO US$'!J19/2</f>
        <v>0</v>
      </c>
      <c r="K19" s="61">
        <f>'ORÇAMENTO US$'!K19/2</f>
        <v>0</v>
      </c>
      <c r="L19" s="79">
        <f t="shared" si="1"/>
        <v>9.9678456591639875E-2</v>
      </c>
      <c r="M19" s="79">
        <f t="shared" si="0"/>
        <v>0.90032154340836013</v>
      </c>
      <c r="N19" s="79">
        <f t="shared" si="0"/>
        <v>1</v>
      </c>
    </row>
    <row r="20" spans="2:14" ht="14.4" x14ac:dyDescent="0.3">
      <c r="B20" s="63" t="s">
        <v>37</v>
      </c>
      <c r="C20" s="61">
        <f>'ORÇAMENTO US$'!C20</f>
        <v>1550000</v>
      </c>
      <c r="D20" s="61">
        <f>'ORÇAMENTO US$'!D20</f>
        <v>14000000</v>
      </c>
      <c r="E20" s="61">
        <f>'ORÇAMENTO US$'!E20</f>
        <v>15550000</v>
      </c>
      <c r="F20" s="61">
        <f>'ORÇAMENTO US$'!F20</f>
        <v>0</v>
      </c>
      <c r="G20" s="61">
        <f>'ORÇAMENTO US$'!G20</f>
        <v>0</v>
      </c>
      <c r="H20" s="61">
        <f>'ORÇAMENTO US$'!H20</f>
        <v>0</v>
      </c>
      <c r="I20" s="61">
        <f>'ORÇAMENTO US$'!I20/2</f>
        <v>0</v>
      </c>
      <c r="J20" s="61">
        <f>'ORÇAMENTO US$'!J20/2</f>
        <v>0</v>
      </c>
      <c r="K20" s="61">
        <f>'ORÇAMENTO US$'!K20/2</f>
        <v>0</v>
      </c>
      <c r="L20" s="79">
        <f t="shared" si="1"/>
        <v>9.9678456591639875E-2</v>
      </c>
      <c r="M20" s="79">
        <f t="shared" si="0"/>
        <v>0.90032154340836013</v>
      </c>
      <c r="N20" s="79">
        <f t="shared" si="0"/>
        <v>1</v>
      </c>
    </row>
    <row r="21" spans="2:14" s="62" customFormat="1" ht="14.4" x14ac:dyDescent="0.3">
      <c r="B21" s="60" t="s">
        <v>38</v>
      </c>
      <c r="C21" s="61">
        <f>'ORÇAMENTO US$'!C21</f>
        <v>2500000</v>
      </c>
      <c r="D21" s="61">
        <f>'ORÇAMENTO US$'!D21</f>
        <v>0</v>
      </c>
      <c r="E21" s="61">
        <f>'ORÇAMENTO US$'!E21</f>
        <v>2500000</v>
      </c>
      <c r="F21" s="61">
        <f>'ORÇAMENTO US$'!F21</f>
        <v>250000</v>
      </c>
      <c r="G21" s="61">
        <f>'ORÇAMENTO US$'!G21</f>
        <v>0</v>
      </c>
      <c r="H21" s="61">
        <f>'ORÇAMENTO US$'!H21</f>
        <v>250000</v>
      </c>
      <c r="I21" s="61">
        <f>'ORÇAMENTO US$'!I21/2</f>
        <v>175000</v>
      </c>
      <c r="J21" s="61">
        <f>'ORÇAMENTO US$'!J21/2</f>
        <v>0</v>
      </c>
      <c r="K21" s="61">
        <f>'ORÇAMENTO US$'!K21/2</f>
        <v>175000</v>
      </c>
      <c r="L21" s="79">
        <f t="shared" si="1"/>
        <v>1</v>
      </c>
      <c r="M21" s="79">
        <f t="shared" si="1"/>
        <v>0</v>
      </c>
      <c r="N21" s="79">
        <f t="shared" si="1"/>
        <v>1</v>
      </c>
    </row>
    <row r="22" spans="2:14" ht="14.4" x14ac:dyDescent="0.3">
      <c r="B22" s="64" t="s">
        <v>39</v>
      </c>
      <c r="C22" s="61">
        <f>'ORÇAMENTO US$'!C22</f>
        <v>2500000</v>
      </c>
      <c r="D22" s="61">
        <f>'ORÇAMENTO US$'!D22</f>
        <v>0</v>
      </c>
      <c r="E22" s="61">
        <f>'ORÇAMENTO US$'!E22</f>
        <v>2500000</v>
      </c>
      <c r="F22" s="61">
        <f>'ORÇAMENTO US$'!F22</f>
        <v>250000</v>
      </c>
      <c r="G22" s="61">
        <f>'ORÇAMENTO US$'!G22</f>
        <v>0</v>
      </c>
      <c r="H22" s="61">
        <f>'ORÇAMENTO US$'!H22</f>
        <v>250000</v>
      </c>
      <c r="I22" s="61">
        <f>'ORÇAMENTO US$'!I22/2</f>
        <v>175000</v>
      </c>
      <c r="J22" s="61">
        <f>'ORÇAMENTO US$'!J22/2</f>
        <v>0</v>
      </c>
      <c r="K22" s="61">
        <f>'ORÇAMENTO US$'!K22/2</f>
        <v>175000</v>
      </c>
      <c r="L22" s="79">
        <f t="shared" si="1"/>
        <v>1</v>
      </c>
      <c r="M22" s="79">
        <f t="shared" si="1"/>
        <v>0</v>
      </c>
      <c r="N22" s="79">
        <f t="shared" si="1"/>
        <v>1</v>
      </c>
    </row>
    <row r="23" spans="2:14" ht="14.4" x14ac:dyDescent="0.3">
      <c r="B23" s="60" t="s">
        <v>40</v>
      </c>
      <c r="C23" s="61">
        <f>'ORÇAMENTO US$'!C23</f>
        <v>3499999.88</v>
      </c>
      <c r="D23" s="61">
        <f>'ORÇAMENTO US$'!D23</f>
        <v>0</v>
      </c>
      <c r="E23" s="61">
        <f>'ORÇAMENTO US$'!E23</f>
        <v>3499999.88</v>
      </c>
      <c r="F23" s="61">
        <f>'ORÇAMENTO US$'!F23</f>
        <v>184210.52</v>
      </c>
      <c r="G23" s="61">
        <f>'ORÇAMENTO US$'!G23</f>
        <v>0</v>
      </c>
      <c r="H23" s="61">
        <f>'ORÇAMENTO US$'!H23</f>
        <v>184210.52</v>
      </c>
      <c r="I23" s="61">
        <f>'ORÇAMENTO US$'!I23/2</f>
        <v>184210.52</v>
      </c>
      <c r="J23" s="61">
        <f>'ORÇAMENTO US$'!J23/2</f>
        <v>0</v>
      </c>
      <c r="K23" s="61">
        <f>'ORÇAMENTO US$'!K23/2</f>
        <v>184210.52</v>
      </c>
      <c r="L23" s="79">
        <f t="shared" si="1"/>
        <v>1</v>
      </c>
      <c r="M23" s="79">
        <f t="shared" si="1"/>
        <v>0</v>
      </c>
      <c r="N23" s="79">
        <f t="shared" si="1"/>
        <v>1</v>
      </c>
    </row>
    <row r="24" spans="2:14" ht="14.4" x14ac:dyDescent="0.3">
      <c r="B24" s="60" t="s">
        <v>41</v>
      </c>
      <c r="C24" s="61">
        <f>'ORÇAMENTO US$'!C24</f>
        <v>3499999.88</v>
      </c>
      <c r="D24" s="61">
        <f>'ORÇAMENTO US$'!D24</f>
        <v>0</v>
      </c>
      <c r="E24" s="61">
        <f>'ORÇAMENTO US$'!E24</f>
        <v>3499999.88</v>
      </c>
      <c r="F24" s="61">
        <f>'ORÇAMENTO US$'!F24</f>
        <v>184210.52</v>
      </c>
      <c r="G24" s="61">
        <f>'ORÇAMENTO US$'!G24</f>
        <v>0</v>
      </c>
      <c r="H24" s="61">
        <f>'ORÇAMENTO US$'!H24</f>
        <v>184210.52</v>
      </c>
      <c r="I24" s="61">
        <f>'ORÇAMENTO US$'!I24/2</f>
        <v>184210.52</v>
      </c>
      <c r="J24" s="61">
        <f>'ORÇAMENTO US$'!J24/2</f>
        <v>0</v>
      </c>
      <c r="K24" s="61">
        <f>'ORÇAMENTO US$'!K24/2</f>
        <v>184210.52</v>
      </c>
      <c r="L24" s="79">
        <f t="shared" si="1"/>
        <v>1</v>
      </c>
      <c r="M24" s="79">
        <f t="shared" si="1"/>
        <v>0</v>
      </c>
      <c r="N24" s="79">
        <f t="shared" si="1"/>
        <v>1</v>
      </c>
    </row>
    <row r="25" spans="2:14" s="62" customFormat="1" ht="41.4" x14ac:dyDescent="0.3">
      <c r="B25" s="80" t="s">
        <v>43</v>
      </c>
      <c r="C25" s="61">
        <f>'ORÇAMENTO US$'!C25</f>
        <v>552631.55999999994</v>
      </c>
      <c r="D25" s="61">
        <f>'ORÇAMENTO US$'!D25</f>
        <v>0</v>
      </c>
      <c r="E25" s="61">
        <f>'ORÇAMENTO US$'!E25</f>
        <v>552631.55999999994</v>
      </c>
      <c r="F25" s="61">
        <f>'ORÇAMENTO US$'!F25</f>
        <v>184210.52</v>
      </c>
      <c r="G25" s="61">
        <f>'ORÇAMENTO US$'!G25</f>
        <v>0</v>
      </c>
      <c r="H25" s="61">
        <f>'ORÇAMENTO US$'!H25</f>
        <v>184210.52</v>
      </c>
      <c r="I25" s="61">
        <f>'ORÇAMENTO US$'!I25/2</f>
        <v>184210.52</v>
      </c>
      <c r="J25" s="61">
        <f>'ORÇAMENTO US$'!J25/2</f>
        <v>0</v>
      </c>
      <c r="K25" s="61">
        <f>'ORÇAMENTO US$'!K25/2</f>
        <v>184210.52</v>
      </c>
      <c r="L25" s="79">
        <f t="shared" si="1"/>
        <v>1</v>
      </c>
      <c r="M25" s="79">
        <f t="shared" si="1"/>
        <v>0</v>
      </c>
      <c r="N25" s="79">
        <f t="shared" si="1"/>
        <v>1</v>
      </c>
    </row>
    <row r="26" spans="2:14" s="62" customFormat="1" ht="14.4" x14ac:dyDescent="0.3">
      <c r="B26" s="80" t="s">
        <v>45</v>
      </c>
      <c r="C26" s="61">
        <f>'ORÇAMENTO US$'!C26</f>
        <v>721052.6</v>
      </c>
      <c r="D26" s="61">
        <f>'ORÇAMENTO US$'!D26</f>
        <v>0</v>
      </c>
      <c r="E26" s="61">
        <f>'ORÇAMENTO US$'!E26</f>
        <v>721052.6</v>
      </c>
      <c r="F26" s="61">
        <f>'ORÇAMENTO US$'!F26</f>
        <v>0</v>
      </c>
      <c r="G26" s="61">
        <f>'ORÇAMENTO US$'!G26</f>
        <v>0</v>
      </c>
      <c r="H26" s="61">
        <f>'ORÇAMENTO US$'!H26</f>
        <v>0</v>
      </c>
      <c r="I26" s="61">
        <f>'ORÇAMENTO US$'!I26/2</f>
        <v>0</v>
      </c>
      <c r="J26" s="61">
        <f>'ORÇAMENTO US$'!J26/2</f>
        <v>0</v>
      </c>
      <c r="K26" s="61">
        <f>'ORÇAMENTO US$'!K26/2</f>
        <v>0</v>
      </c>
      <c r="L26" s="79">
        <f t="shared" si="1"/>
        <v>1</v>
      </c>
      <c r="M26" s="79">
        <f t="shared" si="1"/>
        <v>0</v>
      </c>
      <c r="N26" s="79">
        <f t="shared" si="1"/>
        <v>1</v>
      </c>
    </row>
    <row r="27" spans="2:14" s="62" customFormat="1" ht="14.4" x14ac:dyDescent="0.3">
      <c r="B27" s="80" t="s">
        <v>47</v>
      </c>
      <c r="C27" s="61">
        <f>'ORÇAMENTO US$'!C27</f>
        <v>721052.6</v>
      </c>
      <c r="D27" s="61">
        <f>'ORÇAMENTO US$'!D27</f>
        <v>0</v>
      </c>
      <c r="E27" s="61">
        <f>'ORÇAMENTO US$'!E27</f>
        <v>721052.6</v>
      </c>
      <c r="F27" s="61">
        <f>'ORÇAMENTO US$'!F27</f>
        <v>0</v>
      </c>
      <c r="G27" s="61">
        <f>'ORÇAMENTO US$'!G27</f>
        <v>0</v>
      </c>
      <c r="H27" s="61">
        <f>'ORÇAMENTO US$'!H27</f>
        <v>0</v>
      </c>
      <c r="I27" s="61">
        <f>'ORÇAMENTO US$'!I27/2</f>
        <v>0</v>
      </c>
      <c r="J27" s="61">
        <f>'ORÇAMENTO US$'!J27/2</f>
        <v>0</v>
      </c>
      <c r="K27" s="61">
        <f>'ORÇAMENTO US$'!K27/2</f>
        <v>0</v>
      </c>
      <c r="L27" s="79">
        <f t="shared" si="1"/>
        <v>1</v>
      </c>
      <c r="M27" s="79">
        <f t="shared" si="1"/>
        <v>0</v>
      </c>
      <c r="N27" s="79">
        <f t="shared" si="1"/>
        <v>1</v>
      </c>
    </row>
    <row r="28" spans="2:14" s="62" customFormat="1" ht="27.6" x14ac:dyDescent="0.3">
      <c r="B28" s="81" t="s">
        <v>49</v>
      </c>
      <c r="C28" s="61">
        <f>'ORÇAMENTO US$'!C28</f>
        <v>552631.56000000006</v>
      </c>
      <c r="D28" s="61">
        <f>'ORÇAMENTO US$'!D28</f>
        <v>0</v>
      </c>
      <c r="E28" s="61">
        <f>'ORÇAMENTO US$'!E28</f>
        <v>552631.56000000006</v>
      </c>
      <c r="F28" s="61">
        <f>'ORÇAMENTO US$'!F28</f>
        <v>0</v>
      </c>
      <c r="G28" s="61">
        <f>'ORÇAMENTO US$'!G28</f>
        <v>0</v>
      </c>
      <c r="H28" s="61">
        <f>'ORÇAMENTO US$'!H28</f>
        <v>0</v>
      </c>
      <c r="I28" s="61">
        <f>'ORÇAMENTO US$'!I28/2</f>
        <v>0</v>
      </c>
      <c r="J28" s="61">
        <f>'ORÇAMENTO US$'!J28/2</f>
        <v>0</v>
      </c>
      <c r="K28" s="61">
        <f>'ORÇAMENTO US$'!K28/2</f>
        <v>0</v>
      </c>
      <c r="L28" s="79">
        <f t="shared" si="1"/>
        <v>1</v>
      </c>
      <c r="M28" s="79">
        <f t="shared" si="1"/>
        <v>0</v>
      </c>
      <c r="N28" s="79">
        <f t="shared" si="1"/>
        <v>1</v>
      </c>
    </row>
    <row r="29" spans="2:14" s="62" customFormat="1" ht="14.4" x14ac:dyDescent="0.3">
      <c r="B29" s="81" t="s">
        <v>51</v>
      </c>
      <c r="C29" s="61">
        <f>'ORÇAMENTO US$'!C29</f>
        <v>552631.56000000006</v>
      </c>
      <c r="D29" s="61">
        <f>'ORÇAMENTO US$'!D29</f>
        <v>0</v>
      </c>
      <c r="E29" s="61">
        <f>'ORÇAMENTO US$'!E29</f>
        <v>552631.56000000006</v>
      </c>
      <c r="F29" s="61">
        <f>'ORÇAMENTO US$'!F29</f>
        <v>0</v>
      </c>
      <c r="G29" s="61">
        <f>'ORÇAMENTO US$'!G29</f>
        <v>0</v>
      </c>
      <c r="H29" s="61">
        <f>'ORÇAMENTO US$'!H29</f>
        <v>0</v>
      </c>
      <c r="I29" s="61">
        <f>'ORÇAMENTO US$'!I29/2</f>
        <v>0</v>
      </c>
      <c r="J29" s="61">
        <f>'ORÇAMENTO US$'!J29/2</f>
        <v>0</v>
      </c>
      <c r="K29" s="61">
        <f>'ORÇAMENTO US$'!K29/2</f>
        <v>0</v>
      </c>
      <c r="L29" s="79"/>
      <c r="M29" s="79"/>
      <c r="N29" s="79"/>
    </row>
    <row r="30" spans="2:14" s="62" customFormat="1" ht="27.6" x14ac:dyDescent="0.3">
      <c r="B30" s="81" t="s">
        <v>53</v>
      </c>
      <c r="C30" s="61">
        <f>'ORÇAMENTO US$'!C30</f>
        <v>400000</v>
      </c>
      <c r="D30" s="61">
        <f>'ORÇAMENTO US$'!D30</f>
        <v>0</v>
      </c>
      <c r="E30" s="61">
        <f>'ORÇAMENTO US$'!E30</f>
        <v>400000</v>
      </c>
      <c r="F30" s="61">
        <f>'ORÇAMENTO US$'!F30</f>
        <v>0</v>
      </c>
      <c r="G30" s="61">
        <f>'ORÇAMENTO US$'!G30</f>
        <v>0</v>
      </c>
      <c r="H30" s="61">
        <f>'ORÇAMENTO US$'!H30</f>
        <v>0</v>
      </c>
      <c r="I30" s="61">
        <f>'ORÇAMENTO US$'!I30/2</f>
        <v>0</v>
      </c>
      <c r="J30" s="61">
        <f>'ORÇAMENTO US$'!J30/2</f>
        <v>0</v>
      </c>
      <c r="K30" s="61">
        <f>'ORÇAMENTO US$'!K30/2</f>
        <v>0</v>
      </c>
      <c r="L30" s="79">
        <f t="shared" si="1"/>
        <v>1</v>
      </c>
      <c r="M30" s="79">
        <f t="shared" si="1"/>
        <v>0</v>
      </c>
      <c r="N30" s="79">
        <f t="shared" si="1"/>
        <v>1</v>
      </c>
    </row>
    <row r="31" spans="2:14" ht="14.4" x14ac:dyDescent="0.3">
      <c r="B31" s="60" t="s">
        <v>54</v>
      </c>
      <c r="C31" s="61">
        <f>'ORÇAMENTO US$'!C31</f>
        <v>0</v>
      </c>
      <c r="D31" s="61">
        <f>'ORÇAMENTO US$'!D31</f>
        <v>1000000</v>
      </c>
      <c r="E31" s="61">
        <f>'ORÇAMENTO US$'!E31</f>
        <v>1000000</v>
      </c>
      <c r="F31" s="61">
        <f>'ORÇAMENTO US$'!F31</f>
        <v>0</v>
      </c>
      <c r="G31" s="61">
        <f>'ORÇAMENTO US$'!G31</f>
        <v>100000</v>
      </c>
      <c r="H31" s="61">
        <f>'ORÇAMENTO US$'!H31</f>
        <v>100000</v>
      </c>
      <c r="I31" s="61">
        <f>'ORÇAMENTO US$'!I31/2</f>
        <v>0</v>
      </c>
      <c r="J31" s="61">
        <f>'ORÇAMENTO US$'!J31/2</f>
        <v>100000</v>
      </c>
      <c r="K31" s="61">
        <f>'ORÇAMENTO US$'!K31/2</f>
        <v>100000</v>
      </c>
      <c r="L31" s="79">
        <f t="shared" si="1"/>
        <v>0</v>
      </c>
      <c r="M31" s="79">
        <f t="shared" si="1"/>
        <v>1</v>
      </c>
      <c r="N31" s="79">
        <f t="shared" si="1"/>
        <v>1</v>
      </c>
    </row>
    <row r="32" spans="2:14" ht="14.4" x14ac:dyDescent="0.3">
      <c r="B32" s="60" t="s">
        <v>55</v>
      </c>
      <c r="C32" s="61">
        <f>'ORÇAMENTO US$'!C32</f>
        <v>0</v>
      </c>
      <c r="D32" s="61">
        <f>'ORÇAMENTO US$'!D32</f>
        <v>1000000</v>
      </c>
      <c r="E32" s="61">
        <f>'ORÇAMENTO US$'!E32</f>
        <v>1000000</v>
      </c>
      <c r="F32" s="61">
        <f>'ORÇAMENTO US$'!F32</f>
        <v>0</v>
      </c>
      <c r="G32" s="61">
        <f>'ORÇAMENTO US$'!G32</f>
        <v>100000</v>
      </c>
      <c r="H32" s="61">
        <f>'ORÇAMENTO US$'!H32</f>
        <v>100000</v>
      </c>
      <c r="I32" s="61">
        <f>'ORÇAMENTO US$'!I32/2</f>
        <v>0</v>
      </c>
      <c r="J32" s="61">
        <f>'ORÇAMENTO US$'!J32/2</f>
        <v>100000</v>
      </c>
      <c r="K32" s="61">
        <f>'ORÇAMENTO US$'!K32/2</f>
        <v>100000</v>
      </c>
      <c r="L32" s="79">
        <f t="shared" si="1"/>
        <v>0</v>
      </c>
      <c r="M32" s="79">
        <f t="shared" si="1"/>
        <v>1</v>
      </c>
      <c r="N32" s="79">
        <f t="shared" si="1"/>
        <v>1</v>
      </c>
    </row>
    <row r="33" spans="2:14" s="62" customFormat="1" ht="14.4" x14ac:dyDescent="0.3">
      <c r="B33" s="63" t="s">
        <v>56</v>
      </c>
      <c r="C33" s="61">
        <f>'ORÇAMENTO US$'!C33</f>
        <v>0</v>
      </c>
      <c r="D33" s="61">
        <f>'ORÇAMENTO US$'!D33</f>
        <v>1000000</v>
      </c>
      <c r="E33" s="61">
        <f>'ORÇAMENTO US$'!E33</f>
        <v>1000000</v>
      </c>
      <c r="F33" s="61">
        <f>'ORÇAMENTO US$'!F33</f>
        <v>0</v>
      </c>
      <c r="G33" s="61">
        <f>'ORÇAMENTO US$'!G33</f>
        <v>100000</v>
      </c>
      <c r="H33" s="61">
        <f>'ORÇAMENTO US$'!H33</f>
        <v>100000</v>
      </c>
      <c r="I33" s="61">
        <f>'ORÇAMENTO US$'!I33/2</f>
        <v>0</v>
      </c>
      <c r="J33" s="61">
        <f>'ORÇAMENTO US$'!J33/2</f>
        <v>100000</v>
      </c>
      <c r="K33" s="61">
        <f>'ORÇAMENTO US$'!K33/2</f>
        <v>100000</v>
      </c>
      <c r="L33" s="79">
        <f t="shared" si="1"/>
        <v>0</v>
      </c>
      <c r="M33" s="79">
        <f t="shared" si="1"/>
        <v>1</v>
      </c>
      <c r="N33" s="79">
        <f t="shared" si="1"/>
        <v>1</v>
      </c>
    </row>
    <row r="34" spans="2:14" ht="14.4" x14ac:dyDescent="0.3">
      <c r="B34" s="60" t="s">
        <v>57</v>
      </c>
      <c r="C34" s="61">
        <f>'ORÇAMENTO US$'!C34</f>
        <v>2479999.9999000002</v>
      </c>
      <c r="D34" s="61">
        <f>'ORÇAMENTO US$'!D34</f>
        <v>520000</v>
      </c>
      <c r="E34" s="61">
        <f>'ORÇAMENTO US$'!E34</f>
        <v>2999999.9999000002</v>
      </c>
      <c r="F34" s="61">
        <f>'ORÇAMENTO US$'!F34</f>
        <v>367499.999985</v>
      </c>
      <c r="G34" s="61">
        <f>'ORÇAMENTO US$'!G34</f>
        <v>100000</v>
      </c>
      <c r="H34" s="61">
        <f>'ORÇAMENTO US$'!H34</f>
        <v>467499.999985</v>
      </c>
      <c r="I34" s="61">
        <f>'ORÇAMENTO US$'!I34/2</f>
        <v>244999.99999000001</v>
      </c>
      <c r="J34" s="61">
        <f>'ORÇAMENTO US$'!J34/2</f>
        <v>50000</v>
      </c>
      <c r="K34" s="61">
        <f>'ORÇAMENTO US$'!K34/2</f>
        <v>294999.99998999998</v>
      </c>
      <c r="L34" s="79">
        <f t="shared" si="1"/>
        <v>0.82666666666088895</v>
      </c>
      <c r="M34" s="79">
        <f t="shared" si="1"/>
        <v>0.17333333333911111</v>
      </c>
      <c r="N34" s="79">
        <f t="shared" si="1"/>
        <v>1</v>
      </c>
    </row>
    <row r="35" spans="2:14" s="65" customFormat="1" ht="14.4" x14ac:dyDescent="0.3">
      <c r="B35" s="82" t="s">
        <v>58</v>
      </c>
      <c r="C35" s="61">
        <f>'ORÇAMENTO US$'!C35</f>
        <v>2230000</v>
      </c>
      <c r="D35" s="61">
        <f>'ORÇAMENTO US$'!D35</f>
        <v>520000</v>
      </c>
      <c r="E35" s="61">
        <f>'ORÇAMENTO US$'!E35</f>
        <v>2750000</v>
      </c>
      <c r="F35" s="61">
        <f>'ORÇAMENTO US$'!F35</f>
        <v>330000</v>
      </c>
      <c r="G35" s="61">
        <f>'ORÇAMENTO US$'!G35</f>
        <v>100000</v>
      </c>
      <c r="H35" s="61">
        <f>'ORÇAMENTO US$'!H35</f>
        <v>430000</v>
      </c>
      <c r="I35" s="61">
        <f>'ORÇAMENTO US$'!I35/2</f>
        <v>220000</v>
      </c>
      <c r="J35" s="61">
        <f>'ORÇAMENTO US$'!J35/2</f>
        <v>50000</v>
      </c>
      <c r="K35" s="61">
        <f>'ORÇAMENTO US$'!K35/2</f>
        <v>270000</v>
      </c>
      <c r="L35" s="79">
        <f t="shared" si="1"/>
        <v>0.81090909090909091</v>
      </c>
      <c r="M35" s="79">
        <f t="shared" si="1"/>
        <v>0.18909090909090909</v>
      </c>
      <c r="N35" s="79">
        <f t="shared" si="1"/>
        <v>1</v>
      </c>
    </row>
    <row r="36" spans="2:14" s="65" customFormat="1" ht="14.4" x14ac:dyDescent="0.3">
      <c r="B36" s="83" t="s">
        <v>60</v>
      </c>
      <c r="C36" s="61">
        <f>'ORÇAMENTO US$'!C36</f>
        <v>1880000</v>
      </c>
      <c r="D36" s="61">
        <f>'ORÇAMENTO US$'!D36</f>
        <v>520000</v>
      </c>
      <c r="E36" s="61">
        <f>'ORÇAMENTO US$'!E36</f>
        <v>2400000</v>
      </c>
      <c r="F36" s="61">
        <f>'ORÇAMENTO US$'!F36</f>
        <v>180000</v>
      </c>
      <c r="G36" s="61">
        <f>'ORÇAMENTO US$'!G36</f>
        <v>100000</v>
      </c>
      <c r="H36" s="61">
        <f>'ORÇAMENTO US$'!H36</f>
        <v>280000</v>
      </c>
      <c r="I36" s="61">
        <f>'ORÇAMENTO US$'!I36/2</f>
        <v>220000</v>
      </c>
      <c r="J36" s="61">
        <f>'ORÇAMENTO US$'!J36/2</f>
        <v>50000</v>
      </c>
      <c r="K36" s="61">
        <f>'ORÇAMENTO US$'!K36/2</f>
        <v>270000</v>
      </c>
      <c r="L36" s="79">
        <f t="shared" si="1"/>
        <v>0.78333333333333333</v>
      </c>
      <c r="M36" s="79">
        <f t="shared" si="1"/>
        <v>0.21666666666666667</v>
      </c>
      <c r="N36" s="79">
        <f t="shared" si="1"/>
        <v>1</v>
      </c>
    </row>
    <row r="37" spans="2:14" s="65" customFormat="1" ht="14.4" x14ac:dyDescent="0.3">
      <c r="B37" s="84" t="s">
        <v>61</v>
      </c>
      <c r="C37" s="61">
        <f>'ORÇAMENTO US$'!C37</f>
        <v>1680000</v>
      </c>
      <c r="D37" s="61">
        <f>'ORÇAMENTO US$'!D37</f>
        <v>520000</v>
      </c>
      <c r="E37" s="61">
        <f>'ORÇAMENTO US$'!E37</f>
        <v>2200000</v>
      </c>
      <c r="F37" s="61">
        <f>'ORÇAMENTO US$'!F37</f>
        <v>150000</v>
      </c>
      <c r="G37" s="61">
        <f>'ORÇAMENTO US$'!G37</f>
        <v>100000</v>
      </c>
      <c r="H37" s="61">
        <f>'ORÇAMENTO US$'!H37</f>
        <v>250000</v>
      </c>
      <c r="I37" s="61">
        <f>'ORÇAMENTO US$'!I37/2</f>
        <v>200000</v>
      </c>
      <c r="J37" s="61">
        <f>'ORÇAMENTO US$'!J37/2</f>
        <v>50000</v>
      </c>
      <c r="K37" s="61">
        <f>'ORÇAMENTO US$'!K37/2</f>
        <v>250000</v>
      </c>
      <c r="L37" s="79">
        <f t="shared" si="1"/>
        <v>0.76363636363636367</v>
      </c>
      <c r="M37" s="79">
        <f t="shared" si="1"/>
        <v>0.23636363636363636</v>
      </c>
      <c r="N37" s="79">
        <f t="shared" si="1"/>
        <v>1</v>
      </c>
    </row>
    <row r="38" spans="2:14" s="65" customFormat="1" ht="14.4" x14ac:dyDescent="0.3">
      <c r="B38" s="84" t="s">
        <v>62</v>
      </c>
      <c r="C38" s="61">
        <f>'ORÇAMENTO US$'!C38</f>
        <v>200000</v>
      </c>
      <c r="D38" s="61">
        <f>'ORÇAMENTO US$'!D38</f>
        <v>0</v>
      </c>
      <c r="E38" s="61">
        <f>'ORÇAMENTO US$'!E38</f>
        <v>200000</v>
      </c>
      <c r="F38" s="61">
        <f>'ORÇAMENTO US$'!F38</f>
        <v>30000</v>
      </c>
      <c r="G38" s="61">
        <f>'ORÇAMENTO US$'!G38</f>
        <v>0</v>
      </c>
      <c r="H38" s="61">
        <f>'ORÇAMENTO US$'!H38</f>
        <v>30000</v>
      </c>
      <c r="I38" s="61">
        <f>'ORÇAMENTO US$'!I38/2</f>
        <v>20000</v>
      </c>
      <c r="J38" s="61">
        <f>'ORÇAMENTO US$'!J38/2</f>
        <v>0</v>
      </c>
      <c r="K38" s="61">
        <f>'ORÇAMENTO US$'!K38/2</f>
        <v>20000</v>
      </c>
      <c r="L38" s="79">
        <f t="shared" si="1"/>
        <v>1</v>
      </c>
      <c r="M38" s="79">
        <f t="shared" si="1"/>
        <v>0</v>
      </c>
      <c r="N38" s="79">
        <f t="shared" si="1"/>
        <v>1</v>
      </c>
    </row>
    <row r="39" spans="2:14" s="65" customFormat="1" ht="14.4" x14ac:dyDescent="0.3">
      <c r="B39" s="83" t="s">
        <v>63</v>
      </c>
      <c r="C39" s="61">
        <f>'ORÇAMENTO US$'!C39</f>
        <v>350000</v>
      </c>
      <c r="D39" s="61">
        <f>'ORÇAMENTO US$'!D39</f>
        <v>0</v>
      </c>
      <c r="E39" s="61">
        <f>'ORÇAMENTO US$'!E39</f>
        <v>350000</v>
      </c>
      <c r="F39" s="61">
        <f>'ORÇAMENTO US$'!F39</f>
        <v>50000</v>
      </c>
      <c r="G39" s="61">
        <f>'ORÇAMENTO US$'!G39</f>
        <v>0</v>
      </c>
      <c r="H39" s="61">
        <f>'ORÇAMENTO US$'!H39</f>
        <v>50000</v>
      </c>
      <c r="I39" s="61">
        <f>'ORÇAMENTO US$'!I39/2</f>
        <v>0</v>
      </c>
      <c r="J39" s="61">
        <f>'ORÇAMENTO US$'!J39/2</f>
        <v>0</v>
      </c>
      <c r="K39" s="61">
        <f>'ORÇAMENTO US$'!K39/2</f>
        <v>0</v>
      </c>
      <c r="L39" s="79">
        <f t="shared" si="1"/>
        <v>1</v>
      </c>
      <c r="M39" s="79">
        <f t="shared" si="1"/>
        <v>0</v>
      </c>
      <c r="N39" s="79">
        <f t="shared" si="1"/>
        <v>1</v>
      </c>
    </row>
    <row r="40" spans="2:14" s="65" customFormat="1" ht="14.4" x14ac:dyDescent="0.3">
      <c r="B40" s="82" t="s">
        <v>64</v>
      </c>
      <c r="C40" s="61">
        <f>'ORÇAMENTO US$'!C40</f>
        <v>249999.9999</v>
      </c>
      <c r="D40" s="61">
        <f>'ORÇAMENTO US$'!D40</f>
        <v>0</v>
      </c>
      <c r="E40" s="61">
        <f>'ORÇAMENTO US$'!E40</f>
        <v>249999.9999</v>
      </c>
      <c r="F40" s="61">
        <f>'ORÇAMENTO US$'!F40</f>
        <v>37499.999985000002</v>
      </c>
      <c r="G40" s="61">
        <f>'ORÇAMENTO US$'!G40</f>
        <v>0</v>
      </c>
      <c r="H40" s="61">
        <f>'ORÇAMENTO US$'!H40</f>
        <v>37499.999985000002</v>
      </c>
      <c r="I40" s="61">
        <f>'ORÇAMENTO US$'!I40/2</f>
        <v>24999.99999</v>
      </c>
      <c r="J40" s="61">
        <f>'ORÇAMENTO US$'!J40/2</f>
        <v>0</v>
      </c>
      <c r="K40" s="61">
        <f>'ORÇAMENTO US$'!K40/2</f>
        <v>24999.99999</v>
      </c>
      <c r="L40" s="79">
        <f t="shared" si="1"/>
        <v>1</v>
      </c>
      <c r="M40" s="79">
        <f t="shared" si="1"/>
        <v>0</v>
      </c>
      <c r="N40" s="79">
        <f t="shared" si="1"/>
        <v>1</v>
      </c>
    </row>
    <row r="41" spans="2:14" s="62" customFormat="1" ht="14.4" x14ac:dyDescent="0.3">
      <c r="B41" s="66" t="s">
        <v>66</v>
      </c>
      <c r="C41" s="61">
        <f>'ORÇAMENTO US$'!C41</f>
        <v>249999.9999</v>
      </c>
      <c r="D41" s="61">
        <f>'ORÇAMENTO US$'!D41</f>
        <v>0</v>
      </c>
      <c r="E41" s="61">
        <f>'ORÇAMENTO US$'!E41</f>
        <v>249999.9999</v>
      </c>
      <c r="F41" s="61">
        <f>'ORÇAMENTO US$'!F41</f>
        <v>37499.999985000002</v>
      </c>
      <c r="G41" s="61">
        <f>'ORÇAMENTO US$'!G41</f>
        <v>0</v>
      </c>
      <c r="H41" s="61">
        <f>'ORÇAMENTO US$'!H41</f>
        <v>37499.999985000002</v>
      </c>
      <c r="I41" s="61">
        <f>'ORÇAMENTO US$'!I41/2</f>
        <v>24999.99999</v>
      </c>
      <c r="J41" s="61">
        <f>'ORÇAMENTO US$'!J41/2</f>
        <v>0</v>
      </c>
      <c r="K41" s="61">
        <f>'ORÇAMENTO US$'!K41/2</f>
        <v>24999.99999</v>
      </c>
      <c r="L41" s="79">
        <f t="shared" si="1"/>
        <v>1</v>
      </c>
      <c r="M41" s="79">
        <f t="shared" si="1"/>
        <v>0</v>
      </c>
      <c r="N41" s="79">
        <f t="shared" si="1"/>
        <v>1</v>
      </c>
    </row>
    <row r="42" spans="2:14" s="68" customFormat="1" ht="18" x14ac:dyDescent="0.35">
      <c r="B42" s="67" t="s">
        <v>67</v>
      </c>
      <c r="C42" s="61">
        <f>'ORÇAMENTO US$'!C42</f>
        <v>31784500.108024999</v>
      </c>
      <c r="D42" s="61">
        <f>'ORÇAMENTO US$'!D42</f>
        <v>31784499.865625001</v>
      </c>
      <c r="E42" s="61">
        <f>'ORÇAMENTO US$'!E42</f>
        <v>63568999.973650001</v>
      </c>
      <c r="F42" s="61">
        <f>'ORÇAMENTO US$'!F42</f>
        <v>6120425.5199849997</v>
      </c>
      <c r="G42" s="61">
        <f>'ORÇAMENTO US$'!G42</f>
        <v>2856546.5</v>
      </c>
      <c r="H42" s="61">
        <f>'ORÇAMENTO US$'!H42</f>
        <v>8976972.0199849997</v>
      </c>
      <c r="I42" s="61">
        <f>'ORÇAMENTO US$'!I42/2</f>
        <v>4356614.5949900001</v>
      </c>
      <c r="J42" s="61">
        <f>'ORÇAMENTO US$'!J42/2</f>
        <v>3507323</v>
      </c>
      <c r="K42" s="61">
        <f>'ORÇAMENTO US$'!K42/2</f>
        <v>7863937.5949900011</v>
      </c>
      <c r="L42" s="79">
        <f t="shared" si="1"/>
        <v>0.50000000190658966</v>
      </c>
      <c r="M42" s="79">
        <f t="shared" si="1"/>
        <v>0.49999999809341034</v>
      </c>
      <c r="N42" s="79">
        <f t="shared" si="1"/>
        <v>1</v>
      </c>
    </row>
    <row r="45" spans="2:14" x14ac:dyDescent="0.25">
      <c r="D45" s="69"/>
    </row>
    <row r="46" spans="2:14" x14ac:dyDescent="0.25">
      <c r="C46" s="69"/>
    </row>
  </sheetData>
  <mergeCells count="13">
    <mergeCell ref="L3:L4"/>
    <mergeCell ref="M3:M4"/>
    <mergeCell ref="N3:N4"/>
    <mergeCell ref="B2:B4"/>
    <mergeCell ref="C2:E2"/>
    <mergeCell ref="F2:H2"/>
    <mergeCell ref="I2:K2"/>
    <mergeCell ref="L2:N2"/>
    <mergeCell ref="C3:C4"/>
    <mergeCell ref="D3:D4"/>
    <mergeCell ref="E3:E4"/>
    <mergeCell ref="F3:H3"/>
    <mergeCell ref="I3:K3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PEP US$</vt:lpstr>
      <vt:lpstr>ORÇAMENTO US$</vt:lpstr>
      <vt:lpstr>POA 18m US$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arthur oliveira</dc:creator>
  <cp:keywords/>
  <dc:description/>
  <cp:lastModifiedBy>Cabrera Cantu,Daniel Enrique</cp:lastModifiedBy>
  <cp:revision/>
  <dcterms:created xsi:type="dcterms:W3CDTF">2017-06-19T23:37:19Z</dcterms:created>
  <dcterms:modified xsi:type="dcterms:W3CDTF">2017-09-05T20:57:24Z</dcterms:modified>
  <cp:category/>
  <cp:contentStatus/>
</cp:coreProperties>
</file>