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broseth\Documents\D Drive\DATA.IDB\Documents\ICS\Uruguay\"/>
    </mc:Choice>
  </mc:AlternateContent>
  <xr:revisionPtr revIDLastSave="0" documentId="13_ncr:1_{A531624D-BEB6-4358-8A55-C57D2DB31986}" xr6:coauthVersionLast="40" xr6:coauthVersionMax="40" xr10:uidLastSave="{00000000-0000-0000-0000-000000000000}"/>
  <bookViews>
    <workbookView xWindow="-120" yWindow="-120" windowWidth="29040" windowHeight="15840" xr2:uid="{00000000-000D-0000-FFFF-FFFF00000000}"/>
  </bookViews>
  <sheets>
    <sheet name="resumen" sheetId="5" r:id="rId1"/>
    <sheet name="costos de remediación" sheetId="8" r:id="rId2"/>
    <sheet name="impacto económico" sheetId="6" r:id="rId3"/>
    <sheet name="capacitación" sheetId="9" r:id="rId4"/>
    <sheet name="costos remediación (AGESIC)" sheetId="1" state="hidden" r:id="rId5"/>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7" i="9" l="1"/>
  <c r="M17" i="9"/>
  <c r="N17" i="9"/>
  <c r="O17" i="9"/>
  <c r="P17" i="9" s="1"/>
  <c r="Q17" i="9" s="1"/>
  <c r="R17" i="9" s="1"/>
  <c r="S17" i="9" s="1"/>
  <c r="K17" i="9"/>
  <c r="D26" i="9" l="1"/>
  <c r="E26" i="9"/>
  <c r="F26" i="9"/>
  <c r="G26" i="9"/>
  <c r="D21" i="9"/>
  <c r="E21" i="9"/>
  <c r="F21" i="9"/>
  <c r="G21" i="9"/>
  <c r="D16" i="9"/>
  <c r="E16" i="9"/>
  <c r="F16" i="9"/>
  <c r="G16" i="9"/>
  <c r="C26" i="9"/>
  <c r="C16" i="9"/>
  <c r="C21" i="9"/>
  <c r="I15" i="9"/>
  <c r="I25" i="9" s="1"/>
  <c r="J15" i="9"/>
  <c r="J25" i="9" s="1"/>
  <c r="K15" i="9"/>
  <c r="K25" i="9" s="1"/>
  <c r="L15" i="9"/>
  <c r="L25" i="9" s="1"/>
  <c r="M15" i="9"/>
  <c r="M25" i="9" s="1"/>
  <c r="N15" i="9"/>
  <c r="N25" i="9" s="1"/>
  <c r="O15" i="9"/>
  <c r="O20" i="9" s="1"/>
  <c r="P15" i="9"/>
  <c r="P25" i="9" s="1"/>
  <c r="Q15" i="9"/>
  <c r="Q25" i="9" s="1"/>
  <c r="R15" i="9"/>
  <c r="R25" i="9" s="1"/>
  <c r="S15" i="9"/>
  <c r="S25" i="9" s="1"/>
  <c r="H15" i="9"/>
  <c r="H25" i="9" s="1"/>
  <c r="G15" i="9"/>
  <c r="G25" i="9" s="1"/>
  <c r="G20" i="9" l="1"/>
  <c r="K20" i="9"/>
  <c r="S20" i="9"/>
  <c r="O25" i="9"/>
  <c r="R20" i="9"/>
  <c r="N20" i="9"/>
  <c r="J20" i="9"/>
  <c r="J21" i="9" s="1"/>
  <c r="Q20" i="9"/>
  <c r="M20" i="9"/>
  <c r="I20" i="9"/>
  <c r="I21" i="9" s="1"/>
  <c r="P20" i="9"/>
  <c r="L20" i="9"/>
  <c r="H20" i="9"/>
  <c r="H21" i="9" s="1"/>
  <c r="C23" i="9"/>
  <c r="J22" i="9"/>
  <c r="K22" i="9" s="1"/>
  <c r="L22" i="9" s="1"/>
  <c r="M22" i="9" s="1"/>
  <c r="N22" i="9" s="1"/>
  <c r="O22" i="9" s="1"/>
  <c r="P22" i="9" s="1"/>
  <c r="Q22" i="9" s="1"/>
  <c r="R22" i="9" s="1"/>
  <c r="S22" i="9" s="1"/>
  <c r="D22" i="9"/>
  <c r="E22" i="9"/>
  <c r="F22" i="9"/>
  <c r="C22" i="9"/>
  <c r="H17" i="9"/>
  <c r="I17" i="9" s="1"/>
  <c r="J17" i="9" s="1"/>
  <c r="C18" i="9"/>
  <c r="C17" i="9"/>
  <c r="C3" i="9"/>
  <c r="D13" i="9"/>
  <c r="E13" i="9" s="1"/>
  <c r="F13" i="9" s="1"/>
  <c r="G13" i="9" s="1"/>
  <c r="D10" i="9"/>
  <c r="E10" i="9" s="1"/>
  <c r="C4" i="9"/>
  <c r="D23" i="9" l="1"/>
  <c r="E11" i="9"/>
  <c r="D24" i="9"/>
  <c r="C14" i="9"/>
  <c r="E14" i="9"/>
  <c r="D11" i="9"/>
  <c r="F10" i="9"/>
  <c r="C11" i="9"/>
  <c r="G14" i="9"/>
  <c r="C19" i="9"/>
  <c r="F14" i="9"/>
  <c r="E23" i="9"/>
  <c r="E24" i="9" s="1"/>
  <c r="B34" i="5" s="1"/>
  <c r="C24" i="9"/>
  <c r="D14" i="9"/>
  <c r="D18" i="9"/>
  <c r="H13" i="9"/>
  <c r="D62" i="6"/>
  <c r="E62" i="6"/>
  <c r="F62" i="6"/>
  <c r="G62" i="6"/>
  <c r="H62" i="6"/>
  <c r="I62" i="6"/>
  <c r="J62" i="6"/>
  <c r="K62" i="6"/>
  <c r="L62" i="6"/>
  <c r="M62" i="6"/>
  <c r="N62" i="6"/>
  <c r="O62" i="6"/>
  <c r="P62" i="6"/>
  <c r="Q62" i="6"/>
  <c r="D63" i="6"/>
  <c r="E63" i="6"/>
  <c r="F63" i="6"/>
  <c r="G63" i="6"/>
  <c r="H63" i="6"/>
  <c r="I63" i="6"/>
  <c r="J63" i="6"/>
  <c r="K63" i="6"/>
  <c r="L63" i="6"/>
  <c r="M63" i="6"/>
  <c r="N63" i="6"/>
  <c r="O63" i="6"/>
  <c r="P63" i="6"/>
  <c r="Q63" i="6"/>
  <c r="D64" i="6"/>
  <c r="E64" i="6"/>
  <c r="F64" i="6"/>
  <c r="G64" i="6"/>
  <c r="H64" i="6"/>
  <c r="I64" i="6"/>
  <c r="J64" i="6"/>
  <c r="K64" i="6"/>
  <c r="L64" i="6"/>
  <c r="M64" i="6"/>
  <c r="N64" i="6"/>
  <c r="O64" i="6"/>
  <c r="P64" i="6"/>
  <c r="Q64" i="6"/>
  <c r="C64" i="6"/>
  <c r="C63" i="6"/>
  <c r="C62" i="6"/>
  <c r="D61" i="6"/>
  <c r="E61" i="6"/>
  <c r="F61" i="6"/>
  <c r="G61" i="6"/>
  <c r="H61" i="6"/>
  <c r="I61" i="6"/>
  <c r="J61" i="6"/>
  <c r="K61" i="6"/>
  <c r="L61" i="6"/>
  <c r="M61" i="6"/>
  <c r="N61" i="6"/>
  <c r="O61" i="6"/>
  <c r="P61" i="6"/>
  <c r="Q61" i="6"/>
  <c r="C61" i="6"/>
  <c r="C33" i="5"/>
  <c r="D33" i="5"/>
  <c r="E33" i="5"/>
  <c r="F33" i="5"/>
  <c r="G33" i="5"/>
  <c r="H33" i="5"/>
  <c r="I33" i="5"/>
  <c r="J33" i="5"/>
  <c r="K33" i="5"/>
  <c r="B33" i="5"/>
  <c r="C32" i="5"/>
  <c r="D32" i="5"/>
  <c r="E32" i="5"/>
  <c r="F32" i="5"/>
  <c r="G32" i="5"/>
  <c r="H32" i="5"/>
  <c r="I32" i="5"/>
  <c r="J32" i="5"/>
  <c r="K32" i="5"/>
  <c r="B32" i="5"/>
  <c r="C21" i="5"/>
  <c r="D21" i="5"/>
  <c r="E21" i="5"/>
  <c r="F21" i="5"/>
  <c r="G21" i="5"/>
  <c r="H21" i="5"/>
  <c r="I21" i="5"/>
  <c r="J21" i="5"/>
  <c r="K21" i="5"/>
  <c r="B21" i="5"/>
  <c r="C22" i="5"/>
  <c r="D22" i="5"/>
  <c r="E22" i="5"/>
  <c r="F22" i="5"/>
  <c r="G22" i="5"/>
  <c r="H22" i="5"/>
  <c r="I22" i="5"/>
  <c r="J22" i="5"/>
  <c r="K22" i="5"/>
  <c r="B22" i="5"/>
  <c r="C11" i="5"/>
  <c r="D11" i="5"/>
  <c r="E11" i="5"/>
  <c r="F11" i="5"/>
  <c r="G11" i="5"/>
  <c r="H11" i="5"/>
  <c r="I11" i="5"/>
  <c r="J11" i="5"/>
  <c r="K11" i="5"/>
  <c r="B11" i="5"/>
  <c r="C10" i="5"/>
  <c r="D10" i="5"/>
  <c r="E10" i="5"/>
  <c r="F10" i="5"/>
  <c r="G10" i="5"/>
  <c r="H10" i="5"/>
  <c r="I10" i="5"/>
  <c r="J10" i="5"/>
  <c r="K10" i="5"/>
  <c r="B10" i="5"/>
  <c r="B7" i="5"/>
  <c r="C6" i="5"/>
  <c r="D6" i="5"/>
  <c r="E6" i="5"/>
  <c r="F6" i="5"/>
  <c r="B6" i="5"/>
  <c r="C36" i="8"/>
  <c r="C35" i="8"/>
  <c r="G34" i="8"/>
  <c r="H34" i="8"/>
  <c r="I34" i="8"/>
  <c r="J34" i="8"/>
  <c r="K34" i="8"/>
  <c r="L34" i="8"/>
  <c r="M34" i="8"/>
  <c r="N34" i="8"/>
  <c r="O34" i="8"/>
  <c r="P34" i="8"/>
  <c r="Q34" i="8"/>
  <c r="R34" i="8"/>
  <c r="S34" i="8"/>
  <c r="F34" i="8"/>
  <c r="D33" i="8"/>
  <c r="E33" i="8"/>
  <c r="F33" i="8"/>
  <c r="G33" i="8"/>
  <c r="H33" i="8"/>
  <c r="I33" i="8"/>
  <c r="J33" i="8"/>
  <c r="K33" i="8"/>
  <c r="L33" i="8"/>
  <c r="M33" i="8"/>
  <c r="N33" i="8"/>
  <c r="O33" i="8"/>
  <c r="P33" i="8"/>
  <c r="Q33" i="8"/>
  <c r="R33" i="8"/>
  <c r="S33" i="8"/>
  <c r="C33" i="8"/>
  <c r="D32" i="8"/>
  <c r="E32" i="8"/>
  <c r="F32" i="8"/>
  <c r="G32" i="8"/>
  <c r="H32" i="8"/>
  <c r="I32" i="8"/>
  <c r="J32" i="8"/>
  <c r="K32" i="8"/>
  <c r="L32" i="8"/>
  <c r="M32" i="8"/>
  <c r="N32" i="8"/>
  <c r="O32" i="8"/>
  <c r="P32" i="8"/>
  <c r="Q32" i="8"/>
  <c r="R32" i="8"/>
  <c r="S32" i="8"/>
  <c r="C32" i="8"/>
  <c r="C26" i="8"/>
  <c r="C25" i="8"/>
  <c r="F24" i="8"/>
  <c r="G24" i="8"/>
  <c r="H24" i="8"/>
  <c r="I24" i="8"/>
  <c r="J24" i="8"/>
  <c r="K24" i="8"/>
  <c r="L24" i="8"/>
  <c r="M24" i="8"/>
  <c r="N24" i="8"/>
  <c r="O24" i="8"/>
  <c r="P24" i="8"/>
  <c r="Q24" i="8"/>
  <c r="R24" i="8"/>
  <c r="S24" i="8"/>
  <c r="E24" i="8"/>
  <c r="C30" i="8"/>
  <c r="C31" i="8"/>
  <c r="F29" i="8"/>
  <c r="G29" i="8"/>
  <c r="H29" i="8"/>
  <c r="I29" i="8"/>
  <c r="J29" i="8"/>
  <c r="K29" i="8"/>
  <c r="L29" i="8"/>
  <c r="M29" i="8"/>
  <c r="N29" i="8"/>
  <c r="O29" i="8"/>
  <c r="P29" i="8"/>
  <c r="Q29" i="8"/>
  <c r="R29" i="8"/>
  <c r="S29" i="8"/>
  <c r="E29" i="8"/>
  <c r="D28" i="8"/>
  <c r="E28" i="8"/>
  <c r="F28" i="8"/>
  <c r="G28" i="8"/>
  <c r="H28" i="8"/>
  <c r="I28" i="8"/>
  <c r="J28" i="8"/>
  <c r="K28" i="8"/>
  <c r="L28" i="8"/>
  <c r="M28" i="8"/>
  <c r="N28" i="8"/>
  <c r="O28" i="8"/>
  <c r="P28" i="8"/>
  <c r="Q28" i="8"/>
  <c r="R28" i="8"/>
  <c r="S28" i="8"/>
  <c r="C28" i="8"/>
  <c r="D27" i="8"/>
  <c r="E27" i="8"/>
  <c r="F27" i="8"/>
  <c r="G27" i="8"/>
  <c r="H27" i="8"/>
  <c r="I27" i="8"/>
  <c r="J27" i="8"/>
  <c r="K27" i="8"/>
  <c r="L27" i="8"/>
  <c r="M27" i="8"/>
  <c r="N27" i="8"/>
  <c r="O27" i="8"/>
  <c r="P27" i="8"/>
  <c r="Q27" i="8"/>
  <c r="R27" i="8"/>
  <c r="S27" i="8"/>
  <c r="C27" i="8"/>
  <c r="D18" i="8"/>
  <c r="E18" i="8"/>
  <c r="F18" i="8"/>
  <c r="G18" i="8"/>
  <c r="H18" i="8"/>
  <c r="I18" i="8"/>
  <c r="J18" i="8"/>
  <c r="K18" i="8"/>
  <c r="L18" i="8"/>
  <c r="M18" i="8"/>
  <c r="N18" i="8"/>
  <c r="O18" i="8"/>
  <c r="P18" i="8"/>
  <c r="Q18" i="8"/>
  <c r="R18" i="8"/>
  <c r="S18" i="8"/>
  <c r="C18" i="8"/>
  <c r="D15" i="8"/>
  <c r="E15" i="8"/>
  <c r="F15" i="8"/>
  <c r="G15" i="8"/>
  <c r="H15" i="8"/>
  <c r="I15" i="8"/>
  <c r="J15" i="8"/>
  <c r="K15" i="8"/>
  <c r="L15" i="8"/>
  <c r="M15" i="8"/>
  <c r="N15" i="8"/>
  <c r="O15" i="8"/>
  <c r="P15" i="8"/>
  <c r="Q15" i="8"/>
  <c r="R15" i="8"/>
  <c r="S15" i="8"/>
  <c r="C15" i="8"/>
  <c r="G17" i="8"/>
  <c r="H17" i="8"/>
  <c r="F17" i="8"/>
  <c r="G14" i="8"/>
  <c r="H14" i="8"/>
  <c r="F14" i="8"/>
  <c r="D17" i="8"/>
  <c r="E17" i="8"/>
  <c r="C17" i="8"/>
  <c r="D14" i="8"/>
  <c r="E14" i="8"/>
  <c r="C14" i="8"/>
  <c r="C13" i="8"/>
  <c r="D13" i="8"/>
  <c r="E13" i="8"/>
  <c r="F13" i="8"/>
  <c r="G13" i="8"/>
  <c r="H13" i="8"/>
  <c r="I13" i="8"/>
  <c r="J13" i="8"/>
  <c r="K13" i="8"/>
  <c r="L13" i="8"/>
  <c r="M13" i="8"/>
  <c r="N13" i="8"/>
  <c r="O13" i="8"/>
  <c r="P13" i="8"/>
  <c r="Q13" i="8"/>
  <c r="R13" i="8"/>
  <c r="S13" i="8"/>
  <c r="C16" i="8"/>
  <c r="D16" i="8"/>
  <c r="E16" i="8"/>
  <c r="F16" i="8"/>
  <c r="G16" i="8"/>
  <c r="H16" i="8"/>
  <c r="I16" i="8"/>
  <c r="J16" i="8"/>
  <c r="K16" i="8"/>
  <c r="L16" i="8"/>
  <c r="M16" i="8"/>
  <c r="N16" i="8"/>
  <c r="O16" i="8"/>
  <c r="P16" i="8"/>
  <c r="Q16" i="8"/>
  <c r="R16" i="8"/>
  <c r="S16" i="8"/>
  <c r="B16" i="8"/>
  <c r="B13" i="8"/>
  <c r="U9" i="8"/>
  <c r="D22" i="8"/>
  <c r="C22" i="8"/>
  <c r="D21" i="8"/>
  <c r="C21" i="8"/>
  <c r="F12" i="8"/>
  <c r="G12" i="8" s="1"/>
  <c r="E12" i="8"/>
  <c r="D12" i="8"/>
  <c r="E11" i="8"/>
  <c r="E22" i="8" s="1"/>
  <c r="H10" i="8"/>
  <c r="E10" i="8"/>
  <c r="F10" i="8" s="1"/>
  <c r="G10" i="8" s="1"/>
  <c r="B4" i="8"/>
  <c r="D9" i="8"/>
  <c r="V9" i="8" s="1"/>
  <c r="C9" i="8"/>
  <c r="E7" i="8"/>
  <c r="F7" i="8" s="1"/>
  <c r="G7" i="8" s="1"/>
  <c r="B12" i="5" l="1"/>
  <c r="E18" i="9"/>
  <c r="D19" i="9"/>
  <c r="B35" i="5"/>
  <c r="B36" i="5" s="1"/>
  <c r="F23" i="9"/>
  <c r="B13" i="5"/>
  <c r="B14" i="5" s="1"/>
  <c r="I13" i="9"/>
  <c r="H14" i="9"/>
  <c r="H16" i="9" s="1"/>
  <c r="G10" i="9"/>
  <c r="F11" i="9"/>
  <c r="C12" i="5" s="1"/>
  <c r="C13" i="5" s="1"/>
  <c r="C14" i="5" s="1"/>
  <c r="D23" i="8"/>
  <c r="C23" i="8"/>
  <c r="H12" i="8"/>
  <c r="I12" i="8" s="1"/>
  <c r="G11" i="8"/>
  <c r="G22" i="8" s="1"/>
  <c r="I10" i="8"/>
  <c r="H7" i="8"/>
  <c r="E9" i="8"/>
  <c r="F11" i="8"/>
  <c r="F22" i="8" s="1"/>
  <c r="H10" i="9" l="1"/>
  <c r="G11" i="9"/>
  <c r="D12" i="5" s="1"/>
  <c r="D13" i="5" s="1"/>
  <c r="D14" i="5" s="1"/>
  <c r="J13" i="9"/>
  <c r="I14" i="9"/>
  <c r="I16" i="9" s="1"/>
  <c r="F24" i="9"/>
  <c r="C34" i="5" s="1"/>
  <c r="C35" i="5" s="1"/>
  <c r="C36" i="5" s="1"/>
  <c r="G23" i="9"/>
  <c r="E19" i="9"/>
  <c r="B23" i="5" s="1"/>
  <c r="B24" i="5" s="1"/>
  <c r="B25" i="5" s="1"/>
  <c r="F18" i="9"/>
  <c r="F9" i="8"/>
  <c r="E8" i="8"/>
  <c r="E21" i="8" s="1"/>
  <c r="E23" i="8" s="1"/>
  <c r="J10" i="8"/>
  <c r="K10" i="8" s="1"/>
  <c r="L10" i="8" s="1"/>
  <c r="M10" i="8" s="1"/>
  <c r="N10" i="8" s="1"/>
  <c r="O10" i="8" s="1"/>
  <c r="P10" i="8" s="1"/>
  <c r="Q10" i="8" s="1"/>
  <c r="R10" i="8" s="1"/>
  <c r="S10" i="8" s="1"/>
  <c r="I11" i="8"/>
  <c r="I7" i="8"/>
  <c r="H11" i="8"/>
  <c r="H22" i="8" s="1"/>
  <c r="J14" i="9" l="1"/>
  <c r="J16" i="9" s="1"/>
  <c r="K13" i="9"/>
  <c r="G24" i="9"/>
  <c r="D34" i="5" s="1"/>
  <c r="D35" i="5" s="1"/>
  <c r="H23" i="9"/>
  <c r="F19" i="9"/>
  <c r="C23" i="5" s="1"/>
  <c r="C24" i="5" s="1"/>
  <c r="C25" i="5" s="1"/>
  <c r="G18" i="9"/>
  <c r="H11" i="9"/>
  <c r="E12" i="5" s="1"/>
  <c r="E13" i="5" s="1"/>
  <c r="I10" i="9"/>
  <c r="I22" i="8"/>
  <c r="J11" i="8"/>
  <c r="J7" i="8"/>
  <c r="G9" i="8"/>
  <c r="F8" i="8"/>
  <c r="F21" i="8" s="1"/>
  <c r="F23" i="8" s="1"/>
  <c r="D36" i="5" l="1"/>
  <c r="I11" i="9"/>
  <c r="F12" i="5" s="1"/>
  <c r="F13" i="5" s="1"/>
  <c r="F14" i="5" s="1"/>
  <c r="J10" i="9"/>
  <c r="G19" i="9"/>
  <c r="D23" i="5" s="1"/>
  <c r="D24" i="5" s="1"/>
  <c r="D25" i="5" s="1"/>
  <c r="H18" i="9"/>
  <c r="K14" i="9"/>
  <c r="K16" i="9" s="1"/>
  <c r="L13" i="9"/>
  <c r="E14" i="5"/>
  <c r="I23" i="9"/>
  <c r="H24" i="9"/>
  <c r="K7" i="8"/>
  <c r="J22" i="8"/>
  <c r="K11" i="8"/>
  <c r="J12" i="8"/>
  <c r="H9" i="8"/>
  <c r="G8" i="8"/>
  <c r="G21" i="8" s="1"/>
  <c r="G23" i="8" s="1"/>
  <c r="E34" i="5" l="1"/>
  <c r="E35" i="5" s="1"/>
  <c r="E36" i="5" s="1"/>
  <c r="H26" i="9"/>
  <c r="J11" i="9"/>
  <c r="G12" i="5" s="1"/>
  <c r="G13" i="5" s="1"/>
  <c r="G14" i="5" s="1"/>
  <c r="K10" i="9"/>
  <c r="I18" i="9"/>
  <c r="H19" i="9"/>
  <c r="E23" i="5" s="1"/>
  <c r="E24" i="5" s="1"/>
  <c r="E25" i="5" s="1"/>
  <c r="J23" i="9"/>
  <c r="I24" i="9"/>
  <c r="L14" i="9"/>
  <c r="L16" i="9" s="1"/>
  <c r="M13" i="9"/>
  <c r="L11" i="8"/>
  <c r="K12" i="8"/>
  <c r="K22" i="8"/>
  <c r="I9" i="8"/>
  <c r="H8" i="8"/>
  <c r="H21" i="8" s="1"/>
  <c r="H23" i="8" s="1"/>
  <c r="L7" i="8"/>
  <c r="I26" i="9" l="1"/>
  <c r="F34" i="5" s="1"/>
  <c r="F35" i="5" s="1"/>
  <c r="F36" i="5" s="1"/>
  <c r="K23" i="9"/>
  <c r="J24" i="9"/>
  <c r="K11" i="9"/>
  <c r="H12" i="5" s="1"/>
  <c r="H13" i="5" s="1"/>
  <c r="H14" i="5" s="1"/>
  <c r="L10" i="9"/>
  <c r="M14" i="9"/>
  <c r="M16" i="9" s="1"/>
  <c r="N13" i="9"/>
  <c r="I19" i="9"/>
  <c r="F23" i="5" s="1"/>
  <c r="F24" i="5" s="1"/>
  <c r="J18" i="9"/>
  <c r="J9" i="8"/>
  <c r="I8" i="8"/>
  <c r="I21" i="8" s="1"/>
  <c r="I23" i="8" s="1"/>
  <c r="M7" i="8"/>
  <c r="L12" i="8"/>
  <c r="L22" i="8"/>
  <c r="M11" i="8"/>
  <c r="G34" i="5" l="1"/>
  <c r="G35" i="5" s="1"/>
  <c r="G36" i="5" s="1"/>
  <c r="J26" i="9"/>
  <c r="N14" i="9"/>
  <c r="N16" i="9" s="1"/>
  <c r="O13" i="9"/>
  <c r="K18" i="9"/>
  <c r="J19" i="9"/>
  <c r="G23" i="5" s="1"/>
  <c r="G24" i="5" s="1"/>
  <c r="G25" i="5" s="1"/>
  <c r="L11" i="9"/>
  <c r="I12" i="5" s="1"/>
  <c r="I13" i="5" s="1"/>
  <c r="I14" i="5" s="1"/>
  <c r="M10" i="9"/>
  <c r="L23" i="9"/>
  <c r="K24" i="9"/>
  <c r="F25" i="5"/>
  <c r="N7" i="8"/>
  <c r="M22" i="8"/>
  <c r="N11" i="8"/>
  <c r="M12" i="8"/>
  <c r="K9" i="8"/>
  <c r="J8" i="8"/>
  <c r="J21" i="8" s="1"/>
  <c r="J23" i="8" s="1"/>
  <c r="H34" i="5" l="1"/>
  <c r="H35" i="5" s="1"/>
  <c r="H36" i="5" s="1"/>
  <c r="K26" i="9"/>
  <c r="M11" i="9"/>
  <c r="J12" i="5" s="1"/>
  <c r="J13" i="5" s="1"/>
  <c r="J14" i="5" s="1"/>
  <c r="N10" i="9"/>
  <c r="M23" i="9"/>
  <c r="L24" i="9"/>
  <c r="O14" i="9"/>
  <c r="O16" i="9" s="1"/>
  <c r="P13" i="9"/>
  <c r="L18" i="9"/>
  <c r="K19" i="9"/>
  <c r="N22" i="8"/>
  <c r="O11" i="8"/>
  <c r="N12" i="8"/>
  <c r="L9" i="8"/>
  <c r="K8" i="8"/>
  <c r="K21" i="8" s="1"/>
  <c r="K23" i="8" s="1"/>
  <c r="O7" i="8"/>
  <c r="I34" i="5" l="1"/>
  <c r="I35" i="5" s="1"/>
  <c r="I36" i="5" s="1"/>
  <c r="L26" i="9"/>
  <c r="K21" i="9"/>
  <c r="H23" i="5" s="1"/>
  <c r="H24" i="5" s="1"/>
  <c r="H25" i="5" s="1"/>
  <c r="N11" i="9"/>
  <c r="K12" i="5" s="1"/>
  <c r="K13" i="5" s="1"/>
  <c r="O10" i="9"/>
  <c r="P14" i="9"/>
  <c r="P16" i="9" s="1"/>
  <c r="Q13" i="9"/>
  <c r="N23" i="9"/>
  <c r="M24" i="9"/>
  <c r="L19" i="9"/>
  <c r="M18" i="9"/>
  <c r="M9" i="8"/>
  <c r="L8" i="8"/>
  <c r="L21" i="8" s="1"/>
  <c r="L23" i="8" s="1"/>
  <c r="P7" i="8"/>
  <c r="P11" i="8"/>
  <c r="O12" i="8"/>
  <c r="O22" i="8"/>
  <c r="J34" i="5" l="1"/>
  <c r="J35" i="5" s="1"/>
  <c r="J36" i="5" s="1"/>
  <c r="M26" i="9"/>
  <c r="L21" i="9"/>
  <c r="I23" i="5" s="1"/>
  <c r="I24" i="5" s="1"/>
  <c r="I25" i="5" s="1"/>
  <c r="N18" i="9"/>
  <c r="M19" i="9"/>
  <c r="O23" i="9"/>
  <c r="N24" i="9"/>
  <c r="O11" i="9"/>
  <c r="P10" i="9"/>
  <c r="Q14" i="9"/>
  <c r="Q16" i="9" s="1"/>
  <c r="R13" i="9"/>
  <c r="K14" i="5"/>
  <c r="B15" i="5"/>
  <c r="B18" i="5" s="1"/>
  <c r="D44" i="5" s="1"/>
  <c r="Q7" i="8"/>
  <c r="P12" i="8"/>
  <c r="P22" i="8"/>
  <c r="Q11" i="8"/>
  <c r="N9" i="8"/>
  <c r="M8" i="8"/>
  <c r="M21" i="8" s="1"/>
  <c r="M23" i="8" s="1"/>
  <c r="N26" i="9" l="1"/>
  <c r="K34" i="5" s="1"/>
  <c r="K35" i="5" s="1"/>
  <c r="M21" i="9"/>
  <c r="J23" i="5" s="1"/>
  <c r="J24" i="5" s="1"/>
  <c r="J25" i="5" s="1"/>
  <c r="B16" i="5"/>
  <c r="B44" i="5" s="1"/>
  <c r="B17" i="5"/>
  <c r="C44" i="5" s="1"/>
  <c r="P23" i="9"/>
  <c r="O24" i="9"/>
  <c r="O26" i="9" s="1"/>
  <c r="R14" i="9"/>
  <c r="R16" i="9" s="1"/>
  <c r="S13" i="9"/>
  <c r="P11" i="9"/>
  <c r="Q10" i="9"/>
  <c r="O18" i="9"/>
  <c r="N19" i="9"/>
  <c r="O9" i="8"/>
  <c r="N8" i="8"/>
  <c r="N21" i="8" s="1"/>
  <c r="N23" i="8" s="1"/>
  <c r="R7" i="8"/>
  <c r="Q22" i="8"/>
  <c r="Q12" i="8"/>
  <c r="R11" i="8"/>
  <c r="K36" i="5" l="1"/>
  <c r="B37" i="5"/>
  <c r="B40" i="5" s="1"/>
  <c r="D46" i="5" s="1"/>
  <c r="N21" i="9"/>
  <c r="K23" i="5" s="1"/>
  <c r="K24" i="5" s="1"/>
  <c r="Q11" i="9"/>
  <c r="R10" i="9"/>
  <c r="S14" i="9"/>
  <c r="S16" i="9" s="1"/>
  <c r="Q23" i="9"/>
  <c r="P24" i="9"/>
  <c r="P26" i="9" s="1"/>
  <c r="P18" i="9"/>
  <c r="O19" i="9"/>
  <c r="O21" i="9" s="1"/>
  <c r="R22" i="8"/>
  <c r="S11" i="8"/>
  <c r="R12" i="8"/>
  <c r="S7" i="8"/>
  <c r="P9" i="8"/>
  <c r="O8" i="8"/>
  <c r="O21" i="8" s="1"/>
  <c r="O23" i="8" s="1"/>
  <c r="B39" i="5" l="1"/>
  <c r="C46" i="5" s="1"/>
  <c r="B38" i="5"/>
  <c r="B46" i="5" s="1"/>
  <c r="K25" i="5"/>
  <c r="B26" i="5"/>
  <c r="B29" i="5" s="1"/>
  <c r="D45" i="5" s="1"/>
  <c r="R23" i="9"/>
  <c r="Q24" i="9"/>
  <c r="Q26" i="9" s="1"/>
  <c r="R11" i="9"/>
  <c r="S10" i="9"/>
  <c r="Q18" i="9"/>
  <c r="P19" i="9"/>
  <c r="P21" i="9" s="1"/>
  <c r="S12" i="8"/>
  <c r="S22" i="8"/>
  <c r="Q9" i="8"/>
  <c r="P8" i="8"/>
  <c r="P21" i="8" s="1"/>
  <c r="P23" i="8" s="1"/>
  <c r="B28" i="5" l="1"/>
  <c r="C45" i="5" s="1"/>
  <c r="B27" i="5"/>
  <c r="B45" i="5" s="1"/>
  <c r="R18" i="9"/>
  <c r="Q19" i="9"/>
  <c r="Q21" i="9" s="1"/>
  <c r="S11" i="9"/>
  <c r="S23" i="9"/>
  <c r="S24" i="9" s="1"/>
  <c r="S26" i="9" s="1"/>
  <c r="R24" i="9"/>
  <c r="R26" i="9" s="1"/>
  <c r="R9" i="8"/>
  <c r="Q8" i="8"/>
  <c r="Q21" i="8" s="1"/>
  <c r="Q23" i="8" s="1"/>
  <c r="S18" i="9" l="1"/>
  <c r="S19" i="9" s="1"/>
  <c r="S21" i="9" s="1"/>
  <c r="R19" i="9"/>
  <c r="R21" i="9" s="1"/>
  <c r="S9" i="8"/>
  <c r="S8" i="8" s="1"/>
  <c r="S21" i="8" s="1"/>
  <c r="S23" i="8" s="1"/>
  <c r="R8" i="8"/>
  <c r="R21" i="8" s="1"/>
  <c r="R23" i="8" s="1"/>
  <c r="B42" i="6" l="1"/>
  <c r="H15" i="6"/>
  <c r="H16" i="6" s="1"/>
  <c r="B43" i="6" s="1"/>
  <c r="B32" i="6" l="1"/>
  <c r="B34" i="6" s="1"/>
  <c r="B31" i="6"/>
  <c r="B33" i="6" s="1"/>
  <c r="B23" i="6"/>
  <c r="M10" i="6"/>
  <c r="N10" i="6" s="1"/>
  <c r="O10" i="6" s="1"/>
  <c r="P10" i="6" s="1"/>
  <c r="Q10" i="6" s="1"/>
  <c r="R10" i="6" s="1"/>
  <c r="S10" i="6" s="1"/>
  <c r="T10" i="6" s="1"/>
  <c r="U10" i="6" s="1"/>
  <c r="B9" i="6"/>
  <c r="B6" i="6"/>
  <c r="B10" i="6" l="1"/>
  <c r="B16" i="6" s="1"/>
  <c r="B17" i="6" s="1"/>
  <c r="B18" i="6" s="1"/>
  <c r="B13" i="6"/>
  <c r="B24" i="6" l="1"/>
  <c r="B35" i="6" s="1"/>
  <c r="C47" i="6" s="1"/>
  <c r="G14" i="1"/>
  <c r="C52" i="6" l="1"/>
  <c r="C56" i="6"/>
  <c r="D47" i="6"/>
  <c r="C48" i="6"/>
  <c r="G28" i="1"/>
  <c r="I21" i="1"/>
  <c r="H21" i="1"/>
  <c r="H28" i="1" s="1"/>
  <c r="G21" i="1"/>
  <c r="I14" i="1"/>
  <c r="I28" i="1" s="1"/>
  <c r="H14" i="1"/>
  <c r="E47" i="6" l="1"/>
  <c r="D52" i="6"/>
  <c r="D56" i="6"/>
  <c r="D57" i="6" s="1"/>
  <c r="D48" i="6"/>
  <c r="C57" i="6"/>
  <c r="C53" i="6"/>
  <c r="C49" i="6"/>
  <c r="D49" i="6"/>
  <c r="D53" i="6" l="1"/>
  <c r="F47" i="6"/>
  <c r="E52" i="6"/>
  <c r="E53" i="6" s="1"/>
  <c r="E56" i="6"/>
  <c r="E48" i="6"/>
  <c r="E49" i="6" s="1"/>
  <c r="G47" i="6" l="1"/>
  <c r="F56" i="6"/>
  <c r="F52" i="6"/>
  <c r="F48" i="6"/>
  <c r="E57" i="6"/>
  <c r="H47" i="6" l="1"/>
  <c r="G52" i="6"/>
  <c r="G53" i="6" s="1"/>
  <c r="G56" i="6"/>
  <c r="G48" i="6"/>
  <c r="G49" i="6" s="1"/>
  <c r="F49" i="6"/>
  <c r="F53" i="6"/>
  <c r="F57" i="6"/>
  <c r="I47" i="6" l="1"/>
  <c r="H52" i="6"/>
  <c r="H56" i="6"/>
  <c r="H48" i="6"/>
  <c r="H49" i="6" s="1"/>
  <c r="G57" i="6"/>
  <c r="H57" i="6" l="1"/>
  <c r="H53" i="6"/>
  <c r="J47" i="6"/>
  <c r="I56" i="6"/>
  <c r="I57" i="6" s="1"/>
  <c r="I52" i="6"/>
  <c r="I53" i="6" s="1"/>
  <c r="I48" i="6"/>
  <c r="I49" i="6" s="1"/>
  <c r="K47" i="6" l="1"/>
  <c r="J52" i="6"/>
  <c r="J56" i="6"/>
  <c r="J57" i="6" s="1"/>
  <c r="J48" i="6"/>
  <c r="J53" i="6" l="1"/>
  <c r="J49" i="6"/>
  <c r="L47" i="6"/>
  <c r="K52" i="6"/>
  <c r="K53" i="6" s="1"/>
  <c r="K56" i="6"/>
  <c r="K57" i="6" s="1"/>
  <c r="K48" i="6"/>
  <c r="K49" i="6" s="1"/>
  <c r="C51" i="6" l="1"/>
  <c r="M47" i="6"/>
  <c r="L56" i="6"/>
  <c r="L52" i="6"/>
  <c r="L53" i="6" s="1"/>
  <c r="L48" i="6"/>
  <c r="L57" i="6" l="1"/>
  <c r="C59" i="6"/>
  <c r="N47" i="6"/>
  <c r="M56" i="6"/>
  <c r="M57" i="6" s="1"/>
  <c r="M52" i="6"/>
  <c r="M53" i="6" s="1"/>
  <c r="M48" i="6"/>
  <c r="M49" i="6" s="1"/>
  <c r="L49" i="6"/>
  <c r="C55" i="6"/>
  <c r="O47" i="6" l="1"/>
  <c r="N52" i="6"/>
  <c r="N53" i="6" s="1"/>
  <c r="N56" i="6"/>
  <c r="N57" i="6" s="1"/>
  <c r="N48" i="6"/>
  <c r="N49" i="6" l="1"/>
  <c r="P47" i="6"/>
  <c r="O56" i="6"/>
  <c r="O57" i="6" s="1"/>
  <c r="O52" i="6"/>
  <c r="O53" i="6" s="1"/>
  <c r="O48" i="6"/>
  <c r="O49" i="6" s="1"/>
  <c r="Q47" i="6" l="1"/>
  <c r="P52" i="6"/>
  <c r="P53" i="6" s="1"/>
  <c r="P56" i="6"/>
  <c r="P57" i="6" s="1"/>
  <c r="P48" i="6"/>
  <c r="P49" i="6" s="1"/>
  <c r="Q48" i="6" l="1"/>
  <c r="Q56" i="6"/>
  <c r="Q52" i="6"/>
  <c r="Q53" i="6" l="1"/>
  <c r="C54" i="6"/>
  <c r="Q57" i="6"/>
  <c r="C58" i="6"/>
  <c r="Q49" i="6"/>
  <c r="C50" i="6"/>
</calcChain>
</file>

<file path=xl/sharedStrings.xml><?xml version="1.0" encoding="utf-8"?>
<sst xmlns="http://schemas.openxmlformats.org/spreadsheetml/2006/main" count="233" uniqueCount="155">
  <si>
    <t>Alta o Muy Alta</t>
  </si>
  <si>
    <t>Media</t>
  </si>
  <si>
    <t>Cantidad de Incidentes</t>
  </si>
  <si>
    <t>Severidad</t>
  </si>
  <si>
    <t>Horas de responder a un incidente por severidad</t>
  </si>
  <si>
    <t>4 personas una semana</t>
  </si>
  <si>
    <t>Se resuelven en el turno</t>
  </si>
  <si>
    <t>Horas para solucionar (remediar) un incidente</t>
  </si>
  <si>
    <t>Habitualmente se resuelve en la respuesta</t>
  </si>
  <si>
    <t>4 personas 4 semanas (no se consideran adquiciciones de tecnologia nuevas)</t>
  </si>
  <si>
    <t>Costo hora usd</t>
  </si>
  <si>
    <t>Costo por incidentes Sin SOC</t>
  </si>
  <si>
    <t>Ahorro potencial</t>
  </si>
  <si>
    <t>Costo por incidentes con SOC (mitad de tiempo de remediacion</t>
  </si>
  <si>
    <t>Sin proyecto</t>
  </si>
  <si>
    <t>Con proyecto</t>
  </si>
  <si>
    <t>Cantidad de incidentes - severidad media</t>
  </si>
  <si>
    <t>Cantidad de incidentes - severidad alta o muy alta</t>
  </si>
  <si>
    <t>horas de responder - severidad media</t>
  </si>
  <si>
    <t xml:space="preserve">horas de responder - severidad alta o muy alta </t>
  </si>
  <si>
    <t>la mitad</t>
  </si>
  <si>
    <t>sin proyecto</t>
  </si>
  <si>
    <t>Beneficio</t>
  </si>
  <si>
    <t>Año</t>
  </si>
  <si>
    <t>USA - impacto reportado 2017</t>
  </si>
  <si>
    <t>fuente</t>
  </si>
  <si>
    <t>% del total de crímenes que son reportados</t>
  </si>
  <si>
    <t>USA - impacto total 2017</t>
  </si>
  <si>
    <t>Nytimes: "an iceberg of unseen crimes" https://www.nytimes.com/2018/02/05/nyregion/cyber-crimes-unreported.html</t>
  </si>
  <si>
    <t>FBI internet crime report 2017: https://www.fbi.gov/news/stories/2017-internet-crime-report-released-050718</t>
  </si>
  <si>
    <t>PIB USA</t>
  </si>
  <si>
    <t>PIB Uruguay</t>
  </si>
  <si>
    <t>Banco Mundial</t>
  </si>
  <si>
    <t>PIB Uruguay como % del PIB USA</t>
  </si>
  <si>
    <t>UR impacto total escalado por PIB</t>
  </si>
  <si>
    <t>Población USA</t>
  </si>
  <si>
    <t>Población UY</t>
  </si>
  <si>
    <t>US Census Bureau</t>
  </si>
  <si>
    <t>UR impacto total escalado por población</t>
  </si>
  <si>
    <t>Gasto del gob como % del PIB</t>
  </si>
  <si>
    <t>https://transparenciapresupuestaria.opp.gub.uy/inicio/presupuesto-nacional/a-d%C3%B3nde-van-nuestros-impuestos</t>
  </si>
  <si>
    <t>Crecimiento PIB</t>
  </si>
  <si>
    <t>Supuesto: el crecimiento del PIB más allá de las proyecciones del FMI será el promedio del periodo 2019-2022</t>
  </si>
  <si>
    <t>Impacto en el gob UY 2017</t>
  </si>
  <si>
    <t>Impacto en el gob UY 2018</t>
  </si>
  <si>
    <t>Impacto en el gob UY 2019</t>
  </si>
  <si>
    <t>Fuente (hasta 2022): FMI Artículo IV (https://www.imf.org/en/Publications/CR/Issues/2018/01/31/Uruguay-2017-Article-IV-Consultation-Press-Release-Staff-Report-and-Statement-by-the-45598)</t>
  </si>
  <si>
    <t>Impacto anual de ciberataques en el gobierno de UY SIN PROYECTO</t>
  </si>
  <si>
    <t>Proporción del daño evitado</t>
  </si>
  <si>
    <t>Impacto evitado gracias al proyecto</t>
  </si>
  <si>
    <t>UN E-Government Index 2018 https://publicadministration.un.org/egovkb/en-us/Data/Compare-Countries</t>
  </si>
  <si>
    <t>UY e-government index como % de USA</t>
  </si>
  <si>
    <t>se ajusta hacia abajo por menor exposición al mundo digital</t>
  </si>
  <si>
    <t>USA e-government index 2018</t>
  </si>
  <si>
    <t>UY e-government index 2018</t>
  </si>
  <si>
    <t>Impacto en el gob UY ajustado hacia abajo por exposición</t>
  </si>
  <si>
    <t>se ajusta hacia arriba por menor capacidad de cibserseguridad</t>
  </si>
  <si>
    <t>Puntaje USA informe OEA 2016</t>
  </si>
  <si>
    <t>Puntaje UY informe OEA 2016</t>
  </si>
  <si>
    <t>BID informes ciberseguridad (https://publications.iadb.org/en/publication/17071/cybersecurity-are-we-ready-latin-america-and-caribbean; https://publications.iadb.org/publications/english/document/Advanced-Experiences-in-Cybersecurity-Policies-and-Practices-An-Overview-of-Estonia-Israel-South-Korea-and-the-United-States.pdf)</t>
  </si>
  <si>
    <t>Nota: crecimiento de ataques puede ser más que el crecimiento del PIB; pero la operación tmb va a beneficiar al sector privado - entonces esto es conservador; notar que solo incluye lo económico, no lo no tangible</t>
  </si>
  <si>
    <t>Puntaje máximo informea OEA 2016</t>
  </si>
  <si>
    <t>Vacío USA</t>
  </si>
  <si>
    <t>Vacío UY</t>
  </si>
  <si>
    <t>Vacío USA (%)</t>
  </si>
  <si>
    <t>Vacío UY (%)</t>
  </si>
  <si>
    <t>este número asume que UY tiene la misma capacidad que USA, que no es el caso</t>
  </si>
  <si>
    <t>Impacto en el gob ajustado hacia arriba por menos capacidad de ciberseguridad</t>
  </si>
  <si>
    <t>resumen</t>
  </si>
  <si>
    <t>Crecimiento en impacto de ciberataques USA</t>
  </si>
  <si>
    <t>crecimiento</t>
  </si>
  <si>
    <t>Supuesto: el impacto de los ciberataques al gobierno crecen al mismo ritmo que el PIB O al ritmo del impacto de ciberataques en USA entre 2016-2017</t>
  </si>
  <si>
    <t>Crecimiento impacto ciberataques US</t>
  </si>
  <si>
    <t>tasa de descuento</t>
  </si>
  <si>
    <t>VPN beneficio anual</t>
  </si>
  <si>
    <t>VPN beneficio total (15 años)</t>
  </si>
  <si>
    <t>VPN beneficio total (10 años)</t>
  </si>
  <si>
    <t>Conservador</t>
  </si>
  <si>
    <t>Base</t>
  </si>
  <si>
    <t>Optimista</t>
  </si>
  <si>
    <t>año</t>
  </si>
  <si>
    <t xml:space="preserve">Total incidentes </t>
  </si>
  <si>
    <t>Horas</t>
  </si>
  <si>
    <t>Incidentes de alto impacto</t>
  </si>
  <si>
    <t>costo</t>
  </si>
  <si>
    <t>Proporcion de incidentes alto impacto</t>
  </si>
  <si>
    <t>Costo remediación sin proyecto</t>
  </si>
  <si>
    <t>Costo remediación con proyecto</t>
  </si>
  <si>
    <t>Costo de remediación de un ataque de alta o muy alta severidad</t>
  </si>
  <si>
    <t>Costo total promedio</t>
  </si>
  <si>
    <t>VPN total 15 años</t>
  </si>
  <si>
    <t>VPN total 10 años</t>
  </si>
  <si>
    <t>VPN anual</t>
  </si>
  <si>
    <t>Costo remediación</t>
  </si>
  <si>
    <t>Tasa de descuento</t>
  </si>
  <si>
    <t>Escenario base</t>
  </si>
  <si>
    <t>Costos de remediación</t>
  </si>
  <si>
    <t>Impacto económico de ciberataques</t>
  </si>
  <si>
    <t>Actividad económica por formación</t>
  </si>
  <si>
    <t>Total</t>
  </si>
  <si>
    <t>Flujo de fondos</t>
  </si>
  <si>
    <t>VPN costos</t>
  </si>
  <si>
    <t>VPN costos total</t>
  </si>
  <si>
    <t>VPN beneficios</t>
  </si>
  <si>
    <t>TIR</t>
  </si>
  <si>
    <t>Razón beneficio-costo</t>
  </si>
  <si>
    <t>VPN neto</t>
  </si>
  <si>
    <t>Escenario conservador</t>
  </si>
  <si>
    <t>BENEFICIOS y RESULTADOS (a 10 años)</t>
  </si>
  <si>
    <t>Escenario optimista</t>
  </si>
  <si>
    <t>COSTOS</t>
  </si>
  <si>
    <t>impacto anual de los ciberataques</t>
  </si>
  <si>
    <t>base</t>
  </si>
  <si>
    <t>conservador</t>
  </si>
  <si>
    <t>optimista</t>
  </si>
  <si>
    <t>Horas anuales vendidas ciberseguridad/ programacion</t>
  </si>
  <si>
    <t xml:space="preserve">Tasa crecimiento sector TIC </t>
  </si>
  <si>
    <t>Nuevos profesionales Ciberseguridad flujo</t>
  </si>
  <si>
    <t>Profesionales ciberseguridad (stock)</t>
  </si>
  <si>
    <t>2.2 % pib</t>
  </si>
  <si>
    <t>Para complementar la estimación de empleo de esta encuesta, la gremial analiza en su informe los resultados de la Encuesta Continua de Hogares (ECH) de 2016, relevada por el Instituto Nacional de Estadística (INE). De allí surge que el empleo generado por las actividades relacionadas a las tecnologías de la información alcanza a cerca de 13.800 puestos de trabajo y, de acuerdo a cifras aportadas por el BPS, el número de aportantes a diciembre 2016 se situó en 14.129.</t>
  </si>
  <si>
    <t>“Esta relación de género se observa como resultado de la formación de profesionales y técnicos en donde continúa siendo menor el número de mujeres que se vuelcan al estudio de carreras vinculadas a las TI”, sostuvo el presidente de la CUTI, Leonardo Loureiro.</t>
  </si>
  <si>
    <t>Si se desagrega el dato por franjas etarias, más del 50% de los empleos están ocupados por menores de 35 años y sólo un 9% son mayores de 50 años. </t>
  </si>
  <si>
    <t>“Esto reafirma que el sector TI tiene aún gran capacidad de crecimiento y de generación de empleo” concluyó el Presidente de CUTI.</t>
  </si>
  <si>
    <t>Costo por hora programación</t>
  </si>
  <si>
    <t>Costo por hora ciberseguridad</t>
  </si>
  <si>
    <t>Valor agregado ciberseguridad vs. programación</t>
  </si>
  <si>
    <t>Valor agregado cibserseguridad vs. programación</t>
  </si>
  <si>
    <t>Beneficios nuevas ventas en servicios de ciberseguridad (vs. lo que se hubiera vendido en programación)</t>
  </si>
  <si>
    <t>Con proyecto - BASE</t>
  </si>
  <si>
    <t>Con proyecto - CONSERVADOR</t>
  </si>
  <si>
    <t>con proyecto - OPTIMISTA</t>
  </si>
  <si>
    <t>Escenario</t>
  </si>
  <si>
    <t>Valor presente neto</t>
  </si>
  <si>
    <t>Tasa interna de retorno</t>
  </si>
  <si>
    <t xml:space="preserve">Conservador </t>
  </si>
  <si>
    <t>esta tasa es el promedio de los últimos 10 años (2007-2017) según Cámara Uruguaya de Tecnologías de la Información</t>
  </si>
  <si>
    <t>asume dedicación parcial de los profesionales - 15 semanas completas al año</t>
  </si>
  <si>
    <t>Profesionales ciberseguridad stock</t>
  </si>
  <si>
    <t>fuente: entrevistas CUTI</t>
  </si>
  <si>
    <t>fuente: entrevistas CUTI (www.cuti.org.uy)</t>
  </si>
  <si>
    <t>Costo incremental de prestar cursos de ciber</t>
  </si>
  <si>
    <t>Costo de prestar cursos</t>
  </si>
  <si>
    <t>Item</t>
  </si>
  <si>
    <t>Capacitación docente</t>
  </si>
  <si>
    <t>Costo</t>
  </si>
  <si>
    <t>estudiantes por clase</t>
  </si>
  <si>
    <t>costo por hora del salón</t>
  </si>
  <si>
    <t>fórmula de costo por estudiante</t>
  </si>
  <si>
    <t>(# estudiantes/15)*costo por hora del profesor</t>
  </si>
  <si>
    <t>fórmula de costo por sala</t>
  </si>
  <si>
    <t>(# estudiantes/15)*costo por hora del salón</t>
  </si>
  <si>
    <t>horas promedio que cursa un estudiante</t>
  </si>
  <si>
    <t>una vez (Avnet)</t>
  </si>
  <si>
    <t>costo por hora de profesor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</si>
</sst>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quot;#,##0.00_);[Red]\(&quot;$&quot;#,##0.00\)"/>
    <numFmt numFmtId="44" formatCode="_(&quot;$&quot;* #,##0.00_);_(&quot;$&quot;* \(#,##0.00\);_(&quot;$&quot;* &quot;-&quot;??_);_(@_)"/>
    <numFmt numFmtId="43" formatCode="_(* #,##0.00_);_(* \(#,##0.00\);_(* &quot;-&quot;??_);_(@_)"/>
    <numFmt numFmtId="164" formatCode="&quot;$&quot;#,##0.00"/>
    <numFmt numFmtId="165" formatCode="0.000%"/>
    <numFmt numFmtId="166" formatCode="_(* #,##0_);_(* \(#,##0\);_(* &quot;-&quot;??_);_(@_)"/>
    <numFmt numFmtId="167" formatCode="_(* #,##0.00000_);_(* \(#,##0.00000\);_(* &quot;-&quot;??_);_(@_)"/>
    <numFmt numFmtId="168" formatCode="0.0%"/>
    <numFmt numFmtId="169" formatCode="0.0"/>
    <numFmt numFmtId="170" formatCode="_(&quot;$&quot;* #,##0_);_(&quot;$&quot;* \(#,##0\);_(&quot;$&quot;* &quot;-&quot;??_);_(@_)"/>
    <numFmt numFmtId="171" formatCode="00,,"/>
  </numFmts>
  <fonts count="9" x14ac:knownFonts="1">
    <font>
      <sz val="11"/>
      <color theme="1"/>
      <name val="Calibri"/>
      <family val="2"/>
      <scheme val="minor"/>
    </font>
    <font>
      <b/>
      <sz val="12"/>
      <color theme="0"/>
      <name val="Calibri"/>
      <family val="2"/>
      <scheme val="minor"/>
    </font>
    <font>
      <b/>
      <sz val="14"/>
      <color theme="0"/>
      <name val="Calibri"/>
      <family val="2"/>
      <scheme val="minor"/>
    </font>
    <font>
      <sz val="11"/>
      <color theme="1"/>
      <name val="Calibri"/>
      <family val="2"/>
      <scheme val="minor"/>
    </font>
    <font>
      <i/>
      <sz val="11"/>
      <color theme="1"/>
      <name val="Calibri"/>
      <family val="2"/>
      <scheme val="minor"/>
    </font>
    <font>
      <b/>
      <sz val="11"/>
      <color theme="1"/>
      <name val="Calibri"/>
      <family val="2"/>
      <scheme val="minor"/>
    </font>
    <font>
      <sz val="10"/>
      <color rgb="FF515664"/>
      <name val="Arial"/>
      <family val="2"/>
    </font>
    <font>
      <sz val="10"/>
      <color rgb="FF333333"/>
      <name val="Arial"/>
      <family val="2"/>
    </font>
    <font>
      <sz val="11"/>
      <color theme="1"/>
      <name val="Arial"/>
      <family val="2"/>
    </font>
  </fonts>
  <fills count="12">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theme="8" tint="0.79998168889431442"/>
        <bgColor indexed="64"/>
      </patternFill>
    </fill>
    <fill>
      <patternFill patternType="solid">
        <fgColor theme="9"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4">
    <xf numFmtId="0" fontId="0" fillId="0" borderId="0"/>
    <xf numFmtId="43"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cellStyleXfs>
  <cellXfs count="134">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1" fillId="2" borderId="15" xfId="0" applyFont="1" applyFill="1" applyBorder="1"/>
    <xf numFmtId="0" fontId="0" fillId="0" borderId="16" xfId="0" applyBorder="1"/>
    <xf numFmtId="164" fontId="0" fillId="0" borderId="1" xfId="0" applyNumberFormat="1" applyBorder="1"/>
    <xf numFmtId="43" fontId="0" fillId="0" borderId="0" xfId="1" applyFont="1"/>
    <xf numFmtId="43" fontId="0" fillId="0" borderId="0" xfId="0" applyNumberFormat="1"/>
    <xf numFmtId="9" fontId="0" fillId="0" borderId="0" xfId="2" applyFont="1"/>
    <xf numFmtId="10" fontId="0" fillId="0" borderId="0" xfId="2" applyNumberFormat="1" applyFont="1"/>
    <xf numFmtId="165" fontId="0" fillId="0" borderId="0" xfId="2" applyNumberFormat="1" applyFont="1"/>
    <xf numFmtId="166" fontId="0" fillId="0" borderId="0" xfId="1" applyNumberFormat="1" applyFont="1"/>
    <xf numFmtId="166" fontId="0" fillId="0" borderId="0" xfId="0" applyNumberFormat="1"/>
    <xf numFmtId="167" fontId="0" fillId="0" borderId="0" xfId="0" applyNumberFormat="1"/>
    <xf numFmtId="0" fontId="4" fillId="0" borderId="0" xfId="0" applyFont="1"/>
    <xf numFmtId="9" fontId="0" fillId="0" borderId="0" xfId="0" applyNumberFormat="1"/>
    <xf numFmtId="8" fontId="0" fillId="0" borderId="0" xfId="0" applyNumberFormat="1"/>
    <xf numFmtId="0" fontId="0" fillId="0" borderId="0" xfId="0" applyAlignment="1">
      <alignment horizontal="center"/>
    </xf>
    <xf numFmtId="0" fontId="0" fillId="0" borderId="19" xfId="0" applyBorder="1"/>
    <xf numFmtId="43" fontId="0" fillId="0" borderId="19" xfId="0" applyNumberFormat="1" applyBorder="1"/>
    <xf numFmtId="43" fontId="0" fillId="0" borderId="20" xfId="0" applyNumberFormat="1" applyBorder="1"/>
    <xf numFmtId="0" fontId="0" fillId="0" borderId="22" xfId="0" applyBorder="1"/>
    <xf numFmtId="0" fontId="0" fillId="0" borderId="17" xfId="0" applyBorder="1"/>
    <xf numFmtId="8" fontId="0" fillId="0" borderId="17" xfId="0" applyNumberFormat="1" applyBorder="1"/>
    <xf numFmtId="0" fontId="0" fillId="0" borderId="24" xfId="0" applyBorder="1"/>
    <xf numFmtId="0" fontId="0" fillId="0" borderId="20" xfId="0" applyBorder="1"/>
    <xf numFmtId="0" fontId="0" fillId="6" borderId="1" xfId="0" applyFill="1" applyBorder="1" applyAlignment="1">
      <alignment horizontal="center"/>
    </xf>
    <xf numFmtId="0" fontId="0" fillId="0" borderId="0" xfId="0" applyAlignment="1">
      <alignment horizontal="left" vertical="center"/>
    </xf>
    <xf numFmtId="0" fontId="0" fillId="0" borderId="25" xfId="0" applyBorder="1" applyAlignment="1">
      <alignment horizontal="left" vertical="center"/>
    </xf>
    <xf numFmtId="0" fontId="0" fillId="7" borderId="1" xfId="0" applyFill="1" applyBorder="1" applyAlignment="1">
      <alignment horizontal="left" vertical="center"/>
    </xf>
    <xf numFmtId="169" fontId="0" fillId="0" borderId="1" xfId="0" applyNumberFormat="1" applyBorder="1"/>
    <xf numFmtId="10" fontId="0" fillId="0" borderId="1" xfId="2" applyNumberFormat="1" applyFont="1" applyBorder="1"/>
    <xf numFmtId="1" fontId="0" fillId="0" borderId="1" xfId="0" applyNumberFormat="1" applyBorder="1"/>
    <xf numFmtId="44" fontId="0" fillId="0" borderId="1" xfId="3" applyFont="1" applyBorder="1"/>
    <xf numFmtId="0" fontId="0" fillId="3" borderId="1" xfId="0" applyFill="1" applyBorder="1" applyAlignment="1">
      <alignment horizontal="left" vertical="center"/>
    </xf>
    <xf numFmtId="0" fontId="0" fillId="4" borderId="0" xfId="0" applyFill="1" applyAlignment="1">
      <alignment horizontal="left" vertical="center"/>
    </xf>
    <xf numFmtId="0" fontId="0" fillId="8" borderId="0" xfId="0" applyFill="1" applyAlignment="1">
      <alignment horizontal="left" vertical="center"/>
    </xf>
    <xf numFmtId="10" fontId="0" fillId="0" borderId="0" xfId="0" applyNumberFormat="1"/>
    <xf numFmtId="168" fontId="0" fillId="0" borderId="0" xfId="2" applyNumberFormat="1" applyFont="1"/>
    <xf numFmtId="0" fontId="0" fillId="4" borderId="19" xfId="0" applyFill="1" applyBorder="1" applyAlignment="1">
      <alignment horizontal="left" vertical="center"/>
    </xf>
    <xf numFmtId="168" fontId="0" fillId="0" borderId="22" xfId="2" applyNumberFormat="1" applyFont="1" applyBorder="1"/>
    <xf numFmtId="0" fontId="0" fillId="4" borderId="23" xfId="0" applyFill="1" applyBorder="1" applyAlignment="1">
      <alignment horizontal="left" vertical="center"/>
    </xf>
    <xf numFmtId="0" fontId="0" fillId="8" borderId="0" xfId="0" applyFill="1"/>
    <xf numFmtId="0" fontId="0" fillId="8" borderId="19" xfId="0" applyFill="1" applyBorder="1" applyAlignment="1">
      <alignment horizontal="left" vertical="center"/>
    </xf>
    <xf numFmtId="10" fontId="0" fillId="0" borderId="22" xfId="2" applyNumberFormat="1" applyFont="1" applyBorder="1"/>
    <xf numFmtId="0" fontId="0" fillId="8" borderId="23" xfId="0" applyFill="1" applyBorder="1" applyAlignment="1">
      <alignment horizontal="left" vertical="center"/>
    </xf>
    <xf numFmtId="44" fontId="0" fillId="0" borderId="0" xfId="0" applyNumberFormat="1"/>
    <xf numFmtId="44" fontId="0" fillId="0" borderId="26" xfId="3" applyFont="1" applyBorder="1"/>
    <xf numFmtId="44" fontId="0" fillId="0" borderId="26" xfId="0" applyNumberFormat="1" applyBorder="1"/>
    <xf numFmtId="0" fontId="0" fillId="0" borderId="25" xfId="0" applyBorder="1"/>
    <xf numFmtId="44" fontId="0" fillId="0" borderId="25" xfId="3" applyFont="1" applyBorder="1"/>
    <xf numFmtId="44" fontId="0" fillId="0" borderId="22" xfId="0" applyNumberFormat="1" applyBorder="1"/>
    <xf numFmtId="44" fontId="0" fillId="0" borderId="17" xfId="0" applyNumberFormat="1" applyBorder="1"/>
    <xf numFmtId="44" fontId="0" fillId="0" borderId="24" xfId="0" applyNumberFormat="1" applyBorder="1"/>
    <xf numFmtId="44" fontId="0" fillId="0" borderId="19" xfId="3" applyFont="1" applyBorder="1"/>
    <xf numFmtId="44" fontId="0" fillId="0" borderId="20" xfId="3" applyFont="1" applyBorder="1"/>
    <xf numFmtId="170" fontId="0" fillId="0" borderId="0" xfId="3" applyNumberFormat="1" applyFont="1"/>
    <xf numFmtId="0" fontId="4" fillId="3" borderId="0" xfId="0" applyFont="1" applyFill="1" applyAlignment="1">
      <alignment horizontal="center"/>
    </xf>
    <xf numFmtId="0" fontId="0" fillId="3" borderId="0" xfId="0" applyFill="1"/>
    <xf numFmtId="0" fontId="4" fillId="4" borderId="0" xfId="0" applyFont="1" applyFill="1" applyAlignment="1">
      <alignment horizontal="center"/>
    </xf>
    <xf numFmtId="0" fontId="0" fillId="4" borderId="0" xfId="0" applyFill="1"/>
    <xf numFmtId="0" fontId="4" fillId="8" borderId="0" xfId="0" applyFont="1" applyFill="1" applyAlignment="1">
      <alignment horizontal="center"/>
    </xf>
    <xf numFmtId="0" fontId="5" fillId="0" borderId="0" xfId="0" applyFont="1" applyAlignment="1">
      <alignment horizontal="center"/>
    </xf>
    <xf numFmtId="171" fontId="0" fillId="0" borderId="0" xfId="0" applyNumberFormat="1"/>
    <xf numFmtId="0" fontId="6" fillId="0" borderId="0" xfId="0" applyFont="1"/>
    <xf numFmtId="44" fontId="0" fillId="0" borderId="1" xfId="0" applyNumberFormat="1" applyBorder="1"/>
    <xf numFmtId="0" fontId="7" fillId="0" borderId="0" xfId="0" applyFont="1" applyAlignment="1">
      <alignment vertical="center" wrapText="1"/>
    </xf>
    <xf numFmtId="0" fontId="0" fillId="6" borderId="1" xfId="0" applyFill="1" applyBorder="1"/>
    <xf numFmtId="0" fontId="0" fillId="10" borderId="1" xfId="0" applyFill="1" applyBorder="1"/>
    <xf numFmtId="0" fontId="0" fillId="10" borderId="1" xfId="0" applyFill="1" applyBorder="1" applyAlignment="1">
      <alignment wrapText="1"/>
    </xf>
    <xf numFmtId="0" fontId="0" fillId="11" borderId="1" xfId="0" applyFill="1" applyBorder="1"/>
    <xf numFmtId="0" fontId="0" fillId="11" borderId="1" xfId="0" applyFill="1" applyBorder="1" applyAlignment="1">
      <alignment wrapText="1"/>
    </xf>
    <xf numFmtId="43" fontId="0" fillId="0" borderId="1" xfId="1" applyFont="1" applyBorder="1"/>
    <xf numFmtId="166" fontId="0" fillId="0" borderId="1" xfId="1" applyNumberFormat="1" applyFont="1" applyBorder="1"/>
    <xf numFmtId="0" fontId="0" fillId="8" borderId="1" xfId="0" applyFill="1" applyBorder="1"/>
    <xf numFmtId="0" fontId="0" fillId="8" borderId="1" xfId="0" applyFill="1" applyBorder="1" applyAlignment="1">
      <alignment wrapText="1"/>
    </xf>
    <xf numFmtId="0" fontId="8" fillId="0" borderId="28" xfId="0" applyFont="1" applyBorder="1" applyAlignment="1">
      <alignment vertical="center" wrapText="1"/>
    </xf>
    <xf numFmtId="0" fontId="8" fillId="0" borderId="16" xfId="0" applyFont="1" applyBorder="1" applyAlignment="1">
      <alignment vertical="center" wrapText="1"/>
    </xf>
    <xf numFmtId="0" fontId="8" fillId="0" borderId="29" xfId="0" applyFont="1" applyBorder="1" applyAlignment="1">
      <alignment vertical="center" wrapText="1"/>
    </xf>
    <xf numFmtId="8" fontId="8" fillId="0" borderId="30" xfId="0" applyNumberFormat="1" applyFont="1" applyBorder="1" applyAlignment="1">
      <alignment vertical="center" wrapText="1"/>
    </xf>
    <xf numFmtId="9" fontId="8" fillId="0" borderId="30" xfId="0" applyNumberFormat="1" applyFont="1" applyBorder="1" applyAlignment="1">
      <alignment vertical="center" wrapText="1"/>
    </xf>
    <xf numFmtId="43" fontId="8" fillId="0" borderId="30" xfId="0" applyNumberFormat="1" applyFont="1" applyBorder="1" applyAlignment="1">
      <alignment vertical="center" wrapText="1"/>
    </xf>
    <xf numFmtId="0" fontId="0" fillId="0" borderId="1" xfId="0" applyBorder="1" applyAlignment="1">
      <alignment horizontal="center"/>
    </xf>
    <xf numFmtId="0" fontId="5" fillId="0" borderId="0" xfId="0" applyFont="1"/>
    <xf numFmtId="0" fontId="0" fillId="0" borderId="0" xfId="0" applyAlignment="1">
      <alignment wrapText="1"/>
    </xf>
    <xf numFmtId="0" fontId="0" fillId="8" borderId="18" xfId="0" applyFill="1" applyBorder="1" applyAlignment="1">
      <alignment horizontal="center" vertical="center"/>
    </xf>
    <xf numFmtId="0" fontId="0" fillId="8" borderId="21" xfId="0" applyFill="1" applyBorder="1" applyAlignment="1">
      <alignment horizontal="center" vertical="center"/>
    </xf>
    <xf numFmtId="0" fontId="0" fillId="8" borderId="23" xfId="0" applyFill="1" applyBorder="1" applyAlignment="1">
      <alignment horizontal="center" vertical="center"/>
    </xf>
    <xf numFmtId="0" fontId="0" fillId="7" borderId="1" xfId="0" applyFill="1" applyBorder="1" applyAlignment="1">
      <alignment horizontal="left" vertical="center"/>
    </xf>
    <xf numFmtId="0" fontId="0" fillId="3" borderId="1" xfId="0" applyFill="1" applyBorder="1" applyAlignment="1">
      <alignment horizontal="left" vertical="center"/>
    </xf>
    <xf numFmtId="0" fontId="0" fillId="4" borderId="1" xfId="0" applyFill="1" applyBorder="1" applyAlignment="1">
      <alignment horizontal="left" vertical="center"/>
    </xf>
    <xf numFmtId="0" fontId="0" fillId="8" borderId="1" xfId="0" applyFill="1" applyBorder="1" applyAlignment="1">
      <alignment horizontal="left" vertical="center"/>
    </xf>
    <xf numFmtId="0" fontId="0" fillId="3" borderId="18"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0" fillId="4" borderId="18" xfId="0" applyFill="1" applyBorder="1" applyAlignment="1">
      <alignment horizontal="center" vertical="center"/>
    </xf>
    <xf numFmtId="0" fontId="0" fillId="4" borderId="21" xfId="0" applyFill="1" applyBorder="1" applyAlignment="1">
      <alignment horizontal="center" vertical="center"/>
    </xf>
    <xf numFmtId="0" fontId="0" fillId="4" borderId="23" xfId="0" applyFill="1" applyBorder="1" applyAlignment="1">
      <alignment horizontal="center" vertical="center"/>
    </xf>
    <xf numFmtId="0" fontId="0" fillId="5" borderId="18" xfId="0" applyFill="1" applyBorder="1" applyAlignment="1">
      <alignment horizontal="center" vertical="center"/>
    </xf>
    <xf numFmtId="0" fontId="0" fillId="5" borderId="21" xfId="0" applyFill="1" applyBorder="1" applyAlignment="1">
      <alignment horizontal="center" vertical="center"/>
    </xf>
    <xf numFmtId="0" fontId="0" fillId="5" borderId="23" xfId="0" applyFill="1" applyBorder="1" applyAlignment="1">
      <alignment horizontal="center" vertical="center"/>
    </xf>
    <xf numFmtId="0" fontId="0" fillId="9" borderId="19" xfId="0" applyFill="1" applyBorder="1" applyAlignment="1">
      <alignment horizontal="center" vertical="center"/>
    </xf>
    <xf numFmtId="0" fontId="0" fillId="9" borderId="0" xfId="0" applyFill="1" applyAlignment="1">
      <alignment horizontal="center" vertical="center"/>
    </xf>
    <xf numFmtId="0" fontId="0" fillId="6" borderId="25" xfId="0" applyFill="1" applyBorder="1" applyAlignment="1">
      <alignment horizontal="center" vertical="center"/>
    </xf>
    <xf numFmtId="0" fontId="0" fillId="6" borderId="27" xfId="0" applyFill="1" applyBorder="1" applyAlignment="1">
      <alignment horizontal="center" vertical="center"/>
    </xf>
    <xf numFmtId="0" fontId="0" fillId="10" borderId="20" xfId="0" applyFill="1" applyBorder="1" applyAlignment="1">
      <alignment horizontal="center" vertical="center"/>
    </xf>
    <xf numFmtId="0" fontId="0" fillId="10" borderId="22" xfId="0" applyFill="1" applyBorder="1" applyAlignment="1">
      <alignment horizontal="center" vertical="center"/>
    </xf>
    <xf numFmtId="0" fontId="0" fillId="10" borderId="24" xfId="0" applyFill="1" applyBorder="1" applyAlignment="1">
      <alignment horizontal="center" vertical="center"/>
    </xf>
    <xf numFmtId="0" fontId="0" fillId="11" borderId="20" xfId="0" applyFill="1" applyBorder="1" applyAlignment="1">
      <alignment horizontal="center" vertical="center" wrapText="1"/>
    </xf>
    <xf numFmtId="0" fontId="0" fillId="11" borderId="22" xfId="0" applyFill="1" applyBorder="1" applyAlignment="1">
      <alignment horizontal="center" vertical="center" wrapText="1"/>
    </xf>
    <xf numFmtId="0" fontId="0" fillId="11" borderId="24" xfId="0" applyFill="1" applyBorder="1" applyAlignment="1">
      <alignment horizontal="center" vertical="center" wrapText="1"/>
    </xf>
    <xf numFmtId="0" fontId="0" fillId="8" borderId="20" xfId="0" applyFill="1" applyBorder="1" applyAlignment="1">
      <alignment horizontal="center" vertical="center" wrapText="1"/>
    </xf>
    <xf numFmtId="0" fontId="0" fillId="8" borderId="22" xfId="0" applyFill="1" applyBorder="1" applyAlignment="1">
      <alignment horizontal="center" vertical="center" wrapText="1"/>
    </xf>
    <xf numFmtId="0" fontId="0" fillId="8" borderId="24" xfId="0" applyFill="1" applyBorder="1" applyAlignment="1">
      <alignment horizontal="center" vertical="center" wrapText="1"/>
    </xf>
    <xf numFmtId="0" fontId="0" fillId="0" borderId="13" xfId="0" applyBorder="1" applyAlignment="1">
      <alignment horizontal="center" wrapText="1"/>
    </xf>
    <xf numFmtId="0" fontId="0" fillId="0" borderId="14" xfId="0" applyBorder="1" applyAlignment="1">
      <alignment horizontal="center" wrapText="1"/>
    </xf>
    <xf numFmtId="0" fontId="2" fillId="2" borderId="0" xfId="0" applyFont="1" applyFill="1" applyAlignment="1">
      <alignment horizontal="center"/>
    </xf>
    <xf numFmtId="0" fontId="2" fillId="2" borderId="17" xfId="0" applyFont="1" applyFill="1" applyBorder="1" applyAlignment="1">
      <alignment horizontal="center" wrapText="1"/>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'impacto económico'!$B$61</c:f>
              <c:strCache>
                <c:ptCount val="1"/>
                <c:pt idx="0">
                  <c:v>sin proyecto</c:v>
                </c:pt>
              </c:strCache>
            </c:strRef>
          </c:tx>
          <c:spPr>
            <a:ln w="28575" cap="rnd">
              <a:solidFill>
                <a:schemeClr val="accent1"/>
              </a:solidFill>
              <a:round/>
            </a:ln>
            <a:effectLst/>
          </c:spPr>
          <c:marker>
            <c:symbol val="none"/>
          </c:marker>
          <c:val>
            <c:numRef>
              <c:f>'impacto económico'!$C$61:$L$61</c:f>
              <c:numCache>
                <c:formatCode>00,,</c:formatCode>
                <c:ptCount val="10"/>
                <c:pt idx="0">
                  <c:v>24106065.439288631</c:v>
                </c:pt>
                <c:pt idx="1">
                  <c:v>25737302.95021794</c:v>
                </c:pt>
                <c:pt idx="2">
                  <c:v>27478924.954368029</c:v>
                </c:pt>
                <c:pt idx="3">
                  <c:v>29338401.0790997</c:v>
                </c:pt>
                <c:pt idx="4">
                  <c:v>31323706.415279381</c:v>
                </c:pt>
                <c:pt idx="5">
                  <c:v>33443355.721576482</c:v>
                </c:pt>
                <c:pt idx="6">
                  <c:v>35706439.943337299</c:v>
                </c:pt>
                <c:pt idx="7">
                  <c:v>38122665.202660881</c:v>
                </c:pt>
                <c:pt idx="8">
                  <c:v>40702394.426901095</c:v>
                </c:pt>
                <c:pt idx="9">
                  <c:v>43456691.794135004</c:v>
                </c:pt>
              </c:numCache>
            </c:numRef>
          </c:val>
          <c:smooth val="0"/>
          <c:extLst>
            <c:ext xmlns:c16="http://schemas.microsoft.com/office/drawing/2014/chart" uri="{C3380CC4-5D6E-409C-BE32-E72D297353CC}">
              <c16:uniqueId val="{00000000-F183-4F57-B34A-957708DB72C0}"/>
            </c:ext>
          </c:extLst>
        </c:ser>
        <c:ser>
          <c:idx val="1"/>
          <c:order val="1"/>
          <c:tx>
            <c:strRef>
              <c:f>'impacto económico'!$B$62</c:f>
              <c:strCache>
                <c:ptCount val="1"/>
                <c:pt idx="0">
                  <c:v>base</c:v>
                </c:pt>
              </c:strCache>
            </c:strRef>
          </c:tx>
          <c:spPr>
            <a:ln w="28575" cap="rnd">
              <a:solidFill>
                <a:schemeClr val="accent2"/>
              </a:solidFill>
              <a:round/>
            </a:ln>
            <a:effectLst/>
          </c:spPr>
          <c:marker>
            <c:symbol val="none"/>
          </c:marker>
          <c:val>
            <c:numRef>
              <c:f>'impacto económico'!$C$62:$L$62</c:f>
              <c:numCache>
                <c:formatCode>00,,</c:formatCode>
                <c:ptCount val="10"/>
                <c:pt idx="0">
                  <c:v>24106065.439288631</c:v>
                </c:pt>
                <c:pt idx="1">
                  <c:v>24450437.802707043</c:v>
                </c:pt>
                <c:pt idx="2">
                  <c:v>24731032.458931226</c:v>
                </c:pt>
                <c:pt idx="3">
                  <c:v>23470720.86327976</c:v>
                </c:pt>
                <c:pt idx="4">
                  <c:v>21926594.490695566</c:v>
                </c:pt>
                <c:pt idx="5">
                  <c:v>23410349.005103536</c:v>
                </c:pt>
                <c:pt idx="6">
                  <c:v>24994507.960336111</c:v>
                </c:pt>
                <c:pt idx="7">
                  <c:v>26685865.641862616</c:v>
                </c:pt>
                <c:pt idx="8">
                  <c:v>28491676.098830767</c:v>
                </c:pt>
                <c:pt idx="9">
                  <c:v>30419684.255894504</c:v>
                </c:pt>
              </c:numCache>
            </c:numRef>
          </c:val>
          <c:smooth val="0"/>
          <c:extLst>
            <c:ext xmlns:c16="http://schemas.microsoft.com/office/drawing/2014/chart" uri="{C3380CC4-5D6E-409C-BE32-E72D297353CC}">
              <c16:uniqueId val="{00000001-F183-4F57-B34A-957708DB72C0}"/>
            </c:ext>
          </c:extLst>
        </c:ser>
        <c:ser>
          <c:idx val="2"/>
          <c:order val="2"/>
          <c:tx>
            <c:strRef>
              <c:f>'impacto económico'!$B$63</c:f>
              <c:strCache>
                <c:ptCount val="1"/>
                <c:pt idx="0">
                  <c:v>conservador</c:v>
                </c:pt>
              </c:strCache>
            </c:strRef>
          </c:tx>
          <c:spPr>
            <a:ln w="28575" cap="rnd">
              <a:solidFill>
                <a:schemeClr val="accent3"/>
              </a:solidFill>
              <a:round/>
            </a:ln>
            <a:effectLst/>
          </c:spPr>
          <c:marker>
            <c:symbol val="none"/>
          </c:marker>
          <c:val>
            <c:numRef>
              <c:f>'impacto económico'!$C$63:$L$63</c:f>
              <c:numCache>
                <c:formatCode>00,,</c:formatCode>
                <c:ptCount val="10"/>
                <c:pt idx="0">
                  <c:v>24106065.439288631</c:v>
                </c:pt>
                <c:pt idx="1">
                  <c:v>24965183.861711401</c:v>
                </c:pt>
                <c:pt idx="2">
                  <c:v>26104978.706649628</c:v>
                </c:pt>
                <c:pt idx="3">
                  <c:v>26404560.97118973</c:v>
                </c:pt>
                <c:pt idx="4">
                  <c:v>25058965.132223506</c:v>
                </c:pt>
                <c:pt idx="5">
                  <c:v>26754684.577261187</c:v>
                </c:pt>
                <c:pt idx="6">
                  <c:v>28565151.954669841</c:v>
                </c:pt>
                <c:pt idx="7">
                  <c:v>30498132.162128706</c:v>
                </c:pt>
                <c:pt idx="8">
                  <c:v>32561915.541520875</c:v>
                </c:pt>
                <c:pt idx="9">
                  <c:v>34765353.435308002</c:v>
                </c:pt>
              </c:numCache>
            </c:numRef>
          </c:val>
          <c:smooth val="0"/>
          <c:extLst>
            <c:ext xmlns:c16="http://schemas.microsoft.com/office/drawing/2014/chart" uri="{C3380CC4-5D6E-409C-BE32-E72D297353CC}">
              <c16:uniqueId val="{00000002-F183-4F57-B34A-957708DB72C0}"/>
            </c:ext>
          </c:extLst>
        </c:ser>
        <c:ser>
          <c:idx val="3"/>
          <c:order val="3"/>
          <c:tx>
            <c:strRef>
              <c:f>'impacto económico'!$B$64</c:f>
              <c:strCache>
                <c:ptCount val="1"/>
                <c:pt idx="0">
                  <c:v>optimista</c:v>
                </c:pt>
              </c:strCache>
            </c:strRef>
          </c:tx>
          <c:spPr>
            <a:ln w="28575" cap="rnd">
              <a:solidFill>
                <a:schemeClr val="accent4"/>
              </a:solidFill>
              <a:round/>
            </a:ln>
            <a:effectLst/>
          </c:spPr>
          <c:marker>
            <c:symbol val="none"/>
          </c:marker>
          <c:val>
            <c:numRef>
              <c:f>'impacto económico'!$C$64:$L$64</c:f>
              <c:numCache>
                <c:formatCode>00,,</c:formatCode>
                <c:ptCount val="10"/>
                <c:pt idx="0">
                  <c:v>24106065.439288631</c:v>
                </c:pt>
                <c:pt idx="1">
                  <c:v>23163572.655196145</c:v>
                </c:pt>
                <c:pt idx="2">
                  <c:v>21983139.963494424</c:v>
                </c:pt>
                <c:pt idx="3">
                  <c:v>20536880.75536979</c:v>
                </c:pt>
                <c:pt idx="4">
                  <c:v>18794223.84916763</c:v>
                </c:pt>
                <c:pt idx="5">
                  <c:v>20066013.432945888</c:v>
                </c:pt>
                <c:pt idx="6">
                  <c:v>21423863.966002379</c:v>
                </c:pt>
                <c:pt idx="7">
                  <c:v>22873599.12159653</c:v>
                </c:pt>
                <c:pt idx="8">
                  <c:v>24421436.656140655</c:v>
                </c:pt>
                <c:pt idx="9">
                  <c:v>26074015.076481003</c:v>
                </c:pt>
              </c:numCache>
            </c:numRef>
          </c:val>
          <c:smooth val="0"/>
          <c:extLst>
            <c:ext xmlns:c16="http://schemas.microsoft.com/office/drawing/2014/chart" uri="{C3380CC4-5D6E-409C-BE32-E72D297353CC}">
              <c16:uniqueId val="{00000003-F183-4F57-B34A-957708DB72C0}"/>
            </c:ext>
          </c:extLst>
        </c:ser>
        <c:dLbls>
          <c:showLegendKey val="0"/>
          <c:showVal val="0"/>
          <c:showCatName val="0"/>
          <c:showSerName val="0"/>
          <c:showPercent val="0"/>
          <c:showBubbleSize val="0"/>
        </c:dLbls>
        <c:smooth val="0"/>
        <c:axId val="354365824"/>
        <c:axId val="504012856"/>
      </c:lineChart>
      <c:catAx>
        <c:axId val="35436582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4012856"/>
        <c:crosses val="autoZero"/>
        <c:auto val="1"/>
        <c:lblAlgn val="ctr"/>
        <c:lblOffset val="100"/>
        <c:noMultiLvlLbl val="0"/>
      </c:catAx>
      <c:valAx>
        <c:axId val="5040128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43658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868680</xdr:colOff>
      <xdr:row>65</xdr:row>
      <xdr:rowOff>38100</xdr:rowOff>
    </xdr:from>
    <xdr:to>
      <xdr:col>12</xdr:col>
      <xdr:colOff>556260</xdr:colOff>
      <xdr:row>80</xdr:row>
      <xdr:rowOff>38100</xdr:rowOff>
    </xdr:to>
    <xdr:graphicFrame macro="">
      <xdr:nvGraphicFramePr>
        <xdr:cNvPr id="4" name="Chart 3">
          <a:extLst>
            <a:ext uri="{FF2B5EF4-FFF2-40B4-BE49-F238E27FC236}">
              <a16:creationId xmlns:a16="http://schemas.microsoft.com/office/drawing/2014/main" id="{1C3B9E13-8DA8-4E5B-939A-79EB47EB65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76E5A-FCD1-445F-96F7-3BC4B7C26731}">
  <dimension ref="A1:K46"/>
  <sheetViews>
    <sheetView tabSelected="1" topLeftCell="A25" workbookViewId="0">
      <selection activeCell="F43" sqref="F43"/>
    </sheetView>
  </sheetViews>
  <sheetFormatPr defaultRowHeight="14.4" x14ac:dyDescent="0.3"/>
  <cols>
    <col min="1" max="1" width="55.33203125" bestFit="1" customWidth="1"/>
    <col min="2" max="2" width="15.5546875" bestFit="1" customWidth="1"/>
    <col min="3" max="4" width="14.21875" bestFit="1" customWidth="1"/>
    <col min="5" max="5" width="14.88671875" bestFit="1" customWidth="1"/>
    <col min="6" max="11" width="14.6640625" bestFit="1" customWidth="1"/>
  </cols>
  <sheetData>
    <row r="1" spans="1:11" x14ac:dyDescent="0.3">
      <c r="A1" t="s">
        <v>73</v>
      </c>
      <c r="B1" s="15">
        <v>0.12</v>
      </c>
    </row>
    <row r="2" spans="1:11" x14ac:dyDescent="0.3">
      <c r="B2" t="s">
        <v>23</v>
      </c>
    </row>
    <row r="3" spans="1:11" x14ac:dyDescent="0.3">
      <c r="B3" s="24">
        <v>1</v>
      </c>
      <c r="C3" s="24">
        <v>2</v>
      </c>
      <c r="D3" s="24">
        <v>3</v>
      </c>
      <c r="E3" s="24">
        <v>4</v>
      </c>
      <c r="F3" s="24">
        <v>5</v>
      </c>
      <c r="G3" s="24">
        <v>6</v>
      </c>
      <c r="H3" s="24">
        <v>7</v>
      </c>
      <c r="I3" s="24">
        <v>8</v>
      </c>
      <c r="J3" s="24">
        <v>9</v>
      </c>
      <c r="K3" s="24">
        <v>10</v>
      </c>
    </row>
    <row r="4" spans="1:11" x14ac:dyDescent="0.3">
      <c r="B4" s="24">
        <v>2019</v>
      </c>
      <c r="C4" s="24">
        <v>2020</v>
      </c>
      <c r="D4" s="24">
        <v>2021</v>
      </c>
      <c r="E4" s="24">
        <v>2022</v>
      </c>
      <c r="F4" s="24">
        <v>2023</v>
      </c>
      <c r="G4" s="24">
        <v>2024</v>
      </c>
      <c r="H4" s="24">
        <v>2025</v>
      </c>
      <c r="I4" s="24">
        <v>2026</v>
      </c>
      <c r="J4" s="24">
        <v>2027</v>
      </c>
      <c r="K4" s="24">
        <v>2028</v>
      </c>
    </row>
    <row r="5" spans="1:11" x14ac:dyDescent="0.3">
      <c r="A5" s="69" t="s">
        <v>110</v>
      </c>
      <c r="B5" s="63">
        <v>2000000</v>
      </c>
      <c r="C5" s="63">
        <v>2000000</v>
      </c>
      <c r="D5" s="63">
        <v>2000000</v>
      </c>
      <c r="E5" s="63">
        <v>2000000</v>
      </c>
      <c r="F5" s="63">
        <v>1000000</v>
      </c>
    </row>
    <row r="6" spans="1:11" x14ac:dyDescent="0.3">
      <c r="A6" t="s">
        <v>101</v>
      </c>
      <c r="B6" s="63">
        <f>B5/(1+$B$1)^B3</f>
        <v>1785714.2857142854</v>
      </c>
      <c r="C6" s="63">
        <f t="shared" ref="C6:F6" si="0">C5/(1+$B$1)^C3</f>
        <v>1594387.7551020405</v>
      </c>
      <c r="D6" s="63">
        <f t="shared" si="0"/>
        <v>1423560.4956268216</v>
      </c>
      <c r="E6" s="63">
        <f t="shared" si="0"/>
        <v>1271036.1568096622</v>
      </c>
      <c r="F6" s="63">
        <f t="shared" si="0"/>
        <v>567426.85571859928</v>
      </c>
    </row>
    <row r="7" spans="1:11" x14ac:dyDescent="0.3">
      <c r="A7" t="s">
        <v>102</v>
      </c>
      <c r="B7" s="63">
        <f>NPV(B1,B5:F5)</f>
        <v>6642125.548971409</v>
      </c>
      <c r="C7" s="63"/>
      <c r="D7" s="63"/>
      <c r="E7" s="63"/>
      <c r="F7" s="63"/>
    </row>
    <row r="8" spans="1:11" x14ac:dyDescent="0.3">
      <c r="A8" s="69" t="s">
        <v>108</v>
      </c>
      <c r="B8" s="63"/>
      <c r="C8" s="63"/>
      <c r="D8" s="63"/>
      <c r="E8" s="63"/>
      <c r="F8" s="63"/>
    </row>
    <row r="9" spans="1:11" x14ac:dyDescent="0.3">
      <c r="A9" s="64" t="s">
        <v>95</v>
      </c>
    </row>
    <row r="10" spans="1:11" x14ac:dyDescent="0.3">
      <c r="A10" s="65" t="s">
        <v>96</v>
      </c>
      <c r="B10" s="53">
        <f>'costos de remediación'!E23</f>
        <v>0</v>
      </c>
      <c r="C10" s="53">
        <f>'costos de remediación'!F23</f>
        <v>-33136.033919999376</v>
      </c>
      <c r="D10" s="53">
        <f>'costos de remediación'!G23</f>
        <v>-78454.199350346811</v>
      </c>
      <c r="E10" s="53">
        <f>'costos de remediación'!H23</f>
        <v>-139315.01664885553</v>
      </c>
      <c r="F10" s="53">
        <f>'costos de remediación'!I23</f>
        <v>-219903.40280313417</v>
      </c>
      <c r="G10" s="53">
        <f>'costos de remediación'!J23</f>
        <v>117096.57207996678</v>
      </c>
      <c r="H10" s="53">
        <f>'costos de remediación'!K23</f>
        <v>551337.83023530152</v>
      </c>
      <c r="I10" s="53">
        <f>'costos de remediación'!L23</f>
        <v>1103791.3075738475</v>
      </c>
      <c r="J10" s="53">
        <f>'costos de remediación'!M23</f>
        <v>1799515.7185400072</v>
      </c>
      <c r="K10" s="53">
        <f>'costos de remediación'!N23</f>
        <v>2668418.6851997375</v>
      </c>
    </row>
    <row r="11" spans="1:11" x14ac:dyDescent="0.3">
      <c r="A11" s="65" t="s">
        <v>97</v>
      </c>
      <c r="B11" s="14">
        <f>'impacto económico'!C48</f>
        <v>0</v>
      </c>
      <c r="C11" s="14">
        <f>'impacto económico'!D48</f>
        <v>1286865.1475108971</v>
      </c>
      <c r="D11" s="14">
        <f>'impacto económico'!E48</f>
        <v>2747892.495436803</v>
      </c>
      <c r="E11" s="14">
        <f>'impacto económico'!F48</f>
        <v>5867680.21581994</v>
      </c>
      <c r="F11" s="14">
        <f>'impacto económico'!G48</f>
        <v>9397111.9245838132</v>
      </c>
      <c r="G11" s="14">
        <f>'impacto económico'!H48</f>
        <v>10033006.716472944</v>
      </c>
      <c r="H11" s="14">
        <f>'impacto económico'!I48</f>
        <v>10711931.983001189</v>
      </c>
      <c r="I11" s="14">
        <f>'impacto económico'!J48</f>
        <v>11436799.560798263</v>
      </c>
      <c r="J11" s="14">
        <f>'impacto económico'!K48</f>
        <v>12210718.328070328</v>
      </c>
      <c r="K11" s="14">
        <f>'impacto económico'!L48</f>
        <v>13037007.538240502</v>
      </c>
    </row>
    <row r="12" spans="1:11" x14ac:dyDescent="0.3">
      <c r="A12" s="65" t="s">
        <v>98</v>
      </c>
      <c r="B12" s="53">
        <f>capacitación!E16</f>
        <v>0</v>
      </c>
      <c r="C12" s="53">
        <f>capacitación!F16</f>
        <v>0</v>
      </c>
      <c r="D12" s="53">
        <f>capacitación!G16</f>
        <v>-112800</v>
      </c>
      <c r="E12" s="53">
        <f>capacitación!H16</f>
        <v>598500</v>
      </c>
      <c r="F12" s="53">
        <f>capacitación!I16</f>
        <v>1557600</v>
      </c>
      <c r="G12" s="53">
        <f>capacitación!J16</f>
        <v>2517600</v>
      </c>
      <c r="H12" s="53">
        <f>capacitación!K16</f>
        <v>3477600</v>
      </c>
      <c r="I12" s="53">
        <f>capacitación!L16</f>
        <v>4437600</v>
      </c>
      <c r="J12" s="53">
        <f>capacitación!M16</f>
        <v>5397600</v>
      </c>
      <c r="K12" s="53">
        <f>capacitación!N16</f>
        <v>6357600</v>
      </c>
    </row>
    <row r="13" spans="1:11" x14ac:dyDescent="0.3">
      <c r="A13" s="65" t="s">
        <v>99</v>
      </c>
      <c r="B13" s="53">
        <f>B10+B11+B12</f>
        <v>0</v>
      </c>
      <c r="C13" s="53">
        <f t="shared" ref="C13:K13" si="1">C10+C11+C12</f>
        <v>1253729.1135908978</v>
      </c>
      <c r="D13" s="53">
        <f t="shared" si="1"/>
        <v>2556638.2960864562</v>
      </c>
      <c r="E13" s="53">
        <f t="shared" si="1"/>
        <v>6326865.1991710849</v>
      </c>
      <c r="F13" s="53">
        <f t="shared" si="1"/>
        <v>10734808.521780679</v>
      </c>
      <c r="G13" s="53">
        <f t="shared" si="1"/>
        <v>12667703.28855291</v>
      </c>
      <c r="H13" s="53">
        <f t="shared" si="1"/>
        <v>14740869.81323649</v>
      </c>
      <c r="I13" s="53">
        <f t="shared" si="1"/>
        <v>16978190.868372113</v>
      </c>
      <c r="J13" s="53">
        <f t="shared" si="1"/>
        <v>19407834.046610333</v>
      </c>
      <c r="K13" s="53">
        <f t="shared" si="1"/>
        <v>22063026.223440237</v>
      </c>
    </row>
    <row r="14" spans="1:11" x14ac:dyDescent="0.3">
      <c r="A14" s="65" t="s">
        <v>100</v>
      </c>
      <c r="B14" s="53">
        <f>B13-B5</f>
        <v>-2000000</v>
      </c>
      <c r="C14" s="53">
        <f t="shared" ref="C14:K14" si="2">C13-C5</f>
        <v>-746270.88640910224</v>
      </c>
      <c r="D14" s="53">
        <f t="shared" si="2"/>
        <v>556638.29608645616</v>
      </c>
      <c r="E14" s="53">
        <f t="shared" si="2"/>
        <v>4326865.1991710849</v>
      </c>
      <c r="F14" s="53">
        <f t="shared" si="2"/>
        <v>9734808.521780679</v>
      </c>
      <c r="G14" s="53">
        <f t="shared" si="2"/>
        <v>12667703.28855291</v>
      </c>
      <c r="H14" s="53">
        <f t="shared" si="2"/>
        <v>14740869.81323649</v>
      </c>
      <c r="I14" s="53">
        <f t="shared" si="2"/>
        <v>16978190.868372113</v>
      </c>
      <c r="J14" s="53">
        <f t="shared" si="2"/>
        <v>19407834.046610333</v>
      </c>
      <c r="K14" s="53">
        <f t="shared" si="2"/>
        <v>22063026.223440237</v>
      </c>
    </row>
    <row r="15" spans="1:11" x14ac:dyDescent="0.3">
      <c r="A15" s="65" t="s">
        <v>103</v>
      </c>
      <c r="B15" s="23">
        <f>NPV(B1,B13:K13)</f>
        <v>46976729.302301586</v>
      </c>
      <c r="C15" s="53"/>
      <c r="D15" s="53"/>
      <c r="E15" s="53"/>
      <c r="F15" s="53"/>
      <c r="G15" s="53"/>
      <c r="H15" s="53"/>
      <c r="I15" s="53"/>
      <c r="J15" s="53"/>
      <c r="K15" s="53"/>
    </row>
    <row r="16" spans="1:11" x14ac:dyDescent="0.3">
      <c r="A16" s="65" t="s">
        <v>106</v>
      </c>
      <c r="B16" s="23">
        <f>NPV(B1,B14:K14)</f>
        <v>40334603.753330179</v>
      </c>
    </row>
    <row r="17" spans="1:11" x14ac:dyDescent="0.3">
      <c r="A17" s="65" t="s">
        <v>104</v>
      </c>
      <c r="B17" s="22">
        <f>IRR(B14:K14)</f>
        <v>0.95809153588408535</v>
      </c>
    </row>
    <row r="18" spans="1:11" x14ac:dyDescent="0.3">
      <c r="A18" s="65" t="s">
        <v>105</v>
      </c>
      <c r="B18" s="13">
        <f>B15/B7</f>
        <v>7.0725446178258915</v>
      </c>
    </row>
    <row r="20" spans="1:11" x14ac:dyDescent="0.3">
      <c r="A20" s="66" t="s">
        <v>107</v>
      </c>
    </row>
    <row r="21" spans="1:11" x14ac:dyDescent="0.3">
      <c r="A21" s="67" t="s">
        <v>96</v>
      </c>
      <c r="B21" s="53">
        <f>'costos de remediación'!E28</f>
        <v>0</v>
      </c>
      <c r="C21" s="53">
        <f>'costos de remediación'!F28</f>
        <v>-374435.95199999958</v>
      </c>
      <c r="D21" s="53">
        <f>'costos de remediación'!G28</f>
        <v>-903644.07460799767</v>
      </c>
      <c r="E21" s="53">
        <f>'costos de remediación'!H28</f>
        <v>-1618521.5737062204</v>
      </c>
      <c r="F21" s="53">
        <f>'costos de remediación'!I28</f>
        <v>-2540520.4567215564</v>
      </c>
      <c r="G21" s="53">
        <f>'costos de remediación'!J28</f>
        <v>-2435582.1872302974</v>
      </c>
      <c r="H21" s="53">
        <f>'costos de remediación'!K28</f>
        <v>-2256608.80500599</v>
      </c>
      <c r="I21" s="53">
        <f>'costos de remediación'!L28</f>
        <v>-1984949.9911915716</v>
      </c>
      <c r="J21" s="53">
        <f>'costos de remediación'!M28</f>
        <v>-1598099.7101019546</v>
      </c>
      <c r="K21" s="53">
        <f>'costos de remediación'!N28</f>
        <v>-1068958.2863064222</v>
      </c>
    </row>
    <row r="22" spans="1:11" x14ac:dyDescent="0.3">
      <c r="A22" s="67" t="s">
        <v>97</v>
      </c>
      <c r="B22" s="14">
        <f>'impacto económico'!C52</f>
        <v>0</v>
      </c>
      <c r="C22" s="14">
        <f>'impacto económico'!D52</f>
        <v>772119.08850653819</v>
      </c>
      <c r="D22" s="14">
        <f>'impacto económico'!E52</f>
        <v>1373946.2477184015</v>
      </c>
      <c r="E22" s="14">
        <f>'impacto económico'!F52</f>
        <v>2933840.10790997</v>
      </c>
      <c r="F22" s="14">
        <f>'impacto económico'!G52</f>
        <v>6264741.2830558764</v>
      </c>
      <c r="G22" s="14">
        <f>'impacto económico'!H52</f>
        <v>6688671.1443152968</v>
      </c>
      <c r="H22" s="14">
        <f>'impacto económico'!I52</f>
        <v>7141287.9886674602</v>
      </c>
      <c r="I22" s="14">
        <f>'impacto económico'!J52</f>
        <v>7624533.0405321764</v>
      </c>
      <c r="J22" s="14">
        <f>'impacto económico'!K52</f>
        <v>8140478.8853802197</v>
      </c>
      <c r="K22" s="14">
        <f>'impacto económico'!L52</f>
        <v>8691338.3588270005</v>
      </c>
    </row>
    <row r="23" spans="1:11" x14ac:dyDescent="0.3">
      <c r="A23" s="67" t="s">
        <v>98</v>
      </c>
      <c r="B23" s="53">
        <f>capacitación!E21</f>
        <v>0</v>
      </c>
      <c r="C23" s="53">
        <f>capacitación!F21</f>
        <v>0</v>
      </c>
      <c r="D23" s="53">
        <f>capacitación!G21</f>
        <v>-112800</v>
      </c>
      <c r="E23" s="53">
        <f>capacitación!H21</f>
        <v>238500</v>
      </c>
      <c r="F23" s="53">
        <f>capacitación!I21</f>
        <v>717600</v>
      </c>
      <c r="G23" s="53">
        <f>capacitación!J21</f>
        <v>1437600</v>
      </c>
      <c r="H23" s="53">
        <f>capacitación!K21</f>
        <v>2157600</v>
      </c>
      <c r="I23" s="53">
        <f>capacitación!L21</f>
        <v>2877600</v>
      </c>
      <c r="J23" s="53">
        <f>capacitación!M21</f>
        <v>3597600</v>
      </c>
      <c r="K23" s="53">
        <f>capacitación!N21</f>
        <v>4317600</v>
      </c>
    </row>
    <row r="24" spans="1:11" x14ac:dyDescent="0.3">
      <c r="A24" s="67" t="s">
        <v>99</v>
      </c>
      <c r="B24" s="53">
        <f>B21+B22+B23</f>
        <v>0</v>
      </c>
      <c r="C24" s="53">
        <f t="shared" ref="C24" si="3">C21+C22+C23</f>
        <v>397683.13650653861</v>
      </c>
      <c r="D24" s="53">
        <f t="shared" ref="D24" si="4">D21+D22+D23</f>
        <v>357502.17311040382</v>
      </c>
      <c r="E24" s="53">
        <f t="shared" ref="E24" si="5">E21+E22+E23</f>
        <v>1553818.5342037496</v>
      </c>
      <c r="F24" s="53">
        <f t="shared" ref="F24" si="6">F21+F22+F23</f>
        <v>4441820.82633432</v>
      </c>
      <c r="G24" s="53">
        <f t="shared" ref="G24" si="7">G21+G22+G23</f>
        <v>5690688.9570849994</v>
      </c>
      <c r="H24" s="53">
        <f t="shared" ref="H24" si="8">H21+H22+H23</f>
        <v>7042279.1836614702</v>
      </c>
      <c r="I24" s="53">
        <f t="shared" ref="I24" si="9">I21+I22+I23</f>
        <v>8517183.0493406057</v>
      </c>
      <c r="J24" s="53">
        <f t="shared" ref="J24" si="10">J21+J22+J23</f>
        <v>10139979.175278265</v>
      </c>
      <c r="K24" s="53">
        <f t="shared" ref="K24" si="11">K21+K22+K23</f>
        <v>11939980.072520578</v>
      </c>
    </row>
    <row r="25" spans="1:11" x14ac:dyDescent="0.3">
      <c r="A25" s="67" t="s">
        <v>100</v>
      </c>
      <c r="B25" s="53">
        <f>B24-B5</f>
        <v>-2000000</v>
      </c>
      <c r="C25" s="53">
        <f t="shared" ref="C25:K25" si="12">C24-C5</f>
        <v>-1602316.8634934614</v>
      </c>
      <c r="D25" s="53">
        <f t="shared" si="12"/>
        <v>-1642497.8268895962</v>
      </c>
      <c r="E25" s="53">
        <f t="shared" si="12"/>
        <v>-446181.46579625038</v>
      </c>
      <c r="F25" s="53">
        <f t="shared" si="12"/>
        <v>3441820.82633432</v>
      </c>
      <c r="G25" s="53">
        <f t="shared" si="12"/>
        <v>5690688.9570849994</v>
      </c>
      <c r="H25" s="53">
        <f t="shared" si="12"/>
        <v>7042279.1836614702</v>
      </c>
      <c r="I25" s="53">
        <f t="shared" si="12"/>
        <v>8517183.0493406057</v>
      </c>
      <c r="J25" s="53">
        <f t="shared" si="12"/>
        <v>10139979.175278265</v>
      </c>
      <c r="K25" s="53">
        <f t="shared" si="12"/>
        <v>11939980.072520578</v>
      </c>
    </row>
    <row r="26" spans="1:11" x14ac:dyDescent="0.3">
      <c r="A26" s="67" t="s">
        <v>103</v>
      </c>
      <c r="B26" s="23">
        <f>NPV(B1,B24:K24)</f>
        <v>21088910.886456382</v>
      </c>
      <c r="C26" s="53"/>
      <c r="D26" s="53"/>
      <c r="E26" s="53"/>
      <c r="F26" s="53"/>
      <c r="G26" s="53"/>
      <c r="H26" s="53"/>
      <c r="I26" s="53"/>
      <c r="J26" s="53"/>
      <c r="K26" s="53"/>
    </row>
    <row r="27" spans="1:11" x14ac:dyDescent="0.3">
      <c r="A27" s="67" t="s">
        <v>106</v>
      </c>
      <c r="B27" s="23">
        <f>NPV(B1,B25:K25)</f>
        <v>14446785.337484976</v>
      </c>
    </row>
    <row r="28" spans="1:11" x14ac:dyDescent="0.3">
      <c r="A28" s="67" t="s">
        <v>104</v>
      </c>
      <c r="B28" s="22">
        <f>IRR(B25:K25)</f>
        <v>0.44756219845219203</v>
      </c>
    </row>
    <row r="29" spans="1:11" x14ac:dyDescent="0.3">
      <c r="A29" s="67" t="s">
        <v>105</v>
      </c>
      <c r="B29" s="13">
        <f>B26/B7</f>
        <v>3.175024430202495</v>
      </c>
    </row>
    <row r="31" spans="1:11" x14ac:dyDescent="0.3">
      <c r="A31" s="68" t="s">
        <v>109</v>
      </c>
    </row>
    <row r="32" spans="1:11" x14ac:dyDescent="0.3">
      <c r="A32" s="49" t="s">
        <v>96</v>
      </c>
      <c r="B32" s="53">
        <f>'costos de remediación'!E33</f>
        <v>0</v>
      </c>
      <c r="C32" s="53">
        <f>'costos de remediación'!F33</f>
        <v>17708.592000000644</v>
      </c>
      <c r="D32" s="53">
        <f>'costos de remediación'!G33</f>
        <v>235143.68116800161</v>
      </c>
      <c r="E32" s="53">
        <f>'costos de remediación'!H33</f>
        <v>861758.15837390581</v>
      </c>
      <c r="F32" s="53">
        <f>'costos de remediación'!I33</f>
        <v>2261301.1045855717</v>
      </c>
      <c r="G32" s="53">
        <f>'costos de remediación'!J33</f>
        <v>2846421.5302075427</v>
      </c>
      <c r="H32" s="53">
        <f>'costos de remediación'!K33</f>
        <v>3553595.2841756358</v>
      </c>
      <c r="I32" s="53">
        <f>'costos de remediación'!L33</f>
        <v>4406274.5069082156</v>
      </c>
      <c r="J32" s="53">
        <f>'costos de remediación'!M33</f>
        <v>5432247.2378078122</v>
      </c>
      <c r="K32" s="53">
        <f>'costos de remediación'!N33</f>
        <v>6664423.3563943226</v>
      </c>
    </row>
    <row r="33" spans="1:11" x14ac:dyDescent="0.3">
      <c r="A33" s="49" t="s">
        <v>97</v>
      </c>
      <c r="B33" s="14">
        <f>'impacto económico'!C56</f>
        <v>0</v>
      </c>
      <c r="C33" s="14">
        <f>'impacto económico'!D56</f>
        <v>2573730.2950217943</v>
      </c>
      <c r="D33" s="14">
        <f>'impacto económico'!E56</f>
        <v>5495784.9908736059</v>
      </c>
      <c r="E33" s="14">
        <f>'impacto económico'!F56</f>
        <v>8801520.32372991</v>
      </c>
      <c r="F33" s="14">
        <f>'impacto económico'!G56</f>
        <v>12529482.566111753</v>
      </c>
      <c r="G33" s="14">
        <f>'impacto económico'!H56</f>
        <v>13377342.288630594</v>
      </c>
      <c r="H33" s="14">
        <f>'impacto económico'!I56</f>
        <v>14282575.97733492</v>
      </c>
      <c r="I33" s="14">
        <f>'impacto económico'!J56</f>
        <v>15249066.081064353</v>
      </c>
      <c r="J33" s="14">
        <f>'impacto económico'!K56</f>
        <v>16280957.770760439</v>
      </c>
      <c r="K33" s="14">
        <f>'impacto económico'!L56</f>
        <v>17382676.717654001</v>
      </c>
    </row>
    <row r="34" spans="1:11" x14ac:dyDescent="0.3">
      <c r="A34" s="49" t="s">
        <v>98</v>
      </c>
      <c r="B34" s="53">
        <f>capacitación!E26</f>
        <v>0</v>
      </c>
      <c r="C34" s="53">
        <f>capacitación!F26</f>
        <v>0</v>
      </c>
      <c r="D34" s="53">
        <f>capacitación!G26</f>
        <v>847200</v>
      </c>
      <c r="E34" s="53">
        <f>capacitación!H26</f>
        <v>1678500</v>
      </c>
      <c r="F34" s="53">
        <f>capacitación!I26</f>
        <v>3237600</v>
      </c>
      <c r="G34" s="53">
        <f>capacitación!J26</f>
        <v>4797600</v>
      </c>
      <c r="H34" s="53">
        <f>capacitación!K26</f>
        <v>6357600</v>
      </c>
      <c r="I34" s="53">
        <f>capacitación!L26</f>
        <v>7917600</v>
      </c>
      <c r="J34" s="53">
        <f>capacitación!M26</f>
        <v>9477600</v>
      </c>
      <c r="K34" s="53">
        <f>capacitación!N26</f>
        <v>11037600</v>
      </c>
    </row>
    <row r="35" spans="1:11" x14ac:dyDescent="0.3">
      <c r="A35" s="49" t="s">
        <v>99</v>
      </c>
      <c r="B35" s="53">
        <f>B32+B33+B34</f>
        <v>0</v>
      </c>
      <c r="C35" s="53">
        <f t="shared" ref="C35" si="13">C32+C33+C34</f>
        <v>2591438.8870217949</v>
      </c>
      <c r="D35" s="53">
        <f t="shared" ref="D35" si="14">D32+D33+D34</f>
        <v>6578128.672041608</v>
      </c>
      <c r="E35" s="53">
        <f t="shared" ref="E35" si="15">E32+E33+E34</f>
        <v>11341778.482103815</v>
      </c>
      <c r="F35" s="53">
        <f t="shared" ref="F35" si="16">F32+F33+F34</f>
        <v>18028383.670697324</v>
      </c>
      <c r="G35" s="53">
        <f t="shared" ref="G35" si="17">G32+G33+G34</f>
        <v>21021363.818838134</v>
      </c>
      <c r="H35" s="53">
        <f t="shared" ref="H35" si="18">H32+H33+H34</f>
        <v>24193771.261510555</v>
      </c>
      <c r="I35" s="53">
        <f t="shared" ref="I35" si="19">I32+I33+I34</f>
        <v>27572940.587972566</v>
      </c>
      <c r="J35" s="53">
        <f t="shared" ref="J35" si="20">J32+J33+J34</f>
        <v>31190805.00856825</v>
      </c>
      <c r="K35" s="53">
        <f t="shared" ref="K35" si="21">K32+K33+K34</f>
        <v>35084700.074048325</v>
      </c>
    </row>
    <row r="36" spans="1:11" x14ac:dyDescent="0.3">
      <c r="A36" s="49" t="s">
        <v>100</v>
      </c>
      <c r="B36" s="53">
        <f>B35-B5</f>
        <v>-2000000</v>
      </c>
      <c r="C36" s="53">
        <f t="shared" ref="C36:K36" si="22">C35-C5</f>
        <v>591438.88702179492</v>
      </c>
      <c r="D36" s="53">
        <f t="shared" si="22"/>
        <v>4578128.672041608</v>
      </c>
      <c r="E36" s="53">
        <f t="shared" si="22"/>
        <v>9341778.4821038153</v>
      </c>
      <c r="F36" s="53">
        <f t="shared" si="22"/>
        <v>17028383.670697324</v>
      </c>
      <c r="G36" s="53">
        <f t="shared" si="22"/>
        <v>21021363.818838134</v>
      </c>
      <c r="H36" s="53">
        <f t="shared" si="22"/>
        <v>24193771.261510555</v>
      </c>
      <c r="I36" s="53">
        <f t="shared" si="22"/>
        <v>27572940.587972566</v>
      </c>
      <c r="J36" s="53">
        <f t="shared" si="22"/>
        <v>31190805.00856825</v>
      </c>
      <c r="K36" s="53">
        <f t="shared" si="22"/>
        <v>35084700.074048325</v>
      </c>
    </row>
    <row r="37" spans="1:11" x14ac:dyDescent="0.3">
      <c r="A37" s="49" t="s">
        <v>103</v>
      </c>
      <c r="B37" s="23">
        <f>NPV(B1,B35:K35)</f>
        <v>79460165.824651048</v>
      </c>
      <c r="C37" s="53"/>
      <c r="D37" s="53"/>
      <c r="E37" s="53"/>
      <c r="F37" s="53"/>
      <c r="G37" s="53"/>
      <c r="H37" s="53"/>
      <c r="I37" s="53"/>
      <c r="J37" s="53"/>
      <c r="K37" s="53"/>
    </row>
    <row r="38" spans="1:11" x14ac:dyDescent="0.3">
      <c r="A38" s="49" t="s">
        <v>106</v>
      </c>
      <c r="B38" s="23">
        <f>NPV(B1,B36:K36)</f>
        <v>72818040.275679648</v>
      </c>
    </row>
    <row r="39" spans="1:11" x14ac:dyDescent="0.3">
      <c r="A39" s="49" t="s">
        <v>104</v>
      </c>
      <c r="B39" s="22">
        <f>IRR(B36:K36)</f>
        <v>1.6506255898210052</v>
      </c>
    </row>
    <row r="40" spans="1:11" x14ac:dyDescent="0.3">
      <c r="A40" s="49" t="s">
        <v>105</v>
      </c>
      <c r="B40" s="13">
        <f>B37/B7</f>
        <v>11.963062913942682</v>
      </c>
    </row>
    <row r="42" spans="1:11" ht="15" thickBot="1" x14ac:dyDescent="0.35"/>
    <row r="43" spans="1:11" ht="42" thickBot="1" x14ac:dyDescent="0.35">
      <c r="A43" s="83" t="s">
        <v>132</v>
      </c>
      <c r="B43" s="84" t="s">
        <v>133</v>
      </c>
      <c r="C43" s="84" t="s">
        <v>134</v>
      </c>
      <c r="D43" s="84" t="s">
        <v>105</v>
      </c>
    </row>
    <row r="44" spans="1:11" ht="15" thickBot="1" x14ac:dyDescent="0.35">
      <c r="A44" s="85" t="s">
        <v>78</v>
      </c>
      <c r="B44" s="86">
        <f>B16</f>
        <v>40334603.753330179</v>
      </c>
      <c r="C44" s="87">
        <f>B17</f>
        <v>0.95809153588408535</v>
      </c>
      <c r="D44" s="88">
        <f>B18</f>
        <v>7.0725446178258915</v>
      </c>
    </row>
    <row r="45" spans="1:11" ht="15" thickBot="1" x14ac:dyDescent="0.35">
      <c r="A45" s="85" t="s">
        <v>135</v>
      </c>
      <c r="B45" s="86">
        <f>B27</f>
        <v>14446785.337484976</v>
      </c>
      <c r="C45" s="87">
        <f>B28</f>
        <v>0.44756219845219203</v>
      </c>
      <c r="D45" s="88">
        <f>B29</f>
        <v>3.175024430202495</v>
      </c>
    </row>
    <row r="46" spans="1:11" ht="15" thickBot="1" x14ac:dyDescent="0.35">
      <c r="A46" s="85" t="s">
        <v>79</v>
      </c>
      <c r="B46" s="86">
        <f>B38</f>
        <v>72818040.275679648</v>
      </c>
      <c r="C46" s="87">
        <f>B39</f>
        <v>1.6506255898210052</v>
      </c>
      <c r="D46" s="88">
        <f>B40</f>
        <v>11.963062913942682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0AA63-0FFE-45E9-93D1-0D260CCBD520}">
  <dimension ref="A1:V36"/>
  <sheetViews>
    <sheetView workbookViewId="0">
      <selection activeCell="E38" sqref="E38"/>
    </sheetView>
  </sheetViews>
  <sheetFormatPr defaultRowHeight="14.4" x14ac:dyDescent="0.3"/>
  <cols>
    <col min="1" max="1" width="15.88671875" customWidth="1"/>
    <col min="2" max="2" width="34.6640625" customWidth="1"/>
    <col min="3" max="3" width="14.109375" customWidth="1"/>
    <col min="4" max="4" width="17.5546875" customWidth="1"/>
    <col min="5" max="5" width="14.88671875" customWidth="1"/>
    <col min="6" max="6" width="15.33203125" customWidth="1"/>
    <col min="7" max="7" width="19.44140625" customWidth="1"/>
    <col min="8" max="8" width="16.6640625" customWidth="1"/>
    <col min="9" max="10" width="16.77734375" customWidth="1"/>
    <col min="11" max="11" width="16.6640625" customWidth="1"/>
    <col min="12" max="12" width="20.21875" customWidth="1"/>
    <col min="13" max="13" width="19.21875" customWidth="1"/>
    <col min="14" max="14" width="19.109375" customWidth="1"/>
    <col min="15" max="15" width="23.109375" customWidth="1"/>
    <col min="16" max="16" width="18.21875" customWidth="1"/>
    <col min="17" max="17" width="16.109375" customWidth="1"/>
    <col min="18" max="18" width="19.6640625" customWidth="1"/>
    <col min="19" max="19" width="16.21875" customWidth="1"/>
  </cols>
  <sheetData>
    <row r="1" spans="1:22" x14ac:dyDescent="0.3">
      <c r="A1" t="s">
        <v>88</v>
      </c>
    </row>
    <row r="2" spans="1:22" x14ac:dyDescent="0.3">
      <c r="A2" t="s">
        <v>82</v>
      </c>
      <c r="B2">
        <v>800</v>
      </c>
      <c r="D2" t="s">
        <v>94</v>
      </c>
      <c r="E2" s="15">
        <v>0.12</v>
      </c>
    </row>
    <row r="3" spans="1:22" x14ac:dyDescent="0.3">
      <c r="A3" t="s">
        <v>84</v>
      </c>
      <c r="B3">
        <v>60</v>
      </c>
    </row>
    <row r="4" spans="1:22" x14ac:dyDescent="0.3">
      <c r="A4" t="s">
        <v>89</v>
      </c>
      <c r="B4">
        <f>B2*B3</f>
        <v>48000</v>
      </c>
    </row>
    <row r="5" spans="1:22" x14ac:dyDescent="0.3">
      <c r="E5" s="24">
        <v>1</v>
      </c>
      <c r="F5" s="24">
        <v>2</v>
      </c>
      <c r="G5" s="24">
        <v>3</v>
      </c>
      <c r="H5" s="24">
        <v>4</v>
      </c>
      <c r="I5" s="24">
        <v>5</v>
      </c>
      <c r="J5" s="24">
        <v>6</v>
      </c>
      <c r="K5" s="24">
        <v>7</v>
      </c>
      <c r="L5" s="24">
        <v>8</v>
      </c>
      <c r="M5" s="24">
        <v>9</v>
      </c>
      <c r="N5" s="24">
        <v>10</v>
      </c>
      <c r="O5" s="24">
        <v>11</v>
      </c>
      <c r="P5" s="24">
        <v>12</v>
      </c>
      <c r="Q5" s="24">
        <v>13</v>
      </c>
      <c r="R5" s="24">
        <v>14</v>
      </c>
      <c r="S5" s="24">
        <v>15</v>
      </c>
    </row>
    <row r="6" spans="1:22" x14ac:dyDescent="0.3">
      <c r="A6" s="34"/>
      <c r="B6" s="35" t="s">
        <v>80</v>
      </c>
      <c r="C6" s="1">
        <v>2017</v>
      </c>
      <c r="D6" s="1">
        <v>2018</v>
      </c>
      <c r="E6" s="1">
        <v>2019</v>
      </c>
      <c r="F6" s="1">
        <v>2020</v>
      </c>
      <c r="G6" s="1">
        <v>2021</v>
      </c>
      <c r="H6" s="1">
        <v>2022</v>
      </c>
      <c r="I6" s="1">
        <v>2023</v>
      </c>
      <c r="J6" s="1">
        <v>2024</v>
      </c>
      <c r="K6" s="1">
        <v>2025</v>
      </c>
      <c r="L6" s="1">
        <v>2026</v>
      </c>
      <c r="M6" s="1">
        <v>2027</v>
      </c>
      <c r="N6" s="1">
        <v>2028</v>
      </c>
      <c r="O6" s="1">
        <v>2029</v>
      </c>
      <c r="P6" s="1">
        <v>2030</v>
      </c>
      <c r="Q6" s="1">
        <v>2031</v>
      </c>
      <c r="R6" s="1">
        <v>2032</v>
      </c>
      <c r="S6" s="1">
        <v>2033</v>
      </c>
    </row>
    <row r="7" spans="1:22" x14ac:dyDescent="0.3">
      <c r="A7" s="95" t="s">
        <v>14</v>
      </c>
      <c r="B7" s="36" t="s">
        <v>81</v>
      </c>
      <c r="C7" s="1">
        <v>1684</v>
      </c>
      <c r="D7" s="1">
        <v>2046</v>
      </c>
      <c r="E7" s="1">
        <f>D7*1.1</f>
        <v>2250.6000000000004</v>
      </c>
      <c r="F7" s="1">
        <f t="shared" ref="F7:S7" si="0">E7*1.1</f>
        <v>2475.6600000000008</v>
      </c>
      <c r="G7" s="1">
        <f t="shared" si="0"/>
        <v>2723.226000000001</v>
      </c>
      <c r="H7" s="1">
        <f t="shared" si="0"/>
        <v>2995.5486000000014</v>
      </c>
      <c r="I7" s="1">
        <f t="shared" si="0"/>
        <v>3295.1034600000016</v>
      </c>
      <c r="J7" s="1">
        <f t="shared" si="0"/>
        <v>3624.6138060000021</v>
      </c>
      <c r="K7" s="1">
        <f t="shared" si="0"/>
        <v>3987.0751866000028</v>
      </c>
      <c r="L7" s="1">
        <f t="shared" si="0"/>
        <v>4385.7827052600032</v>
      </c>
      <c r="M7" s="1">
        <f t="shared" si="0"/>
        <v>4824.360975786004</v>
      </c>
      <c r="N7" s="1">
        <f t="shared" si="0"/>
        <v>5306.7970733646052</v>
      </c>
      <c r="O7" s="1">
        <f t="shared" si="0"/>
        <v>5837.4767807010667</v>
      </c>
      <c r="P7" s="1">
        <f t="shared" si="0"/>
        <v>6421.2244587711739</v>
      </c>
      <c r="Q7" s="1">
        <f t="shared" si="0"/>
        <v>7063.3469046482915</v>
      </c>
      <c r="R7" s="1">
        <f t="shared" si="0"/>
        <v>7769.6815951131211</v>
      </c>
      <c r="S7" s="1">
        <f t="shared" si="0"/>
        <v>8546.6497546244336</v>
      </c>
    </row>
    <row r="8" spans="1:22" x14ac:dyDescent="0.3">
      <c r="A8" s="95"/>
      <c r="B8" s="36" t="s">
        <v>83</v>
      </c>
      <c r="C8" s="37">
        <v>18</v>
      </c>
      <c r="D8" s="37">
        <v>43</v>
      </c>
      <c r="E8" s="37">
        <f t="shared" ref="E8:S8" si="1">E7*E9</f>
        <v>50.611000000000011</v>
      </c>
      <c r="F8" s="37">
        <f t="shared" si="1"/>
        <v>59.569147000000015</v>
      </c>
      <c r="G8" s="37">
        <f t="shared" si="1"/>
        <v>70.11288601900003</v>
      </c>
      <c r="H8" s="37">
        <f t="shared" si="1"/>
        <v>82.522866844363051</v>
      </c>
      <c r="I8" s="37">
        <f t="shared" si="1"/>
        <v>97.129414275815321</v>
      </c>
      <c r="J8" s="37">
        <f t="shared" si="1"/>
        <v>114.32132060263464</v>
      </c>
      <c r="K8" s="37">
        <f t="shared" si="1"/>
        <v>134.55619434930099</v>
      </c>
      <c r="L8" s="37">
        <f t="shared" si="1"/>
        <v>158.3726407491273</v>
      </c>
      <c r="M8" s="37">
        <f t="shared" si="1"/>
        <v>186.40459816172287</v>
      </c>
      <c r="N8" s="37">
        <f t="shared" si="1"/>
        <v>219.39821203634784</v>
      </c>
      <c r="O8" s="37">
        <f t="shared" si="1"/>
        <v>258.23169556678147</v>
      </c>
      <c r="P8" s="37">
        <f t="shared" si="1"/>
        <v>303.93870568210184</v>
      </c>
      <c r="Q8" s="37">
        <f t="shared" si="1"/>
        <v>357.73585658783384</v>
      </c>
      <c r="R8" s="37">
        <f t="shared" si="1"/>
        <v>421.05510320388055</v>
      </c>
      <c r="S8" s="37">
        <f t="shared" si="1"/>
        <v>495.58185647096741</v>
      </c>
    </row>
    <row r="9" spans="1:22" x14ac:dyDescent="0.3">
      <c r="A9" s="95"/>
      <c r="B9" s="36" t="s">
        <v>85</v>
      </c>
      <c r="C9" s="38">
        <f>C8/C7</f>
        <v>1.0688836104513063E-2</v>
      </c>
      <c r="D9" s="38">
        <f>D8/D7</f>
        <v>2.1016617790811338E-2</v>
      </c>
      <c r="E9" s="38">
        <f>D9*1.07</f>
        <v>2.2487781036168133E-2</v>
      </c>
      <c r="F9" s="38">
        <f t="shared" ref="F9:S9" si="2">E9*1.07</f>
        <v>2.4061925708699902E-2</v>
      </c>
      <c r="G9" s="38">
        <f t="shared" si="2"/>
        <v>2.5746260508308898E-2</v>
      </c>
      <c r="H9" s="38">
        <f t="shared" si="2"/>
        <v>2.7548498743890523E-2</v>
      </c>
      <c r="I9" s="38">
        <f t="shared" si="2"/>
        <v>2.9476893655962861E-2</v>
      </c>
      <c r="J9" s="38">
        <f t="shared" si="2"/>
        <v>3.1540276211880262E-2</v>
      </c>
      <c r="K9" s="38">
        <f t="shared" si="2"/>
        <v>3.3748095546711883E-2</v>
      </c>
      <c r="L9" s="38">
        <f t="shared" si="2"/>
        <v>3.6110462234981718E-2</v>
      </c>
      <c r="M9" s="38">
        <f t="shared" si="2"/>
        <v>3.863819459143044E-2</v>
      </c>
      <c r="N9" s="38">
        <f t="shared" si="2"/>
        <v>4.1342868212830571E-2</v>
      </c>
      <c r="O9" s="38">
        <f t="shared" si="2"/>
        <v>4.423686898772871E-2</v>
      </c>
      <c r="P9" s="38">
        <f t="shared" si="2"/>
        <v>4.7333449816869724E-2</v>
      </c>
      <c r="Q9" s="38">
        <f t="shared" si="2"/>
        <v>5.0646791304050608E-2</v>
      </c>
      <c r="R9" s="38">
        <f t="shared" si="2"/>
        <v>5.4192066695334155E-2</v>
      </c>
      <c r="S9" s="38">
        <f t="shared" si="2"/>
        <v>5.798551136400755E-2</v>
      </c>
      <c r="U9">
        <f>(D7-C7)/C7</f>
        <v>0.21496437054631828</v>
      </c>
      <c r="V9">
        <f>(D9-C9)/C9</f>
        <v>0.96622135331812753</v>
      </c>
    </row>
    <row r="10" spans="1:22" x14ac:dyDescent="0.3">
      <c r="A10" s="96" t="s">
        <v>78</v>
      </c>
      <c r="B10" s="41" t="s">
        <v>81</v>
      </c>
      <c r="C10" s="1">
        <v>1684</v>
      </c>
      <c r="D10" s="1">
        <v>2046</v>
      </c>
      <c r="E10" s="1">
        <f>D10*1.1</f>
        <v>2250.6000000000004</v>
      </c>
      <c r="F10" s="1">
        <f>E10*1.452</f>
        <v>3267.8712000000005</v>
      </c>
      <c r="G10" s="1">
        <f t="shared" ref="G10:I10" si="3">F10*1.452</f>
        <v>4744.9489824000002</v>
      </c>
      <c r="H10" s="1">
        <f t="shared" si="3"/>
        <v>6889.6659224448003</v>
      </c>
      <c r="I10" s="1">
        <f t="shared" si="3"/>
        <v>10003.794919389849</v>
      </c>
      <c r="J10" s="1">
        <f t="shared" ref="J10:S11" si="4">I10*1.1</f>
        <v>11004.174411328835</v>
      </c>
      <c r="K10" s="1">
        <f t="shared" si="4"/>
        <v>12104.591852461719</v>
      </c>
      <c r="L10" s="1">
        <f t="shared" si="4"/>
        <v>13315.051037707892</v>
      </c>
      <c r="M10" s="1">
        <f t="shared" si="4"/>
        <v>14646.556141478683</v>
      </c>
      <c r="N10" s="1">
        <f t="shared" si="4"/>
        <v>16111.211755626553</v>
      </c>
      <c r="O10" s="1">
        <f t="shared" si="4"/>
        <v>17722.332931189208</v>
      </c>
      <c r="P10" s="1">
        <f t="shared" si="4"/>
        <v>19494.566224308131</v>
      </c>
      <c r="Q10" s="1">
        <f t="shared" si="4"/>
        <v>21444.022846738946</v>
      </c>
      <c r="R10" s="1">
        <f t="shared" si="4"/>
        <v>23588.425131412841</v>
      </c>
      <c r="S10" s="1">
        <f t="shared" si="4"/>
        <v>25947.267644554129</v>
      </c>
    </row>
    <row r="11" spans="1:22" x14ac:dyDescent="0.3">
      <c r="A11" s="96"/>
      <c r="B11" s="41" t="s">
        <v>83</v>
      </c>
      <c r="C11" s="1">
        <v>18</v>
      </c>
      <c r="D11" s="1">
        <v>43</v>
      </c>
      <c r="E11" s="1">
        <f>E10*E12</f>
        <v>50.611000000000011</v>
      </c>
      <c r="F11" s="1">
        <f>F10*F12</f>
        <v>60.259481040000004</v>
      </c>
      <c r="G11" s="1">
        <f>G12*G10</f>
        <v>71.747348505465595</v>
      </c>
      <c r="H11" s="39">
        <f>H10*H12</f>
        <v>85.425263024547547</v>
      </c>
      <c r="I11" s="39">
        <f>I10*I12</f>
        <v>101.71073516754728</v>
      </c>
      <c r="J11" s="39">
        <f t="shared" si="4"/>
        <v>111.88180868430202</v>
      </c>
      <c r="K11" s="39">
        <f t="shared" si="4"/>
        <v>123.06998955273222</v>
      </c>
      <c r="L11" s="39">
        <f t="shared" si="4"/>
        <v>135.37698850800547</v>
      </c>
      <c r="M11" s="39">
        <f t="shared" si="4"/>
        <v>148.91468735880602</v>
      </c>
      <c r="N11" s="39">
        <f t="shared" si="4"/>
        <v>163.80615609468663</v>
      </c>
      <c r="O11" s="39">
        <f t="shared" si="4"/>
        <v>180.18677170415532</v>
      </c>
      <c r="P11" s="39">
        <f t="shared" si="4"/>
        <v>198.20544887457086</v>
      </c>
      <c r="Q11" s="39">
        <f t="shared" si="4"/>
        <v>218.02599376202798</v>
      </c>
      <c r="R11" s="39">
        <f t="shared" si="4"/>
        <v>239.82859313823079</v>
      </c>
      <c r="S11" s="39">
        <f t="shared" si="4"/>
        <v>263.81145245205391</v>
      </c>
    </row>
    <row r="12" spans="1:22" x14ac:dyDescent="0.3">
      <c r="A12" s="96"/>
      <c r="B12" s="41" t="s">
        <v>85</v>
      </c>
      <c r="C12" s="1"/>
      <c r="D12" s="38">
        <f>D11/D10</f>
        <v>2.1016617790811338E-2</v>
      </c>
      <c r="E12" s="38">
        <f>D12*1.07</f>
        <v>2.2487781036168133E-2</v>
      </c>
      <c r="F12" s="38">
        <f>E12*0.82</f>
        <v>1.8439980449657868E-2</v>
      </c>
      <c r="G12" s="38">
        <f t="shared" ref="G12:I12" si="5">F12*0.82</f>
        <v>1.5120783968719451E-2</v>
      </c>
      <c r="H12" s="38">
        <f t="shared" si="5"/>
        <v>1.2399042854349949E-2</v>
      </c>
      <c r="I12" s="38">
        <f t="shared" si="5"/>
        <v>1.0167215140566958E-2</v>
      </c>
      <c r="J12" s="38">
        <f t="shared" ref="J12:S12" si="6">J11/J10</f>
        <v>1.0167215140566958E-2</v>
      </c>
      <c r="K12" s="38">
        <f t="shared" si="6"/>
        <v>1.0167215140566958E-2</v>
      </c>
      <c r="L12" s="38">
        <f t="shared" si="6"/>
        <v>1.0167215140566958E-2</v>
      </c>
      <c r="M12" s="38">
        <f t="shared" si="6"/>
        <v>1.0167215140566958E-2</v>
      </c>
      <c r="N12" s="38">
        <f t="shared" si="6"/>
        <v>1.0167215140566956E-2</v>
      </c>
      <c r="O12" s="38">
        <f t="shared" si="6"/>
        <v>1.0167215140566958E-2</v>
      </c>
      <c r="P12" s="38">
        <f t="shared" si="6"/>
        <v>1.0167215140566958E-2</v>
      </c>
      <c r="Q12" s="38">
        <f t="shared" si="6"/>
        <v>1.0167215140566958E-2</v>
      </c>
      <c r="R12" s="38">
        <f t="shared" si="6"/>
        <v>1.0167215140566958E-2</v>
      </c>
      <c r="S12" s="38">
        <f t="shared" si="6"/>
        <v>1.0167215140566959E-2</v>
      </c>
    </row>
    <row r="13" spans="1:22" x14ac:dyDescent="0.3">
      <c r="A13" s="97" t="s">
        <v>77</v>
      </c>
      <c r="B13" s="46" t="str">
        <f>B10</f>
        <v xml:space="preserve">Total incidentes </v>
      </c>
      <c r="C13" s="25">
        <f t="shared" ref="C13:S13" si="7">C10</f>
        <v>1684</v>
      </c>
      <c r="D13" s="25">
        <f t="shared" si="7"/>
        <v>2046</v>
      </c>
      <c r="E13" s="25">
        <f t="shared" si="7"/>
        <v>2250.6000000000004</v>
      </c>
      <c r="F13" s="25">
        <f t="shared" si="7"/>
        <v>3267.8712000000005</v>
      </c>
      <c r="G13" s="25">
        <f t="shared" si="7"/>
        <v>4744.9489824000002</v>
      </c>
      <c r="H13" s="25">
        <f t="shared" si="7"/>
        <v>6889.6659224448003</v>
      </c>
      <c r="I13" s="25">
        <f t="shared" si="7"/>
        <v>10003.794919389849</v>
      </c>
      <c r="J13" s="25">
        <f t="shared" si="7"/>
        <v>11004.174411328835</v>
      </c>
      <c r="K13" s="25">
        <f t="shared" si="7"/>
        <v>12104.591852461719</v>
      </c>
      <c r="L13" s="25">
        <f t="shared" si="7"/>
        <v>13315.051037707892</v>
      </c>
      <c r="M13" s="25">
        <f t="shared" si="7"/>
        <v>14646.556141478683</v>
      </c>
      <c r="N13" s="25">
        <f t="shared" si="7"/>
        <v>16111.211755626553</v>
      </c>
      <c r="O13" s="25">
        <f t="shared" si="7"/>
        <v>17722.332931189208</v>
      </c>
      <c r="P13" s="25">
        <f t="shared" si="7"/>
        <v>19494.566224308131</v>
      </c>
      <c r="Q13" s="25">
        <f t="shared" si="7"/>
        <v>21444.022846738946</v>
      </c>
      <c r="R13" s="25">
        <f t="shared" si="7"/>
        <v>23588.425131412841</v>
      </c>
      <c r="S13" s="32">
        <f t="shared" si="7"/>
        <v>25947.267644554129</v>
      </c>
    </row>
    <row r="14" spans="1:22" x14ac:dyDescent="0.3">
      <c r="A14" s="97"/>
      <c r="B14" s="42" t="s">
        <v>85</v>
      </c>
      <c r="C14" s="44">
        <f>C9</f>
        <v>1.0688836104513063E-2</v>
      </c>
      <c r="D14" s="44">
        <f t="shared" ref="D14:E14" si="8">D9</f>
        <v>2.1016617790811338E-2</v>
      </c>
      <c r="E14" s="44">
        <f t="shared" si="8"/>
        <v>2.2487781036168133E-2</v>
      </c>
      <c r="F14" s="16">
        <f>E14-($E$14-$I$14)/4</f>
        <v>2.0615835777126099E-2</v>
      </c>
      <c r="G14" s="16">
        <f t="shared" ref="G14:H14" si="9">F14-($E$14-$I$14)/4</f>
        <v>1.8743890518084064E-2</v>
      </c>
      <c r="H14" s="16">
        <f t="shared" si="9"/>
        <v>1.687194525904203E-2</v>
      </c>
      <c r="I14" s="45">
        <v>1.4999999999999999E-2</v>
      </c>
      <c r="J14" s="45">
        <v>1.4999999999999999E-2</v>
      </c>
      <c r="K14" s="45">
        <v>1.4999999999999999E-2</v>
      </c>
      <c r="L14" s="45">
        <v>1.4999999999999999E-2</v>
      </c>
      <c r="M14" s="45">
        <v>1.4999999999999999E-2</v>
      </c>
      <c r="N14" s="45">
        <v>1.4999999999999999E-2</v>
      </c>
      <c r="O14" s="45">
        <v>1.4999999999999999E-2</v>
      </c>
      <c r="P14" s="45">
        <v>1.4999999999999999E-2</v>
      </c>
      <c r="Q14" s="45">
        <v>1.4999999999999999E-2</v>
      </c>
      <c r="R14" s="45">
        <v>1.4999999999999999E-2</v>
      </c>
      <c r="S14" s="47">
        <v>1.4999999999999999E-2</v>
      </c>
    </row>
    <row r="15" spans="1:22" x14ac:dyDescent="0.3">
      <c r="A15" s="97"/>
      <c r="B15" s="48" t="s">
        <v>83</v>
      </c>
      <c r="C15" s="29">
        <f>C13*C14</f>
        <v>18</v>
      </c>
      <c r="D15" s="29">
        <f t="shared" ref="D15:S15" si="10">D13*D14</f>
        <v>43</v>
      </c>
      <c r="E15" s="29">
        <f t="shared" si="10"/>
        <v>50.611000000000011</v>
      </c>
      <c r="F15" s="29">
        <f t="shared" si="10"/>
        <v>67.369896000000011</v>
      </c>
      <c r="G15" s="29">
        <f t="shared" si="10"/>
        <v>88.938804239999996</v>
      </c>
      <c r="H15" s="29">
        <f t="shared" si="10"/>
        <v>116.24206629657598</v>
      </c>
      <c r="I15" s="29">
        <f t="shared" si="10"/>
        <v>150.05692379084775</v>
      </c>
      <c r="J15" s="29">
        <f t="shared" si="10"/>
        <v>165.06261616993251</v>
      </c>
      <c r="K15" s="29">
        <f t="shared" si="10"/>
        <v>181.56887778692578</v>
      </c>
      <c r="L15" s="29">
        <f t="shared" si="10"/>
        <v>199.72576556561836</v>
      </c>
      <c r="M15" s="29">
        <f t="shared" si="10"/>
        <v>219.69834212218024</v>
      </c>
      <c r="N15" s="29">
        <f t="shared" si="10"/>
        <v>241.66817633439828</v>
      </c>
      <c r="O15" s="29">
        <f t="shared" si="10"/>
        <v>265.8349939678381</v>
      </c>
      <c r="P15" s="29">
        <f t="shared" si="10"/>
        <v>292.41849336462195</v>
      </c>
      <c r="Q15" s="29">
        <f t="shared" si="10"/>
        <v>321.66034270108418</v>
      </c>
      <c r="R15" s="29">
        <f t="shared" si="10"/>
        <v>353.82637697119259</v>
      </c>
      <c r="S15" s="31">
        <f t="shared" si="10"/>
        <v>389.20901466831191</v>
      </c>
    </row>
    <row r="16" spans="1:22" x14ac:dyDescent="0.3">
      <c r="A16" s="98" t="s">
        <v>79</v>
      </c>
      <c r="B16" s="50" t="str">
        <f>B10</f>
        <v xml:space="preserve">Total incidentes </v>
      </c>
      <c r="C16" s="25">
        <f t="shared" ref="C16:S16" si="11">C10</f>
        <v>1684</v>
      </c>
      <c r="D16" s="25">
        <f t="shared" si="11"/>
        <v>2046</v>
      </c>
      <c r="E16" s="25">
        <f t="shared" si="11"/>
        <v>2250.6000000000004</v>
      </c>
      <c r="F16" s="25">
        <f t="shared" si="11"/>
        <v>3267.8712000000005</v>
      </c>
      <c r="G16" s="25">
        <f t="shared" si="11"/>
        <v>4744.9489824000002</v>
      </c>
      <c r="H16" s="25">
        <f t="shared" si="11"/>
        <v>6889.6659224448003</v>
      </c>
      <c r="I16" s="25">
        <f t="shared" si="11"/>
        <v>10003.794919389849</v>
      </c>
      <c r="J16" s="25">
        <f t="shared" si="11"/>
        <v>11004.174411328835</v>
      </c>
      <c r="K16" s="25">
        <f t="shared" si="11"/>
        <v>12104.591852461719</v>
      </c>
      <c r="L16" s="25">
        <f t="shared" si="11"/>
        <v>13315.051037707892</v>
      </c>
      <c r="M16" s="25">
        <f t="shared" si="11"/>
        <v>14646.556141478683</v>
      </c>
      <c r="N16" s="25">
        <f t="shared" si="11"/>
        <v>16111.211755626553</v>
      </c>
      <c r="O16" s="25">
        <f t="shared" si="11"/>
        <v>17722.332931189208</v>
      </c>
      <c r="P16" s="25">
        <f t="shared" si="11"/>
        <v>19494.566224308131</v>
      </c>
      <c r="Q16" s="25">
        <f t="shared" si="11"/>
        <v>21444.022846738946</v>
      </c>
      <c r="R16" s="25">
        <f t="shared" si="11"/>
        <v>23588.425131412841</v>
      </c>
      <c r="S16" s="32">
        <f t="shared" si="11"/>
        <v>25947.267644554129</v>
      </c>
    </row>
    <row r="17" spans="1:20" x14ac:dyDescent="0.3">
      <c r="A17" s="98"/>
      <c r="B17" s="43" t="s">
        <v>85</v>
      </c>
      <c r="C17" s="44">
        <f>C14</f>
        <v>1.0688836104513063E-2</v>
      </c>
      <c r="D17" s="44">
        <f t="shared" ref="D17:E17" si="12">D14</f>
        <v>2.1016617790811338E-2</v>
      </c>
      <c r="E17" s="44">
        <f t="shared" si="12"/>
        <v>2.2487781036168133E-2</v>
      </c>
      <c r="F17" s="45">
        <f>E17-($E$17-$I$17)/4</f>
        <v>1.81158357771261E-2</v>
      </c>
      <c r="G17" s="45">
        <f t="shared" ref="G17:H17" si="13">F17-($E$17-$I$17)/4</f>
        <v>1.3743890518084067E-2</v>
      </c>
      <c r="H17" s="45">
        <f t="shared" si="13"/>
        <v>9.3719452590420339E-3</v>
      </c>
      <c r="I17" s="16">
        <v>5.0000000000000001E-3</v>
      </c>
      <c r="J17" s="16">
        <v>5.0000000000000001E-3</v>
      </c>
      <c r="K17" s="16">
        <v>5.0000000000000001E-3</v>
      </c>
      <c r="L17" s="16">
        <v>5.0000000000000001E-3</v>
      </c>
      <c r="M17" s="16">
        <v>5.0000000000000001E-3</v>
      </c>
      <c r="N17" s="16">
        <v>5.0000000000000001E-3</v>
      </c>
      <c r="O17" s="16">
        <v>5.0000000000000001E-3</v>
      </c>
      <c r="P17" s="16">
        <v>5.0000000000000001E-3</v>
      </c>
      <c r="Q17" s="16">
        <v>5.0000000000000001E-3</v>
      </c>
      <c r="R17" s="16">
        <v>5.0000000000000001E-3</v>
      </c>
      <c r="S17" s="51">
        <v>5.0000000000000001E-3</v>
      </c>
    </row>
    <row r="18" spans="1:20" x14ac:dyDescent="0.3">
      <c r="A18" s="98"/>
      <c r="B18" s="52" t="s">
        <v>83</v>
      </c>
      <c r="C18" s="29">
        <f>C16*C17</f>
        <v>18</v>
      </c>
      <c r="D18" s="29">
        <f t="shared" ref="D18:S18" si="14">D16*D17</f>
        <v>43</v>
      </c>
      <c r="E18" s="29">
        <f t="shared" si="14"/>
        <v>50.611000000000011</v>
      </c>
      <c r="F18" s="29">
        <f t="shared" si="14"/>
        <v>59.200218000000007</v>
      </c>
      <c r="G18" s="29">
        <f t="shared" si="14"/>
        <v>65.214059328000005</v>
      </c>
      <c r="H18" s="29">
        <f t="shared" si="14"/>
        <v>64.569571878240012</v>
      </c>
      <c r="I18" s="29">
        <f t="shared" si="14"/>
        <v>50.018974596949249</v>
      </c>
      <c r="J18" s="29">
        <f t="shared" si="14"/>
        <v>55.02087205664418</v>
      </c>
      <c r="K18" s="29">
        <f t="shared" si="14"/>
        <v>60.522959262308596</v>
      </c>
      <c r="L18" s="29">
        <f t="shared" si="14"/>
        <v>66.575255188539458</v>
      </c>
      <c r="M18" s="29">
        <f t="shared" si="14"/>
        <v>73.232780707393417</v>
      </c>
      <c r="N18" s="29">
        <f t="shared" si="14"/>
        <v>80.556058778132765</v>
      </c>
      <c r="O18" s="29">
        <f t="shared" si="14"/>
        <v>88.611664655946043</v>
      </c>
      <c r="P18" s="29">
        <f t="shared" si="14"/>
        <v>97.472831121540665</v>
      </c>
      <c r="Q18" s="29">
        <f t="shared" si="14"/>
        <v>107.22011423369473</v>
      </c>
      <c r="R18" s="29">
        <f t="shared" si="14"/>
        <v>117.94212565706421</v>
      </c>
      <c r="S18" s="31">
        <f t="shared" si="14"/>
        <v>129.73633822277066</v>
      </c>
    </row>
    <row r="21" spans="1:20" x14ac:dyDescent="0.3">
      <c r="B21" s="56" t="s">
        <v>86</v>
      </c>
      <c r="C21" s="57">
        <f t="shared" ref="C21:S21" si="15">C8*$B$2*$B$3</f>
        <v>864000</v>
      </c>
      <c r="D21" s="57">
        <f t="shared" si="15"/>
        <v>2064000</v>
      </c>
      <c r="E21" s="57">
        <f t="shared" si="15"/>
        <v>2429328.0000000005</v>
      </c>
      <c r="F21" s="57">
        <f t="shared" si="15"/>
        <v>2859319.0560000008</v>
      </c>
      <c r="G21" s="57">
        <f t="shared" si="15"/>
        <v>3365418.5289120018</v>
      </c>
      <c r="H21" s="57">
        <f t="shared" si="15"/>
        <v>3961097.6085294266</v>
      </c>
      <c r="I21" s="57">
        <f t="shared" si="15"/>
        <v>4662211.8852391355</v>
      </c>
      <c r="J21" s="57">
        <f t="shared" si="15"/>
        <v>5487423.3889264632</v>
      </c>
      <c r="K21" s="57">
        <f t="shared" si="15"/>
        <v>6458697.3287664484</v>
      </c>
      <c r="L21" s="57">
        <f t="shared" si="15"/>
        <v>7601886.7559581101</v>
      </c>
      <c r="M21" s="57">
        <f t="shared" si="15"/>
        <v>8947420.7117626965</v>
      </c>
      <c r="N21" s="57">
        <f t="shared" si="15"/>
        <v>10531114.177744696</v>
      </c>
      <c r="O21" s="57">
        <f t="shared" si="15"/>
        <v>12395121.387205509</v>
      </c>
      <c r="P21" s="57">
        <f t="shared" si="15"/>
        <v>14589057.872740887</v>
      </c>
      <c r="Q21" s="57">
        <f t="shared" si="15"/>
        <v>17171321.116216026</v>
      </c>
      <c r="R21" s="57">
        <f t="shared" si="15"/>
        <v>20210644.953786269</v>
      </c>
      <c r="S21" s="57">
        <f t="shared" si="15"/>
        <v>23787929.110606436</v>
      </c>
      <c r="T21" s="40"/>
    </row>
    <row r="22" spans="1:20" x14ac:dyDescent="0.3">
      <c r="A22" s="99" t="s">
        <v>78</v>
      </c>
      <c r="B22" s="25" t="s">
        <v>87</v>
      </c>
      <c r="C22" s="61">
        <f t="shared" ref="C22:S22" si="16">C11*$B$2*$B$3</f>
        <v>864000</v>
      </c>
      <c r="D22" s="61">
        <f t="shared" si="16"/>
        <v>2064000</v>
      </c>
      <c r="E22" s="61">
        <f t="shared" si="16"/>
        <v>2429328.0000000005</v>
      </c>
      <c r="F22" s="61">
        <f t="shared" si="16"/>
        <v>2892455.0899200002</v>
      </c>
      <c r="G22" s="61">
        <f t="shared" si="16"/>
        <v>3443872.7282623486</v>
      </c>
      <c r="H22" s="61">
        <f t="shared" si="16"/>
        <v>4100412.6251782821</v>
      </c>
      <c r="I22" s="61">
        <f t="shared" si="16"/>
        <v>4882115.2880422696</v>
      </c>
      <c r="J22" s="61">
        <f t="shared" si="16"/>
        <v>5370326.8168464964</v>
      </c>
      <c r="K22" s="61">
        <f t="shared" si="16"/>
        <v>5907359.4985311469</v>
      </c>
      <c r="L22" s="61">
        <f t="shared" si="16"/>
        <v>6498095.4483842626</v>
      </c>
      <c r="M22" s="61">
        <f t="shared" si="16"/>
        <v>7147904.9932226893</v>
      </c>
      <c r="N22" s="61">
        <f t="shared" si="16"/>
        <v>7862695.4925449584</v>
      </c>
      <c r="O22" s="61">
        <f t="shared" si="16"/>
        <v>8648965.0417994559</v>
      </c>
      <c r="P22" s="61">
        <f t="shared" si="16"/>
        <v>9513861.5459794011</v>
      </c>
      <c r="Q22" s="61">
        <f t="shared" si="16"/>
        <v>10465247.700577343</v>
      </c>
      <c r="R22" s="61">
        <f t="shared" si="16"/>
        <v>11511772.470635079</v>
      </c>
      <c r="S22" s="62">
        <f t="shared" si="16"/>
        <v>12662949.717698589</v>
      </c>
      <c r="T22" s="54"/>
    </row>
    <row r="23" spans="1:20" x14ac:dyDescent="0.3">
      <c r="A23" s="100"/>
      <c r="B23" t="s">
        <v>22</v>
      </c>
      <c r="C23" s="53">
        <f>C21-C22</f>
        <v>0</v>
      </c>
      <c r="D23" s="53">
        <f t="shared" ref="D23:S23" si="17">D21-D22</f>
        <v>0</v>
      </c>
      <c r="E23" s="53">
        <f t="shared" si="17"/>
        <v>0</v>
      </c>
      <c r="F23" s="53">
        <f t="shared" si="17"/>
        <v>-33136.033919999376</v>
      </c>
      <c r="G23" s="53">
        <f t="shared" si="17"/>
        <v>-78454.199350346811</v>
      </c>
      <c r="H23" s="53">
        <f t="shared" si="17"/>
        <v>-139315.01664885553</v>
      </c>
      <c r="I23" s="53">
        <f t="shared" si="17"/>
        <v>-219903.40280313417</v>
      </c>
      <c r="J23" s="53">
        <f t="shared" si="17"/>
        <v>117096.57207996678</v>
      </c>
      <c r="K23" s="53">
        <f t="shared" si="17"/>
        <v>551337.83023530152</v>
      </c>
      <c r="L23" s="53">
        <f t="shared" si="17"/>
        <v>1103791.3075738475</v>
      </c>
      <c r="M23" s="53">
        <f t="shared" si="17"/>
        <v>1799515.7185400072</v>
      </c>
      <c r="N23" s="53">
        <f t="shared" si="17"/>
        <v>2668418.6851997375</v>
      </c>
      <c r="O23" s="53">
        <f t="shared" si="17"/>
        <v>3746156.3454060536</v>
      </c>
      <c r="P23" s="53">
        <f t="shared" si="17"/>
        <v>5075196.326761486</v>
      </c>
      <c r="Q23" s="53">
        <f t="shared" si="17"/>
        <v>6706073.4156386834</v>
      </c>
      <c r="R23" s="53">
        <f t="shared" si="17"/>
        <v>8698872.48315119</v>
      </c>
      <c r="S23" s="58">
        <f t="shared" si="17"/>
        <v>11124979.392907847</v>
      </c>
      <c r="T23" s="55"/>
    </row>
    <row r="24" spans="1:20" x14ac:dyDescent="0.3">
      <c r="A24" s="100"/>
      <c r="B24" t="s">
        <v>92</v>
      </c>
      <c r="C24" s="53"/>
      <c r="D24" s="53"/>
      <c r="E24" s="53">
        <f>E23/(1+$E$2)^E5</f>
        <v>0</v>
      </c>
      <c r="F24" s="53">
        <f t="shared" ref="F24:S24" si="18">F23/(1+$E$2)^F5</f>
        <v>-26415.843367346439</v>
      </c>
      <c r="G24" s="53">
        <f t="shared" si="18"/>
        <v>-55842.149455592589</v>
      </c>
      <c r="H24" s="53">
        <f t="shared" si="18"/>
        <v>-88537.211673617727</v>
      </c>
      <c r="I24" s="53">
        <f t="shared" si="18"/>
        <v>-124779.09641440303</v>
      </c>
      <c r="J24" s="53">
        <f t="shared" si="18"/>
        <v>59324.767598894512</v>
      </c>
      <c r="K24" s="53">
        <f t="shared" si="18"/>
        <v>249397.234892484</v>
      </c>
      <c r="L24" s="53">
        <f t="shared" si="18"/>
        <v>445802.79631849419</v>
      </c>
      <c r="M24" s="53">
        <f t="shared" si="18"/>
        <v>648923.40821745712</v>
      </c>
      <c r="N24" s="53">
        <f t="shared" si="18"/>
        <v>859159.40065284912</v>
      </c>
      <c r="O24" s="53">
        <f t="shared" si="18"/>
        <v>1076930.4315224644</v>
      </c>
      <c r="P24" s="53">
        <f t="shared" si="18"/>
        <v>1302676.4888876013</v>
      </c>
      <c r="Q24" s="53">
        <f t="shared" si="18"/>
        <v>1536858.9439800547</v>
      </c>
      <c r="R24" s="53">
        <f t="shared" si="18"/>
        <v>1779961.6574720328</v>
      </c>
      <c r="S24" s="58">
        <f t="shared" si="18"/>
        <v>2032492.141725525</v>
      </c>
      <c r="T24" s="53"/>
    </row>
    <row r="25" spans="1:20" x14ac:dyDescent="0.3">
      <c r="A25" s="100"/>
      <c r="B25" t="s">
        <v>90</v>
      </c>
      <c r="C25" s="23">
        <f>NPV(E2,F23:S23)</f>
        <v>10859467.326799722</v>
      </c>
      <c r="D25" s="53"/>
      <c r="E25" s="53"/>
      <c r="F25" s="53"/>
      <c r="G25" s="53"/>
      <c r="H25" s="53"/>
      <c r="I25" s="53"/>
      <c r="J25" s="53"/>
      <c r="K25" s="53"/>
      <c r="L25" s="53"/>
      <c r="M25" s="53"/>
      <c r="N25" s="53"/>
      <c r="O25" s="53"/>
      <c r="P25" s="53"/>
      <c r="Q25" s="53"/>
      <c r="R25" s="53"/>
      <c r="S25" s="58"/>
      <c r="T25" s="53"/>
    </row>
    <row r="26" spans="1:20" x14ac:dyDescent="0.3">
      <c r="A26" s="101"/>
      <c r="B26" s="29" t="s">
        <v>91</v>
      </c>
      <c r="C26" s="30">
        <f>NPV(E2,E24:N24)</f>
        <v>645681.41232760728</v>
      </c>
      <c r="D26" s="59"/>
      <c r="E26" s="59"/>
      <c r="F26" s="59"/>
      <c r="G26" s="59"/>
      <c r="H26" s="59"/>
      <c r="I26" s="59"/>
      <c r="J26" s="59"/>
      <c r="K26" s="59"/>
      <c r="L26" s="59"/>
      <c r="M26" s="59"/>
      <c r="N26" s="59"/>
      <c r="O26" s="59"/>
      <c r="P26" s="59"/>
      <c r="Q26" s="59"/>
      <c r="R26" s="59"/>
      <c r="S26" s="60"/>
      <c r="T26" s="53"/>
    </row>
    <row r="27" spans="1:20" x14ac:dyDescent="0.3">
      <c r="A27" s="102" t="s">
        <v>77</v>
      </c>
      <c r="B27" s="25" t="s">
        <v>93</v>
      </c>
      <c r="C27" s="25">
        <f>C15*$B$4</f>
        <v>864000</v>
      </c>
      <c r="D27" s="25">
        <f t="shared" ref="D27:S27" si="19">D15*$B$4</f>
        <v>2064000</v>
      </c>
      <c r="E27" s="25">
        <f t="shared" si="19"/>
        <v>2429328.0000000005</v>
      </c>
      <c r="F27" s="25">
        <f t="shared" si="19"/>
        <v>3233755.0080000004</v>
      </c>
      <c r="G27" s="25">
        <f t="shared" si="19"/>
        <v>4269062.6035199994</v>
      </c>
      <c r="H27" s="25">
        <f t="shared" si="19"/>
        <v>5579619.182235647</v>
      </c>
      <c r="I27" s="25">
        <f t="shared" si="19"/>
        <v>7202732.3419606918</v>
      </c>
      <c r="J27" s="25">
        <f t="shared" si="19"/>
        <v>7923005.5761567606</v>
      </c>
      <c r="K27" s="25">
        <f t="shared" si="19"/>
        <v>8715306.1337724384</v>
      </c>
      <c r="L27" s="25">
        <f t="shared" si="19"/>
        <v>9586836.7471496817</v>
      </c>
      <c r="M27" s="25">
        <f t="shared" si="19"/>
        <v>10545520.421864651</v>
      </c>
      <c r="N27" s="25">
        <f t="shared" si="19"/>
        <v>11600072.464051118</v>
      </c>
      <c r="O27" s="25">
        <f t="shared" si="19"/>
        <v>12760079.71045623</v>
      </c>
      <c r="P27" s="25">
        <f t="shared" si="19"/>
        <v>14036087.681501854</v>
      </c>
      <c r="Q27" s="25">
        <f t="shared" si="19"/>
        <v>15439696.44965204</v>
      </c>
      <c r="R27" s="25">
        <f t="shared" si="19"/>
        <v>16983666.094617244</v>
      </c>
      <c r="S27" s="32">
        <f t="shared" si="19"/>
        <v>18682032.704078972</v>
      </c>
    </row>
    <row r="28" spans="1:20" x14ac:dyDescent="0.3">
      <c r="A28" s="103"/>
      <c r="B28" t="s">
        <v>22</v>
      </c>
      <c r="C28" s="53">
        <f>C21-C27</f>
        <v>0</v>
      </c>
      <c r="D28" s="53">
        <f t="shared" ref="D28:S28" si="20">D21-D27</f>
        <v>0</v>
      </c>
      <c r="E28" s="53">
        <f t="shared" si="20"/>
        <v>0</v>
      </c>
      <c r="F28" s="53">
        <f t="shared" si="20"/>
        <v>-374435.95199999958</v>
      </c>
      <c r="G28" s="53">
        <f t="shared" si="20"/>
        <v>-903644.07460799767</v>
      </c>
      <c r="H28" s="53">
        <f t="shared" si="20"/>
        <v>-1618521.5737062204</v>
      </c>
      <c r="I28" s="53">
        <f t="shared" si="20"/>
        <v>-2540520.4567215564</v>
      </c>
      <c r="J28" s="53">
        <f t="shared" si="20"/>
        <v>-2435582.1872302974</v>
      </c>
      <c r="K28" s="53">
        <f t="shared" si="20"/>
        <v>-2256608.80500599</v>
      </c>
      <c r="L28" s="53">
        <f t="shared" si="20"/>
        <v>-1984949.9911915716</v>
      </c>
      <c r="M28" s="53">
        <f t="shared" si="20"/>
        <v>-1598099.7101019546</v>
      </c>
      <c r="N28" s="53">
        <f t="shared" si="20"/>
        <v>-1068958.2863064222</v>
      </c>
      <c r="O28" s="53">
        <f t="shared" si="20"/>
        <v>-364958.32325072028</v>
      </c>
      <c r="P28" s="53">
        <f t="shared" si="20"/>
        <v>552970.19123903289</v>
      </c>
      <c r="Q28" s="53">
        <f t="shared" si="20"/>
        <v>1731624.6665639859</v>
      </c>
      <c r="R28" s="53">
        <f t="shared" si="20"/>
        <v>3226978.859169025</v>
      </c>
      <c r="S28" s="58">
        <f t="shared" si="20"/>
        <v>5105896.4065274633</v>
      </c>
    </row>
    <row r="29" spans="1:20" x14ac:dyDescent="0.3">
      <c r="A29" s="103"/>
      <c r="B29" t="s">
        <v>92</v>
      </c>
      <c r="E29">
        <f>E28/(1+$E$2)^E5</f>
        <v>0</v>
      </c>
      <c r="F29">
        <f t="shared" ref="F29:S29" si="21">F28/(1+$E$2)^F5</f>
        <v>-298498.0484693874</v>
      </c>
      <c r="G29">
        <f t="shared" si="21"/>
        <v>-643196.0033596009</v>
      </c>
      <c r="H29">
        <f t="shared" si="21"/>
        <v>-1028599.7203785405</v>
      </c>
      <c r="I29">
        <f t="shared" si="21"/>
        <v>-1441559.5346462924</v>
      </c>
      <c r="J29">
        <f t="shared" si="21"/>
        <v>-1233941.7342359966</v>
      </c>
      <c r="K29">
        <f t="shared" si="21"/>
        <v>-1020775.2222667844</v>
      </c>
      <c r="L29">
        <f t="shared" si="21"/>
        <v>-801688.00982007221</v>
      </c>
      <c r="M29">
        <f t="shared" si="21"/>
        <v>-576290.77638292091</v>
      </c>
      <c r="N29">
        <f t="shared" si="21"/>
        <v>-344175.95922252262</v>
      </c>
      <c r="O29">
        <f t="shared" si="21"/>
        <v>-104916.79692656058</v>
      </c>
      <c r="P29">
        <f t="shared" si="21"/>
        <v>141933.67523230831</v>
      </c>
      <c r="Q29">
        <f t="shared" si="21"/>
        <v>396843.68056860648</v>
      </c>
      <c r="R29">
        <f t="shared" si="21"/>
        <v>660303.80947864696</v>
      </c>
      <c r="S29" s="28">
        <f t="shared" si="21"/>
        <v>932828.18387487775</v>
      </c>
    </row>
    <row r="30" spans="1:20" x14ac:dyDescent="0.3">
      <c r="A30" s="103"/>
      <c r="B30" t="s">
        <v>90</v>
      </c>
      <c r="C30" s="23">
        <f>NPV(E2,E27:S27)</f>
        <v>52482322.679379366</v>
      </c>
      <c r="S30" s="28"/>
    </row>
    <row r="31" spans="1:20" x14ac:dyDescent="0.3">
      <c r="A31" s="104"/>
      <c r="B31" s="29" t="s">
        <v>91</v>
      </c>
      <c r="C31" s="30">
        <f>NPV(E2,E27:N27)</f>
        <v>34784678.534626186</v>
      </c>
      <c r="D31" s="29"/>
      <c r="E31" s="29"/>
      <c r="F31" s="29"/>
      <c r="G31" s="29"/>
      <c r="H31" s="29"/>
      <c r="I31" s="29"/>
      <c r="J31" s="29"/>
      <c r="K31" s="29"/>
      <c r="L31" s="29"/>
      <c r="M31" s="29"/>
      <c r="N31" s="29"/>
      <c r="O31" s="29"/>
      <c r="P31" s="29"/>
      <c r="Q31" s="29"/>
      <c r="R31" s="29"/>
      <c r="S31" s="31"/>
    </row>
    <row r="32" spans="1:20" x14ac:dyDescent="0.3">
      <c r="A32" s="92" t="s">
        <v>79</v>
      </c>
      <c r="B32" s="25" t="s">
        <v>93</v>
      </c>
      <c r="C32" s="25">
        <f>$B$4*C18</f>
        <v>864000</v>
      </c>
      <c r="D32" s="25">
        <f t="shared" ref="D32:S32" si="22">$B$4*D18</f>
        <v>2064000</v>
      </c>
      <c r="E32" s="25">
        <f t="shared" si="22"/>
        <v>2429328.0000000005</v>
      </c>
      <c r="F32" s="25">
        <f t="shared" si="22"/>
        <v>2841610.4640000002</v>
      </c>
      <c r="G32" s="25">
        <f t="shared" si="22"/>
        <v>3130274.8477440001</v>
      </c>
      <c r="H32" s="25">
        <f t="shared" si="22"/>
        <v>3099339.4501555208</v>
      </c>
      <c r="I32" s="25">
        <f t="shared" si="22"/>
        <v>2400910.7806535638</v>
      </c>
      <c r="J32" s="25">
        <f t="shared" si="22"/>
        <v>2641001.8587189205</v>
      </c>
      <c r="K32" s="25">
        <f t="shared" si="22"/>
        <v>2905102.0445908126</v>
      </c>
      <c r="L32" s="25">
        <f t="shared" si="22"/>
        <v>3195612.249049894</v>
      </c>
      <c r="M32" s="25">
        <f t="shared" si="22"/>
        <v>3515173.4739548839</v>
      </c>
      <c r="N32" s="25">
        <f t="shared" si="22"/>
        <v>3866690.8213503729</v>
      </c>
      <c r="O32" s="25">
        <f t="shared" si="22"/>
        <v>4253359.9034854099</v>
      </c>
      <c r="P32" s="25">
        <f t="shared" si="22"/>
        <v>4678695.893833952</v>
      </c>
      <c r="Q32" s="25">
        <f t="shared" si="22"/>
        <v>5146565.4832173474</v>
      </c>
      <c r="R32" s="25">
        <f t="shared" si="22"/>
        <v>5661222.0315390825</v>
      </c>
      <c r="S32" s="32">
        <f t="shared" si="22"/>
        <v>6227344.2346929917</v>
      </c>
    </row>
    <row r="33" spans="1:19" x14ac:dyDescent="0.3">
      <c r="A33" s="93"/>
      <c r="B33" t="s">
        <v>22</v>
      </c>
      <c r="C33" s="53">
        <f>C21-C32</f>
        <v>0</v>
      </c>
      <c r="D33" s="53">
        <f t="shared" ref="D33:S33" si="23">D21-D32</f>
        <v>0</v>
      </c>
      <c r="E33" s="53">
        <f t="shared" si="23"/>
        <v>0</v>
      </c>
      <c r="F33" s="53">
        <f t="shared" si="23"/>
        <v>17708.592000000644</v>
      </c>
      <c r="G33" s="53">
        <f t="shared" si="23"/>
        <v>235143.68116800161</v>
      </c>
      <c r="H33" s="53">
        <f t="shared" si="23"/>
        <v>861758.15837390581</v>
      </c>
      <c r="I33" s="53">
        <f t="shared" si="23"/>
        <v>2261301.1045855717</v>
      </c>
      <c r="J33" s="53">
        <f t="shared" si="23"/>
        <v>2846421.5302075427</v>
      </c>
      <c r="K33" s="53">
        <f t="shared" si="23"/>
        <v>3553595.2841756358</v>
      </c>
      <c r="L33" s="53">
        <f t="shared" si="23"/>
        <v>4406274.5069082156</v>
      </c>
      <c r="M33" s="53">
        <f t="shared" si="23"/>
        <v>5432247.2378078122</v>
      </c>
      <c r="N33" s="53">
        <f t="shared" si="23"/>
        <v>6664423.3563943226</v>
      </c>
      <c r="O33" s="53">
        <f t="shared" si="23"/>
        <v>8141761.4837200996</v>
      </c>
      <c r="P33" s="53">
        <f t="shared" si="23"/>
        <v>9910361.9789069351</v>
      </c>
      <c r="Q33" s="53">
        <f t="shared" si="23"/>
        <v>12024755.632998679</v>
      </c>
      <c r="R33" s="53">
        <f t="shared" si="23"/>
        <v>14549422.922247186</v>
      </c>
      <c r="S33" s="58">
        <f t="shared" si="23"/>
        <v>17560584.875913445</v>
      </c>
    </row>
    <row r="34" spans="1:19" x14ac:dyDescent="0.3">
      <c r="A34" s="93"/>
      <c r="B34" t="s">
        <v>92</v>
      </c>
      <c r="F34">
        <f>F33/(1+$E$2)^E5</f>
        <v>15811.24285714343</v>
      </c>
      <c r="G34">
        <f t="shared" ref="G34:S34" si="24">G33/(1+$E$2)^F5</f>
        <v>187455.10297194004</v>
      </c>
      <c r="H34">
        <f t="shared" si="24"/>
        <v>613382.43552260729</v>
      </c>
      <c r="I34">
        <f t="shared" si="24"/>
        <v>1437097.7326809447</v>
      </c>
      <c r="J34">
        <f t="shared" si="24"/>
        <v>1615136.0189353898</v>
      </c>
      <c r="K34">
        <f t="shared" si="24"/>
        <v>1800361.9630323418</v>
      </c>
      <c r="L34">
        <f t="shared" si="24"/>
        <v>1993174.8157588884</v>
      </c>
      <c r="M34">
        <f t="shared" si="24"/>
        <v>2193993.5495878309</v>
      </c>
      <c r="N34">
        <f t="shared" si="24"/>
        <v>2403257.873037179</v>
      </c>
      <c r="O34">
        <f t="shared" si="24"/>
        <v>2621429.2964628278</v>
      </c>
      <c r="P34">
        <f t="shared" si="24"/>
        <v>2848992.2519053933</v>
      </c>
      <c r="Q34">
        <f t="shared" si="24"/>
        <v>3086455.2697455259</v>
      </c>
      <c r="R34">
        <f t="shared" si="24"/>
        <v>3334352.2150621153</v>
      </c>
      <c r="S34" s="28">
        <f t="shared" si="24"/>
        <v>3593243.5867350725</v>
      </c>
    </row>
    <row r="35" spans="1:19" x14ac:dyDescent="0.3">
      <c r="A35" s="93"/>
      <c r="B35" t="s">
        <v>90</v>
      </c>
      <c r="C35" s="23">
        <f>NPV(E2,F33:S33)</f>
        <v>27744143.35429519</v>
      </c>
      <c r="S35" s="28"/>
    </row>
    <row r="36" spans="1:19" x14ac:dyDescent="0.3">
      <c r="A36" s="94"/>
      <c r="B36" s="29" t="s">
        <v>91</v>
      </c>
      <c r="C36" s="30">
        <f>NPV(E2,F33:N33)</f>
        <v>12259670.734384263</v>
      </c>
      <c r="D36" s="29"/>
      <c r="E36" s="29"/>
      <c r="F36" s="29"/>
      <c r="G36" s="29"/>
      <c r="H36" s="29"/>
      <c r="I36" s="29"/>
      <c r="J36" s="29"/>
      <c r="K36" s="29"/>
      <c r="L36" s="29"/>
      <c r="M36" s="29"/>
      <c r="N36" s="29"/>
      <c r="O36" s="29"/>
      <c r="P36" s="29"/>
      <c r="Q36" s="29"/>
      <c r="R36" s="29"/>
      <c r="S36" s="31"/>
    </row>
  </sheetData>
  <mergeCells count="7">
    <mergeCell ref="A32:A36"/>
    <mergeCell ref="A7:A9"/>
    <mergeCell ref="A10:A12"/>
    <mergeCell ref="A13:A15"/>
    <mergeCell ref="A16:A18"/>
    <mergeCell ref="A22:A26"/>
    <mergeCell ref="A27:A3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EFB25-9A45-46CE-880B-C9C3D0BB9C44}">
  <dimension ref="A3:U64"/>
  <sheetViews>
    <sheetView topLeftCell="C24" workbookViewId="0">
      <selection activeCell="I48" sqref="I48"/>
    </sheetView>
  </sheetViews>
  <sheetFormatPr defaultRowHeight="14.4" x14ac:dyDescent="0.3"/>
  <cols>
    <col min="1" max="1" width="84.6640625" bestFit="1" customWidth="1"/>
    <col min="2" max="2" width="57" bestFit="1" customWidth="1"/>
    <col min="3" max="3" width="23" customWidth="1"/>
    <col min="4" max="4" width="25.5546875" customWidth="1"/>
    <col min="5" max="6" width="13.6640625" bestFit="1" customWidth="1"/>
    <col min="7" max="7" width="14.21875" bestFit="1" customWidth="1"/>
    <col min="8" max="8" width="16.109375" bestFit="1" customWidth="1"/>
    <col min="9" max="10" width="13.6640625" bestFit="1" customWidth="1"/>
    <col min="11" max="11" width="14.109375" bestFit="1" customWidth="1"/>
    <col min="12" max="16" width="13.6640625" bestFit="1" customWidth="1"/>
  </cols>
  <sheetData>
    <row r="3" spans="1:21" x14ac:dyDescent="0.3">
      <c r="C3" t="s">
        <v>25</v>
      </c>
    </row>
    <row r="4" spans="1:21" x14ac:dyDescent="0.3">
      <c r="A4" t="s">
        <v>24</v>
      </c>
      <c r="B4" s="13">
        <v>1420000000</v>
      </c>
      <c r="C4" t="s">
        <v>29</v>
      </c>
    </row>
    <row r="5" spans="1:21" x14ac:dyDescent="0.3">
      <c r="A5" t="s">
        <v>26</v>
      </c>
      <c r="B5">
        <v>0.12</v>
      </c>
      <c r="C5" t="s">
        <v>28</v>
      </c>
    </row>
    <row r="6" spans="1:21" x14ac:dyDescent="0.3">
      <c r="A6" t="s">
        <v>27</v>
      </c>
      <c r="B6" s="14">
        <f>B4/B5</f>
        <v>11833333333.333334</v>
      </c>
    </row>
    <row r="7" spans="1:21" x14ac:dyDescent="0.3">
      <c r="A7" t="s">
        <v>30</v>
      </c>
      <c r="B7" s="13">
        <v>19390000000000</v>
      </c>
      <c r="C7" t="s">
        <v>32</v>
      </c>
    </row>
    <row r="8" spans="1:21" x14ac:dyDescent="0.3">
      <c r="A8" t="s">
        <v>31</v>
      </c>
      <c r="B8" s="13">
        <v>56160000000</v>
      </c>
      <c r="C8" t="s">
        <v>32</v>
      </c>
      <c r="G8" t="s">
        <v>41</v>
      </c>
      <c r="H8" t="s">
        <v>46</v>
      </c>
    </row>
    <row r="9" spans="1:21" x14ac:dyDescent="0.3">
      <c r="A9" t="s">
        <v>33</v>
      </c>
      <c r="B9" s="17">
        <f>B8/B7</f>
        <v>2.8963383187209902E-3</v>
      </c>
      <c r="G9">
        <v>2017</v>
      </c>
      <c r="H9">
        <v>2018</v>
      </c>
      <c r="I9">
        <v>2019</v>
      </c>
      <c r="J9">
        <v>2020</v>
      </c>
      <c r="K9">
        <v>2021</v>
      </c>
      <c r="L9">
        <v>2022</v>
      </c>
      <c r="M9">
        <v>2023</v>
      </c>
      <c r="N9">
        <v>2024</v>
      </c>
      <c r="O9">
        <v>2025</v>
      </c>
      <c r="P9">
        <v>2026</v>
      </c>
      <c r="Q9">
        <v>2027</v>
      </c>
      <c r="R9">
        <v>2028</v>
      </c>
      <c r="S9">
        <v>2029</v>
      </c>
      <c r="T9">
        <v>2030</v>
      </c>
      <c r="U9">
        <v>2031</v>
      </c>
    </row>
    <row r="10" spans="1:21" x14ac:dyDescent="0.3">
      <c r="A10" t="s">
        <v>34</v>
      </c>
      <c r="B10" s="19">
        <f>B9*B6</f>
        <v>34273336.771531716</v>
      </c>
      <c r="G10">
        <v>3.1E-2</v>
      </c>
      <c r="H10">
        <v>3.4000000000000002E-2</v>
      </c>
      <c r="I10">
        <v>3.1E-2</v>
      </c>
      <c r="J10">
        <v>0.03</v>
      </c>
      <c r="K10">
        <v>2.9000000000000001E-2</v>
      </c>
      <c r="L10">
        <v>0.03</v>
      </c>
      <c r="M10">
        <f>(I10+J10+K10+L10)/4</f>
        <v>0.03</v>
      </c>
      <c r="N10">
        <f>M10</f>
        <v>0.03</v>
      </c>
      <c r="O10">
        <f t="shared" ref="O10:U10" si="0">N10</f>
        <v>0.03</v>
      </c>
      <c r="P10">
        <f t="shared" si="0"/>
        <v>0.03</v>
      </c>
      <c r="Q10">
        <f t="shared" si="0"/>
        <v>0.03</v>
      </c>
      <c r="R10">
        <f t="shared" si="0"/>
        <v>0.03</v>
      </c>
      <c r="S10">
        <f t="shared" si="0"/>
        <v>0.03</v>
      </c>
      <c r="T10">
        <f t="shared" si="0"/>
        <v>0.03</v>
      </c>
      <c r="U10">
        <f t="shared" si="0"/>
        <v>0.03</v>
      </c>
    </row>
    <row r="11" spans="1:21" x14ac:dyDescent="0.3">
      <c r="A11" t="s">
        <v>35</v>
      </c>
      <c r="B11" s="13">
        <v>325700000</v>
      </c>
      <c r="C11" t="s">
        <v>37</v>
      </c>
      <c r="G11" t="s">
        <v>68</v>
      </c>
      <c r="H11">
        <v>0.03</v>
      </c>
    </row>
    <row r="12" spans="1:21" x14ac:dyDescent="0.3">
      <c r="A12" t="s">
        <v>36</v>
      </c>
      <c r="B12" s="13">
        <v>3457000</v>
      </c>
      <c r="C12" t="s">
        <v>32</v>
      </c>
    </row>
    <row r="13" spans="1:21" x14ac:dyDescent="0.3">
      <c r="A13" t="s">
        <v>38</v>
      </c>
      <c r="B13" s="18">
        <f>B6*(B12/B11)</f>
        <v>125599733.90645789</v>
      </c>
      <c r="G13" t="s">
        <v>69</v>
      </c>
    </row>
    <row r="14" spans="1:21" x14ac:dyDescent="0.3">
      <c r="G14">
        <v>2016</v>
      </c>
      <c r="H14">
        <v>1330000000</v>
      </c>
    </row>
    <row r="15" spans="1:21" x14ac:dyDescent="0.3">
      <c r="A15" t="s">
        <v>39</v>
      </c>
      <c r="B15" s="20">
        <v>0.30124000000000001</v>
      </c>
      <c r="C15" t="s">
        <v>40</v>
      </c>
      <c r="G15">
        <v>2017</v>
      </c>
      <c r="H15" s="14">
        <f>B4</f>
        <v>1420000000</v>
      </c>
    </row>
    <row r="16" spans="1:21" x14ac:dyDescent="0.3">
      <c r="A16" t="s">
        <v>43</v>
      </c>
      <c r="B16" s="14">
        <f>B15*B10</f>
        <v>10324499.969056215</v>
      </c>
      <c r="G16" t="s">
        <v>70</v>
      </c>
      <c r="H16">
        <f>(H15-H14)/H14</f>
        <v>6.7669172932330823E-2</v>
      </c>
    </row>
    <row r="17" spans="1:3" x14ac:dyDescent="0.3">
      <c r="A17" t="s">
        <v>44</v>
      </c>
      <c r="B17" s="14">
        <f>B16*(1+H16)</f>
        <v>11023150.342902126</v>
      </c>
    </row>
    <row r="18" spans="1:3" x14ac:dyDescent="0.3">
      <c r="A18" t="s">
        <v>45</v>
      </c>
      <c r="B18" s="14">
        <f>B17*(1+H16)</f>
        <v>11769077.809715053</v>
      </c>
    </row>
    <row r="19" spans="1:3" x14ac:dyDescent="0.3">
      <c r="B19" s="14"/>
    </row>
    <row r="20" spans="1:3" x14ac:dyDescent="0.3">
      <c r="A20" s="21" t="s">
        <v>52</v>
      </c>
    </row>
    <row r="21" spans="1:3" x14ac:dyDescent="0.3">
      <c r="A21" t="s">
        <v>53</v>
      </c>
      <c r="B21">
        <v>0.87690000000000001</v>
      </c>
      <c r="C21" t="s">
        <v>50</v>
      </c>
    </row>
    <row r="22" spans="1:3" x14ac:dyDescent="0.3">
      <c r="A22" t="s">
        <v>54</v>
      </c>
      <c r="B22">
        <v>0.78580000000000005</v>
      </c>
    </row>
    <row r="23" spans="1:3" x14ac:dyDescent="0.3">
      <c r="A23" t="s">
        <v>51</v>
      </c>
      <c r="B23" s="16">
        <f>B22/B21</f>
        <v>0.89611130117459237</v>
      </c>
    </row>
    <row r="24" spans="1:3" x14ac:dyDescent="0.3">
      <c r="A24" t="s">
        <v>55</v>
      </c>
      <c r="B24" s="14">
        <f>B23*B18</f>
        <v>10546403.629688777</v>
      </c>
      <c r="C24" t="s">
        <v>60</v>
      </c>
    </row>
    <row r="25" spans="1:3" x14ac:dyDescent="0.3">
      <c r="A25" s="21" t="s">
        <v>66</v>
      </c>
      <c r="B25" s="14"/>
    </row>
    <row r="26" spans="1:3" x14ac:dyDescent="0.3">
      <c r="B26" s="14"/>
    </row>
    <row r="27" spans="1:3" x14ac:dyDescent="0.3">
      <c r="A27" s="21" t="s">
        <v>56</v>
      </c>
      <c r="B27" s="14"/>
    </row>
    <row r="28" spans="1:3" x14ac:dyDescent="0.3">
      <c r="A28" t="s">
        <v>57</v>
      </c>
      <c r="B28" s="14">
        <v>203</v>
      </c>
      <c r="C28" t="s">
        <v>59</v>
      </c>
    </row>
    <row r="29" spans="1:3" x14ac:dyDescent="0.3">
      <c r="A29" t="s">
        <v>58</v>
      </c>
      <c r="B29" s="14">
        <v>149</v>
      </c>
    </row>
    <row r="30" spans="1:3" x14ac:dyDescent="0.3">
      <c r="A30" t="s">
        <v>61</v>
      </c>
      <c r="B30" s="14">
        <v>245</v>
      </c>
    </row>
    <row r="31" spans="1:3" x14ac:dyDescent="0.3">
      <c r="A31" t="s">
        <v>62</v>
      </c>
      <c r="B31" s="14">
        <f>B30-B28</f>
        <v>42</v>
      </c>
    </row>
    <row r="32" spans="1:3" x14ac:dyDescent="0.3">
      <c r="A32" t="s">
        <v>63</v>
      </c>
      <c r="B32" s="14">
        <f>B30-B29</f>
        <v>96</v>
      </c>
    </row>
    <row r="33" spans="1:17" x14ac:dyDescent="0.3">
      <c r="A33" t="s">
        <v>64</v>
      </c>
      <c r="B33" s="14">
        <f>B31/B30*100</f>
        <v>17.142857142857142</v>
      </c>
    </row>
    <row r="34" spans="1:17" x14ac:dyDescent="0.3">
      <c r="A34" t="s">
        <v>65</v>
      </c>
      <c r="B34" s="14">
        <f>B32/B30*100</f>
        <v>39.183673469387756</v>
      </c>
    </row>
    <row r="35" spans="1:17" x14ac:dyDescent="0.3">
      <c r="A35" t="s">
        <v>67</v>
      </c>
      <c r="B35" s="14">
        <f>(B24*B34)/B33</f>
        <v>24106065.439288631</v>
      </c>
    </row>
    <row r="36" spans="1:17" x14ac:dyDescent="0.3">
      <c r="B36" s="14"/>
    </row>
    <row r="38" spans="1:17" x14ac:dyDescent="0.3">
      <c r="D38" t="s">
        <v>48</v>
      </c>
      <c r="E38">
        <v>2019</v>
      </c>
      <c r="F38">
        <v>2020</v>
      </c>
      <c r="G38">
        <v>2021</v>
      </c>
      <c r="H38">
        <v>2022</v>
      </c>
      <c r="I38">
        <v>2023</v>
      </c>
    </row>
    <row r="39" spans="1:17" x14ac:dyDescent="0.3">
      <c r="A39" t="s">
        <v>71</v>
      </c>
      <c r="D39" t="s">
        <v>78</v>
      </c>
      <c r="E39" s="15">
        <v>0</v>
      </c>
      <c r="F39" s="15">
        <v>0.05</v>
      </c>
      <c r="G39" s="15">
        <v>0.1</v>
      </c>
      <c r="H39" s="15">
        <v>0.2</v>
      </c>
      <c r="I39" s="15">
        <v>0.3</v>
      </c>
    </row>
    <row r="40" spans="1:17" x14ac:dyDescent="0.3">
      <c r="A40" t="s">
        <v>42</v>
      </c>
      <c r="D40" t="s">
        <v>77</v>
      </c>
      <c r="E40" s="15">
        <v>0</v>
      </c>
      <c r="F40" s="15">
        <v>0.03</v>
      </c>
      <c r="G40" s="15">
        <v>0.05</v>
      </c>
      <c r="H40" s="15">
        <v>0.1</v>
      </c>
      <c r="I40" s="15">
        <v>0.2</v>
      </c>
    </row>
    <row r="41" spans="1:17" x14ac:dyDescent="0.3">
      <c r="D41" t="s">
        <v>79</v>
      </c>
      <c r="E41" s="15">
        <v>0</v>
      </c>
      <c r="F41" s="15">
        <v>0.1</v>
      </c>
      <c r="G41" s="15">
        <v>0.2</v>
      </c>
      <c r="H41" s="15">
        <v>0.3</v>
      </c>
      <c r="I41" s="15">
        <v>0.4</v>
      </c>
    </row>
    <row r="42" spans="1:17" x14ac:dyDescent="0.3">
      <c r="A42" t="s">
        <v>41</v>
      </c>
      <c r="B42" s="16">
        <f>H11</f>
        <v>0.03</v>
      </c>
    </row>
    <row r="43" spans="1:17" x14ac:dyDescent="0.3">
      <c r="A43" t="s">
        <v>72</v>
      </c>
      <c r="B43" s="16">
        <f>H16</f>
        <v>6.7669172932330823E-2</v>
      </c>
    </row>
    <row r="44" spans="1:17" x14ac:dyDescent="0.3">
      <c r="A44" t="s">
        <v>73</v>
      </c>
      <c r="B44" s="16">
        <v>0.12</v>
      </c>
    </row>
    <row r="45" spans="1:17" x14ac:dyDescent="0.3">
      <c r="C45">
        <v>1</v>
      </c>
      <c r="D45">
        <v>2</v>
      </c>
      <c r="E45">
        <v>3</v>
      </c>
      <c r="F45">
        <v>4</v>
      </c>
      <c r="G45">
        <v>5</v>
      </c>
      <c r="H45">
        <v>6</v>
      </c>
      <c r="I45">
        <v>7</v>
      </c>
      <c r="J45">
        <v>8</v>
      </c>
      <c r="K45">
        <v>9</v>
      </c>
      <c r="L45">
        <v>10</v>
      </c>
      <c r="M45">
        <v>11</v>
      </c>
      <c r="N45">
        <v>12</v>
      </c>
      <c r="O45">
        <v>13</v>
      </c>
      <c r="P45">
        <v>14</v>
      </c>
      <c r="Q45">
        <v>15</v>
      </c>
    </row>
    <row r="46" spans="1:17" x14ac:dyDescent="0.3">
      <c r="C46">
        <v>2019</v>
      </c>
      <c r="D46">
        <v>2020</v>
      </c>
      <c r="E46">
        <v>2021</v>
      </c>
      <c r="F46">
        <v>2022</v>
      </c>
      <c r="G46">
        <v>2023</v>
      </c>
      <c r="H46">
        <v>2024</v>
      </c>
      <c r="I46">
        <v>2025</v>
      </c>
      <c r="J46">
        <v>2026</v>
      </c>
      <c r="K46">
        <v>2027</v>
      </c>
      <c r="L46">
        <v>2028</v>
      </c>
      <c r="M46">
        <v>2029</v>
      </c>
      <c r="N46">
        <v>2030</v>
      </c>
      <c r="O46">
        <v>2031</v>
      </c>
      <c r="P46">
        <v>2032</v>
      </c>
      <c r="Q46">
        <v>2033</v>
      </c>
    </row>
    <row r="47" spans="1:17" x14ac:dyDescent="0.3">
      <c r="A47" s="33" t="s">
        <v>21</v>
      </c>
      <c r="B47" t="s">
        <v>47</v>
      </c>
      <c r="C47" s="14">
        <f>B35</f>
        <v>24106065.439288631</v>
      </c>
      <c r="D47" s="13">
        <f>C47*(1+$B$43)</f>
        <v>25737302.95021794</v>
      </c>
      <c r="E47" s="13">
        <f t="shared" ref="E47:Q47" si="1">D47*(1+$B$43)</f>
        <v>27478924.954368029</v>
      </c>
      <c r="F47" s="13">
        <f t="shared" si="1"/>
        <v>29338401.0790997</v>
      </c>
      <c r="G47" s="13">
        <f t="shared" si="1"/>
        <v>31323706.415279381</v>
      </c>
      <c r="H47" s="13">
        <f t="shared" si="1"/>
        <v>33443355.721576482</v>
      </c>
      <c r="I47" s="13">
        <f t="shared" si="1"/>
        <v>35706439.943337299</v>
      </c>
      <c r="J47" s="13">
        <f t="shared" si="1"/>
        <v>38122665.202660881</v>
      </c>
      <c r="K47" s="13">
        <f t="shared" si="1"/>
        <v>40702394.426901095</v>
      </c>
      <c r="L47" s="13">
        <f t="shared" si="1"/>
        <v>43456691.794135004</v>
      </c>
      <c r="M47" s="13">
        <f t="shared" si="1"/>
        <v>46397370.186219327</v>
      </c>
      <c r="N47" s="13">
        <f t="shared" si="1"/>
        <v>49537041.852955975</v>
      </c>
      <c r="O47" s="13">
        <f t="shared" si="1"/>
        <v>52889172.504659764</v>
      </c>
      <c r="P47" s="13">
        <f t="shared" si="1"/>
        <v>56468139.065125465</v>
      </c>
      <c r="Q47" s="13">
        <f t="shared" si="1"/>
        <v>60289291.332690351</v>
      </c>
    </row>
    <row r="48" spans="1:17" x14ac:dyDescent="0.3">
      <c r="A48" s="99" t="s">
        <v>78</v>
      </c>
      <c r="B48" s="25" t="s">
        <v>49</v>
      </c>
      <c r="C48" s="26">
        <f>C47*E39</f>
        <v>0</v>
      </c>
      <c r="D48" s="26">
        <f>D47*F39</f>
        <v>1286865.1475108971</v>
      </c>
      <c r="E48" s="26">
        <f>E47*G39</f>
        <v>2747892.495436803</v>
      </c>
      <c r="F48" s="26">
        <f>F47*H39</f>
        <v>5867680.21581994</v>
      </c>
      <c r="G48" s="26">
        <f>G47*I39</f>
        <v>9397111.9245838132</v>
      </c>
      <c r="H48" s="26">
        <f t="shared" ref="H48:Q48" si="2">H47*$I$39</f>
        <v>10033006.716472944</v>
      </c>
      <c r="I48" s="26">
        <f t="shared" si="2"/>
        <v>10711931.983001189</v>
      </c>
      <c r="J48" s="26">
        <f t="shared" si="2"/>
        <v>11436799.560798263</v>
      </c>
      <c r="K48" s="26">
        <f t="shared" si="2"/>
        <v>12210718.328070328</v>
      </c>
      <c r="L48" s="26">
        <f t="shared" si="2"/>
        <v>13037007.538240502</v>
      </c>
      <c r="M48" s="26">
        <f t="shared" si="2"/>
        <v>13919211.055865798</v>
      </c>
      <c r="N48" s="26">
        <f t="shared" si="2"/>
        <v>14861112.555886792</v>
      </c>
      <c r="O48" s="26">
        <f t="shared" si="2"/>
        <v>15866751.751397928</v>
      </c>
      <c r="P48" s="26">
        <f t="shared" si="2"/>
        <v>16940441.719537638</v>
      </c>
      <c r="Q48" s="27">
        <f t="shared" si="2"/>
        <v>18086787.399807103</v>
      </c>
    </row>
    <row r="49" spans="1:17" x14ac:dyDescent="0.3">
      <c r="A49" s="100"/>
      <c r="B49" t="s">
        <v>74</v>
      </c>
      <c r="C49">
        <f>C48/(1+$B$44)^C45</f>
        <v>0</v>
      </c>
      <c r="D49">
        <f t="shared" ref="D49:Q49" si="3">D48/(1+$B$44)^D45</f>
        <v>1025881.0168294777</v>
      </c>
      <c r="E49">
        <f t="shared" si="3"/>
        <v>1955895.6013666196</v>
      </c>
      <c r="F49">
        <f t="shared" si="3"/>
        <v>3729016.8554519331</v>
      </c>
      <c r="G49">
        <f t="shared" si="3"/>
        <v>5332173.6722023478</v>
      </c>
      <c r="H49">
        <f t="shared" si="3"/>
        <v>5083033.4415462762</v>
      </c>
      <c r="I49">
        <f t="shared" si="3"/>
        <v>4845534.0272527607</v>
      </c>
      <c r="J49">
        <f t="shared" si="3"/>
        <v>4619131.524368234</v>
      </c>
      <c r="K49">
        <f t="shared" si="3"/>
        <v>4403307.4413284725</v>
      </c>
      <c r="L49">
        <f t="shared" si="3"/>
        <v>4197567.5125445966</v>
      </c>
      <c r="M49">
        <f t="shared" si="3"/>
        <v>4001440.5664697406</v>
      </c>
      <c r="N49">
        <f t="shared" si="3"/>
        <v>3814477.4465541299</v>
      </c>
      <c r="O49">
        <f t="shared" si="3"/>
        <v>3636249.9826173899</v>
      </c>
      <c r="P49">
        <f t="shared" si="3"/>
        <v>3466350.0102824201</v>
      </c>
      <c r="Q49" s="28">
        <f t="shared" si="3"/>
        <v>3304388.4362251861</v>
      </c>
    </row>
    <row r="50" spans="1:17" x14ac:dyDescent="0.3">
      <c r="A50" s="100"/>
      <c r="B50" t="s">
        <v>75</v>
      </c>
      <c r="C50" s="23">
        <f>NPV(B44,C48:Q48)</f>
        <v>53414447.535039574</v>
      </c>
      <c r="Q50" s="28"/>
    </row>
    <row r="51" spans="1:17" x14ac:dyDescent="0.3">
      <c r="A51" s="101"/>
      <c r="B51" s="29" t="s">
        <v>76</v>
      </c>
      <c r="C51" s="30">
        <f>NPV(B44,C48:L48)</f>
        <v>35191541.09289071</v>
      </c>
      <c r="D51" s="29"/>
      <c r="E51" s="29"/>
      <c r="F51" s="29"/>
      <c r="G51" s="29"/>
      <c r="H51" s="29"/>
      <c r="I51" s="29"/>
      <c r="J51" s="29"/>
      <c r="K51" s="29"/>
      <c r="L51" s="29"/>
      <c r="M51" s="29"/>
      <c r="N51" s="29"/>
      <c r="O51" s="29"/>
      <c r="P51" s="29"/>
      <c r="Q51" s="31"/>
    </row>
    <row r="52" spans="1:17" x14ac:dyDescent="0.3">
      <c r="A52" s="102" t="s">
        <v>77</v>
      </c>
      <c r="B52" s="25" t="s">
        <v>49</v>
      </c>
      <c r="C52" s="26">
        <f>C47*E40</f>
        <v>0</v>
      </c>
      <c r="D52" s="26">
        <f t="shared" ref="D52:F52" si="4">D47*F40</f>
        <v>772119.08850653819</v>
      </c>
      <c r="E52" s="26">
        <f t="shared" si="4"/>
        <v>1373946.2477184015</v>
      </c>
      <c r="F52" s="26">
        <f t="shared" si="4"/>
        <v>2933840.10790997</v>
      </c>
      <c r="G52" s="26">
        <f>G47*$I$40</f>
        <v>6264741.2830558764</v>
      </c>
      <c r="H52" s="26">
        <f t="shared" ref="H52:Q52" si="5">H47*$I$40</f>
        <v>6688671.1443152968</v>
      </c>
      <c r="I52" s="26">
        <f t="shared" si="5"/>
        <v>7141287.9886674602</v>
      </c>
      <c r="J52" s="26">
        <f t="shared" si="5"/>
        <v>7624533.0405321764</v>
      </c>
      <c r="K52" s="26">
        <f t="shared" si="5"/>
        <v>8140478.8853802197</v>
      </c>
      <c r="L52" s="26">
        <f t="shared" si="5"/>
        <v>8691338.3588270005</v>
      </c>
      <c r="M52" s="26">
        <f t="shared" si="5"/>
        <v>9279474.0372438654</v>
      </c>
      <c r="N52" s="26">
        <f t="shared" si="5"/>
        <v>9907408.3705911953</v>
      </c>
      <c r="O52" s="26">
        <f t="shared" si="5"/>
        <v>10577834.500931954</v>
      </c>
      <c r="P52" s="26">
        <f t="shared" si="5"/>
        <v>11293627.813025095</v>
      </c>
      <c r="Q52" s="26">
        <f t="shared" si="5"/>
        <v>12057858.266538071</v>
      </c>
    </row>
    <row r="53" spans="1:17" x14ac:dyDescent="0.3">
      <c r="A53" s="103"/>
      <c r="B53" t="s">
        <v>74</v>
      </c>
      <c r="C53">
        <f>C52/(1+$B$44)^C45</f>
        <v>0</v>
      </c>
      <c r="D53">
        <f t="shared" ref="D53:Q53" si="6">D52/(1+$B$44)^D45</f>
        <v>615528.61009768664</v>
      </c>
      <c r="E53">
        <f t="shared" si="6"/>
        <v>977947.80068330979</v>
      </c>
      <c r="F53">
        <f t="shared" si="6"/>
        <v>1864508.4277259666</v>
      </c>
      <c r="G53">
        <f t="shared" si="6"/>
        <v>3554782.4481348991</v>
      </c>
      <c r="H53">
        <f t="shared" si="6"/>
        <v>3388688.9610308511</v>
      </c>
      <c r="I53">
        <f t="shared" si="6"/>
        <v>3230356.0181685076</v>
      </c>
      <c r="J53">
        <f t="shared" si="6"/>
        <v>3079421.0162454895</v>
      </c>
      <c r="K53">
        <f t="shared" si="6"/>
        <v>2935538.2942189821</v>
      </c>
      <c r="L53">
        <f t="shared" si="6"/>
        <v>2798378.3416963974</v>
      </c>
      <c r="M53">
        <f t="shared" si="6"/>
        <v>2667627.0443131602</v>
      </c>
      <c r="N53">
        <f t="shared" si="6"/>
        <v>2542984.96436942</v>
      </c>
      <c r="O53">
        <f t="shared" si="6"/>
        <v>2424166.6550782602</v>
      </c>
      <c r="P53">
        <f t="shared" si="6"/>
        <v>2310900.0068549472</v>
      </c>
      <c r="Q53">
        <f t="shared" si="6"/>
        <v>2202925.6241501244</v>
      </c>
    </row>
    <row r="54" spans="1:17" x14ac:dyDescent="0.3">
      <c r="A54" s="103"/>
      <c r="B54" t="s">
        <v>75</v>
      </c>
      <c r="C54" s="23">
        <f>NPV(B44,C52:Q52)</f>
        <v>34593754.212768003</v>
      </c>
      <c r="Q54" s="28"/>
    </row>
    <row r="55" spans="1:17" x14ac:dyDescent="0.3">
      <c r="A55" s="104"/>
      <c r="B55" s="29" t="s">
        <v>76</v>
      </c>
      <c r="C55" s="30">
        <f>NPV(B44,C52:L52)</f>
        <v>22445149.918002091</v>
      </c>
      <c r="D55" s="29"/>
      <c r="E55" s="29"/>
      <c r="F55" s="29"/>
      <c r="G55" s="29"/>
      <c r="H55" s="29"/>
      <c r="I55" s="29"/>
      <c r="J55" s="29"/>
      <c r="K55" s="29"/>
      <c r="L55" s="29"/>
      <c r="M55" s="29"/>
      <c r="N55" s="29"/>
      <c r="O55" s="29"/>
      <c r="P55" s="29"/>
      <c r="Q55" s="31"/>
    </row>
    <row r="56" spans="1:17" x14ac:dyDescent="0.3">
      <c r="A56" s="105" t="s">
        <v>79</v>
      </c>
      <c r="B56" s="25" t="s">
        <v>49</v>
      </c>
      <c r="C56" s="26">
        <f>C47*E41</f>
        <v>0</v>
      </c>
      <c r="D56" s="26">
        <f t="shared" ref="D56:F56" si="7">D47*F41</f>
        <v>2573730.2950217943</v>
      </c>
      <c r="E56" s="26">
        <f t="shared" si="7"/>
        <v>5495784.9908736059</v>
      </c>
      <c r="F56" s="26">
        <f t="shared" si="7"/>
        <v>8801520.32372991</v>
      </c>
      <c r="G56" s="26">
        <f>G47*$I$41</f>
        <v>12529482.566111753</v>
      </c>
      <c r="H56" s="26">
        <f t="shared" ref="H56:Q56" si="8">H47*$I$41</f>
        <v>13377342.288630594</v>
      </c>
      <c r="I56" s="26">
        <f t="shared" si="8"/>
        <v>14282575.97733492</v>
      </c>
      <c r="J56" s="26">
        <f t="shared" si="8"/>
        <v>15249066.081064353</v>
      </c>
      <c r="K56" s="26">
        <f t="shared" si="8"/>
        <v>16280957.770760439</v>
      </c>
      <c r="L56" s="26">
        <f t="shared" si="8"/>
        <v>17382676.717654001</v>
      </c>
      <c r="M56" s="26">
        <f t="shared" si="8"/>
        <v>18558948.074487731</v>
      </c>
      <c r="N56" s="26">
        <f t="shared" si="8"/>
        <v>19814816.741182391</v>
      </c>
      <c r="O56" s="26">
        <f t="shared" si="8"/>
        <v>21155669.001863908</v>
      </c>
      <c r="P56" s="26">
        <f t="shared" si="8"/>
        <v>22587255.626050189</v>
      </c>
      <c r="Q56" s="26">
        <f t="shared" si="8"/>
        <v>24115716.533076141</v>
      </c>
    </row>
    <row r="57" spans="1:17" x14ac:dyDescent="0.3">
      <c r="A57" s="106"/>
      <c r="B57" t="s">
        <v>74</v>
      </c>
      <c r="C57">
        <f>C56/(1+$B$44)^C45</f>
        <v>0</v>
      </c>
      <c r="D57">
        <f t="shared" ref="D57:Q57" si="9">D56/(1+$B$44)^D45</f>
        <v>2051762.0336589555</v>
      </c>
      <c r="E57">
        <f t="shared" si="9"/>
        <v>3911791.2027332392</v>
      </c>
      <c r="F57">
        <f t="shared" si="9"/>
        <v>5593525.2831779001</v>
      </c>
      <c r="G57">
        <f t="shared" si="9"/>
        <v>7109564.8962697983</v>
      </c>
      <c r="H57">
        <f t="shared" si="9"/>
        <v>6777377.9220617022</v>
      </c>
      <c r="I57">
        <f t="shared" si="9"/>
        <v>6460712.0363370152</v>
      </c>
      <c r="J57">
        <f t="shared" si="9"/>
        <v>6158842.0324909789</v>
      </c>
      <c r="K57">
        <f t="shared" si="9"/>
        <v>5871076.5884379642</v>
      </c>
      <c r="L57">
        <f t="shared" si="9"/>
        <v>5596756.6833927948</v>
      </c>
      <c r="M57">
        <f t="shared" si="9"/>
        <v>5335254.0886263205</v>
      </c>
      <c r="N57">
        <f t="shared" si="9"/>
        <v>5085969.9287388399</v>
      </c>
      <c r="O57">
        <f t="shared" si="9"/>
        <v>4848333.3101565205</v>
      </c>
      <c r="P57">
        <f t="shared" si="9"/>
        <v>4621800.0137098944</v>
      </c>
      <c r="Q57">
        <f t="shared" si="9"/>
        <v>4405851.2483002488</v>
      </c>
    </row>
    <row r="58" spans="1:17" x14ac:dyDescent="0.3">
      <c r="A58" s="106"/>
      <c r="B58" t="s">
        <v>75</v>
      </c>
      <c r="C58" s="23">
        <f>NPV(B44,C56:Q56)</f>
        <v>73828617.26809217</v>
      </c>
      <c r="Q58" s="28"/>
    </row>
    <row r="59" spans="1:17" x14ac:dyDescent="0.3">
      <c r="A59" s="107"/>
      <c r="B59" s="29" t="s">
        <v>76</v>
      </c>
      <c r="C59" s="30">
        <f>NPV(B44,C56:L56)</f>
        <v>49531408.678560346</v>
      </c>
      <c r="D59" s="29"/>
      <c r="E59" s="29"/>
      <c r="F59" s="29"/>
      <c r="G59" s="29"/>
      <c r="H59" s="29"/>
      <c r="I59" s="29"/>
      <c r="J59" s="29"/>
      <c r="K59" s="29"/>
      <c r="L59" s="29"/>
      <c r="M59" s="29"/>
      <c r="N59" s="29"/>
      <c r="O59" s="29"/>
      <c r="P59" s="29"/>
      <c r="Q59" s="31"/>
    </row>
    <row r="61" spans="1:17" x14ac:dyDescent="0.3">
      <c r="A61" s="108" t="s">
        <v>111</v>
      </c>
      <c r="B61" t="s">
        <v>21</v>
      </c>
      <c r="C61" s="70">
        <f>C47</f>
        <v>24106065.439288631</v>
      </c>
      <c r="D61" s="70">
        <f t="shared" ref="D61:Q61" si="10">D47</f>
        <v>25737302.95021794</v>
      </c>
      <c r="E61" s="70">
        <f t="shared" si="10"/>
        <v>27478924.954368029</v>
      </c>
      <c r="F61" s="70">
        <f t="shared" si="10"/>
        <v>29338401.0790997</v>
      </c>
      <c r="G61" s="70">
        <f t="shared" si="10"/>
        <v>31323706.415279381</v>
      </c>
      <c r="H61" s="70">
        <f t="shared" si="10"/>
        <v>33443355.721576482</v>
      </c>
      <c r="I61" s="70">
        <f t="shared" si="10"/>
        <v>35706439.943337299</v>
      </c>
      <c r="J61" s="70">
        <f t="shared" si="10"/>
        <v>38122665.202660881</v>
      </c>
      <c r="K61" s="70">
        <f t="shared" si="10"/>
        <v>40702394.426901095</v>
      </c>
      <c r="L61" s="70">
        <f t="shared" si="10"/>
        <v>43456691.794135004</v>
      </c>
      <c r="M61" s="70">
        <f t="shared" si="10"/>
        <v>46397370.186219327</v>
      </c>
      <c r="N61" s="70">
        <f t="shared" si="10"/>
        <v>49537041.852955975</v>
      </c>
      <c r="O61" s="70">
        <f t="shared" si="10"/>
        <v>52889172.504659764</v>
      </c>
      <c r="P61" s="70">
        <f t="shared" si="10"/>
        <v>56468139.065125465</v>
      </c>
      <c r="Q61" s="70">
        <f t="shared" si="10"/>
        <v>60289291.332690351</v>
      </c>
    </row>
    <row r="62" spans="1:17" x14ac:dyDescent="0.3">
      <c r="A62" s="109"/>
      <c r="B62" t="s">
        <v>112</v>
      </c>
      <c r="C62" s="70">
        <f>C61-C48</f>
        <v>24106065.439288631</v>
      </c>
      <c r="D62" s="70">
        <f t="shared" ref="D62:Q62" si="11">D61-D48</f>
        <v>24450437.802707043</v>
      </c>
      <c r="E62" s="70">
        <f t="shared" si="11"/>
        <v>24731032.458931226</v>
      </c>
      <c r="F62" s="70">
        <f t="shared" si="11"/>
        <v>23470720.86327976</v>
      </c>
      <c r="G62" s="70">
        <f t="shared" si="11"/>
        <v>21926594.490695566</v>
      </c>
      <c r="H62" s="70">
        <f t="shared" si="11"/>
        <v>23410349.005103536</v>
      </c>
      <c r="I62" s="70">
        <f t="shared" si="11"/>
        <v>24994507.960336111</v>
      </c>
      <c r="J62" s="70">
        <f t="shared" si="11"/>
        <v>26685865.641862616</v>
      </c>
      <c r="K62" s="70">
        <f t="shared" si="11"/>
        <v>28491676.098830767</v>
      </c>
      <c r="L62" s="70">
        <f t="shared" si="11"/>
        <v>30419684.255894504</v>
      </c>
      <c r="M62" s="70">
        <f t="shared" si="11"/>
        <v>32478159.130353529</v>
      </c>
      <c r="N62" s="70">
        <f t="shared" si="11"/>
        <v>34675929.297069184</v>
      </c>
      <c r="O62" s="70">
        <f t="shared" si="11"/>
        <v>37022420.753261834</v>
      </c>
      <c r="P62" s="70">
        <f t="shared" si="11"/>
        <v>39527697.345587827</v>
      </c>
      <c r="Q62" s="70">
        <f t="shared" si="11"/>
        <v>42202503.932883248</v>
      </c>
    </row>
    <row r="63" spans="1:17" x14ac:dyDescent="0.3">
      <c r="A63" s="109"/>
      <c r="B63" t="s">
        <v>113</v>
      </c>
      <c r="C63" s="70">
        <f>C61-C52</f>
        <v>24106065.439288631</v>
      </c>
      <c r="D63" s="70">
        <f t="shared" ref="D63:Q63" si="12">D61-D52</f>
        <v>24965183.861711401</v>
      </c>
      <c r="E63" s="70">
        <f t="shared" si="12"/>
        <v>26104978.706649628</v>
      </c>
      <c r="F63" s="70">
        <f t="shared" si="12"/>
        <v>26404560.97118973</v>
      </c>
      <c r="G63" s="70">
        <f t="shared" si="12"/>
        <v>25058965.132223506</v>
      </c>
      <c r="H63" s="70">
        <f t="shared" si="12"/>
        <v>26754684.577261187</v>
      </c>
      <c r="I63" s="70">
        <f t="shared" si="12"/>
        <v>28565151.954669841</v>
      </c>
      <c r="J63" s="70">
        <f t="shared" si="12"/>
        <v>30498132.162128706</v>
      </c>
      <c r="K63" s="70">
        <f t="shared" si="12"/>
        <v>32561915.541520875</v>
      </c>
      <c r="L63" s="70">
        <f t="shared" si="12"/>
        <v>34765353.435308002</v>
      </c>
      <c r="M63" s="70">
        <f t="shared" si="12"/>
        <v>37117896.148975462</v>
      </c>
      <c r="N63" s="70">
        <f t="shared" si="12"/>
        <v>39629633.482364781</v>
      </c>
      <c r="O63" s="70">
        <f t="shared" si="12"/>
        <v>42311338.003727809</v>
      </c>
      <c r="P63" s="70">
        <f t="shared" si="12"/>
        <v>45174511.252100371</v>
      </c>
      <c r="Q63" s="70">
        <f t="shared" si="12"/>
        <v>48231433.066152282</v>
      </c>
    </row>
    <row r="64" spans="1:17" x14ac:dyDescent="0.3">
      <c r="A64" s="109"/>
      <c r="B64" t="s">
        <v>114</v>
      </c>
      <c r="C64" s="70">
        <f>C61-C56</f>
        <v>24106065.439288631</v>
      </c>
      <c r="D64" s="70">
        <f t="shared" ref="D64:Q64" si="13">D61-D56</f>
        <v>23163572.655196145</v>
      </c>
      <c r="E64" s="70">
        <f t="shared" si="13"/>
        <v>21983139.963494424</v>
      </c>
      <c r="F64" s="70">
        <f t="shared" si="13"/>
        <v>20536880.75536979</v>
      </c>
      <c r="G64" s="70">
        <f t="shared" si="13"/>
        <v>18794223.84916763</v>
      </c>
      <c r="H64" s="70">
        <f t="shared" si="13"/>
        <v>20066013.432945888</v>
      </c>
      <c r="I64" s="70">
        <f t="shared" si="13"/>
        <v>21423863.966002379</v>
      </c>
      <c r="J64" s="70">
        <f t="shared" si="13"/>
        <v>22873599.12159653</v>
      </c>
      <c r="K64" s="70">
        <f t="shared" si="13"/>
        <v>24421436.656140655</v>
      </c>
      <c r="L64" s="70">
        <f t="shared" si="13"/>
        <v>26074015.076481003</v>
      </c>
      <c r="M64" s="70">
        <f t="shared" si="13"/>
        <v>27838422.111731596</v>
      </c>
      <c r="N64" s="70">
        <f t="shared" si="13"/>
        <v>29722225.111773584</v>
      </c>
      <c r="O64" s="70">
        <f t="shared" si="13"/>
        <v>31733503.502795856</v>
      </c>
      <c r="P64" s="70">
        <f t="shared" si="13"/>
        <v>33880883.439075276</v>
      </c>
      <c r="Q64" s="70">
        <f t="shared" si="13"/>
        <v>36173574.799614206</v>
      </c>
    </row>
  </sheetData>
  <mergeCells count="4">
    <mergeCell ref="A48:A51"/>
    <mergeCell ref="A52:A55"/>
    <mergeCell ref="A56:A59"/>
    <mergeCell ref="A61:A64"/>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D77B2-1131-47B0-A896-E18EBC84D875}">
  <dimension ref="A1:AB44"/>
  <sheetViews>
    <sheetView workbookViewId="0">
      <selection activeCell="H12" sqref="H12"/>
    </sheetView>
  </sheetViews>
  <sheetFormatPr defaultRowHeight="14.4" x14ac:dyDescent="0.3"/>
  <cols>
    <col min="1" max="1" width="22.44140625" customWidth="1"/>
    <col min="2" max="2" width="45.33203125" customWidth="1"/>
    <col min="3" max="3" width="17.109375" customWidth="1"/>
    <col min="4" max="4" width="19" customWidth="1"/>
    <col min="5" max="5" width="18.33203125" customWidth="1"/>
    <col min="6" max="6" width="20.21875" customWidth="1"/>
    <col min="7" max="7" width="17.88671875" customWidth="1"/>
    <col min="8" max="8" width="26.77734375" customWidth="1"/>
    <col min="9" max="9" width="17.77734375" customWidth="1"/>
    <col min="10" max="10" width="19.33203125" customWidth="1"/>
    <col min="11" max="11" width="20.5546875" customWidth="1"/>
    <col min="12" max="12" width="22.21875" customWidth="1"/>
    <col min="13" max="13" width="21" customWidth="1"/>
    <col min="14" max="14" width="17.88671875" customWidth="1"/>
    <col min="15" max="15" width="20" customWidth="1"/>
    <col min="16" max="16" width="19.21875" customWidth="1"/>
    <col min="17" max="17" width="17.5546875" customWidth="1"/>
    <col min="18" max="18" width="18.44140625" customWidth="1"/>
    <col min="19" max="19" width="19.21875" customWidth="1"/>
    <col min="20" max="20" width="18.33203125" customWidth="1"/>
    <col min="21" max="21" width="24.21875" customWidth="1"/>
  </cols>
  <sheetData>
    <row r="1" spans="1:28" x14ac:dyDescent="0.3">
      <c r="B1" t="s">
        <v>124</v>
      </c>
      <c r="C1">
        <v>80</v>
      </c>
      <c r="D1" t="s">
        <v>140</v>
      </c>
    </row>
    <row r="2" spans="1:28" x14ac:dyDescent="0.3">
      <c r="B2" t="s">
        <v>125</v>
      </c>
      <c r="C2">
        <v>100</v>
      </c>
      <c r="D2" t="s">
        <v>139</v>
      </c>
    </row>
    <row r="3" spans="1:28" x14ac:dyDescent="0.3">
      <c r="B3" t="s">
        <v>126</v>
      </c>
      <c r="C3">
        <f>C2-C1</f>
        <v>20</v>
      </c>
    </row>
    <row r="4" spans="1:28" x14ac:dyDescent="0.3">
      <c r="B4" t="s">
        <v>115</v>
      </c>
      <c r="C4">
        <f>40*15</f>
        <v>600</v>
      </c>
      <c r="D4" t="s">
        <v>137</v>
      </c>
    </row>
    <row r="5" spans="1:28" x14ac:dyDescent="0.3">
      <c r="B5" t="s">
        <v>116</v>
      </c>
      <c r="C5" s="15">
        <v>0.11550000000000001</v>
      </c>
      <c r="D5" t="s">
        <v>136</v>
      </c>
    </row>
    <row r="6" spans="1:28" x14ac:dyDescent="0.3">
      <c r="C6" s="71"/>
    </row>
    <row r="8" spans="1:28" x14ac:dyDescent="0.3">
      <c r="B8" s="1"/>
      <c r="C8" s="89">
        <v>2017</v>
      </c>
      <c r="D8" s="89">
        <v>2018</v>
      </c>
      <c r="E8" s="89">
        <v>2019</v>
      </c>
      <c r="F8" s="89">
        <v>2020</v>
      </c>
      <c r="G8" s="89">
        <v>2021</v>
      </c>
      <c r="H8" s="89">
        <v>2022</v>
      </c>
      <c r="I8" s="89">
        <v>2023</v>
      </c>
      <c r="J8" s="89">
        <v>2024</v>
      </c>
      <c r="K8" s="89">
        <v>2025</v>
      </c>
      <c r="L8" s="89">
        <v>2026</v>
      </c>
      <c r="M8" s="89">
        <v>2027</v>
      </c>
      <c r="N8" s="89">
        <v>2028</v>
      </c>
      <c r="O8" s="89">
        <v>2029</v>
      </c>
      <c r="P8" s="89">
        <v>2030</v>
      </c>
      <c r="Q8" s="89">
        <v>2031</v>
      </c>
      <c r="R8" s="89">
        <v>2032</v>
      </c>
      <c r="S8" s="89">
        <v>2033</v>
      </c>
      <c r="AB8" s="1"/>
    </row>
    <row r="9" spans="1:28" x14ac:dyDescent="0.3">
      <c r="A9" s="110" t="s">
        <v>14</v>
      </c>
      <c r="B9" s="74" t="s">
        <v>117</v>
      </c>
      <c r="C9" s="1"/>
      <c r="D9" s="1">
        <v>20</v>
      </c>
      <c r="E9" s="1">
        <v>20</v>
      </c>
      <c r="F9" s="1">
        <v>20</v>
      </c>
      <c r="G9" s="1">
        <v>20</v>
      </c>
      <c r="H9" s="1">
        <v>20</v>
      </c>
      <c r="I9" s="1">
        <v>20</v>
      </c>
      <c r="J9" s="1">
        <v>20</v>
      </c>
      <c r="K9" s="1">
        <v>20</v>
      </c>
      <c r="L9" s="1">
        <v>20</v>
      </c>
      <c r="M9" s="1">
        <v>20</v>
      </c>
      <c r="N9" s="1">
        <v>20</v>
      </c>
      <c r="O9" s="1">
        <v>20</v>
      </c>
      <c r="P9" s="1">
        <v>20</v>
      </c>
      <c r="Q9" s="1">
        <v>20</v>
      </c>
      <c r="R9" s="1">
        <v>20</v>
      </c>
      <c r="S9" s="1">
        <v>20</v>
      </c>
    </row>
    <row r="10" spans="1:28" x14ac:dyDescent="0.3">
      <c r="A10" s="111"/>
      <c r="B10" s="74" t="s">
        <v>118</v>
      </c>
      <c r="C10" s="1">
        <v>650</v>
      </c>
      <c r="D10" s="1">
        <f>C10+D9</f>
        <v>670</v>
      </c>
      <c r="E10" s="1">
        <f t="shared" ref="E10:S10" si="0">D10+E9</f>
        <v>690</v>
      </c>
      <c r="F10" s="1">
        <f t="shared" si="0"/>
        <v>710</v>
      </c>
      <c r="G10" s="1">
        <f t="shared" si="0"/>
        <v>730</v>
      </c>
      <c r="H10" s="1">
        <f t="shared" si="0"/>
        <v>750</v>
      </c>
      <c r="I10" s="1">
        <f t="shared" si="0"/>
        <v>770</v>
      </c>
      <c r="J10" s="1">
        <f t="shared" si="0"/>
        <v>790</v>
      </c>
      <c r="K10" s="1">
        <f t="shared" si="0"/>
        <v>810</v>
      </c>
      <c r="L10" s="1">
        <f t="shared" si="0"/>
        <v>830</v>
      </c>
      <c r="M10" s="1">
        <f t="shared" si="0"/>
        <v>850</v>
      </c>
      <c r="N10" s="1">
        <f t="shared" si="0"/>
        <v>870</v>
      </c>
      <c r="O10" s="1">
        <f t="shared" si="0"/>
        <v>890</v>
      </c>
      <c r="P10" s="1">
        <f t="shared" si="0"/>
        <v>910</v>
      </c>
      <c r="Q10" s="1">
        <f t="shared" si="0"/>
        <v>930</v>
      </c>
      <c r="R10" s="1">
        <f t="shared" si="0"/>
        <v>950</v>
      </c>
      <c r="S10" s="1">
        <f t="shared" si="0"/>
        <v>970</v>
      </c>
    </row>
    <row r="11" spans="1:28" x14ac:dyDescent="0.3">
      <c r="A11" s="111"/>
      <c r="B11" s="74" t="s">
        <v>127</v>
      </c>
      <c r="C11" s="40">
        <f t="shared" ref="C11:S11" si="1">C10*$C$3*$C$4</f>
        <v>7800000</v>
      </c>
      <c r="D11" s="40">
        <f t="shared" si="1"/>
        <v>8040000</v>
      </c>
      <c r="E11" s="40">
        <f t="shared" si="1"/>
        <v>8280000</v>
      </c>
      <c r="F11" s="40">
        <f t="shared" si="1"/>
        <v>8520000</v>
      </c>
      <c r="G11" s="40">
        <f t="shared" si="1"/>
        <v>8760000</v>
      </c>
      <c r="H11" s="40">
        <f t="shared" si="1"/>
        <v>9000000</v>
      </c>
      <c r="I11" s="40">
        <f t="shared" si="1"/>
        <v>9240000</v>
      </c>
      <c r="J11" s="40">
        <f t="shared" si="1"/>
        <v>9480000</v>
      </c>
      <c r="K11" s="40">
        <f t="shared" si="1"/>
        <v>9720000</v>
      </c>
      <c r="L11" s="40">
        <f t="shared" si="1"/>
        <v>9960000</v>
      </c>
      <c r="M11" s="40">
        <f t="shared" si="1"/>
        <v>10200000</v>
      </c>
      <c r="N11" s="40">
        <f t="shared" si="1"/>
        <v>10440000</v>
      </c>
      <c r="O11" s="40">
        <f t="shared" si="1"/>
        <v>10680000</v>
      </c>
      <c r="P11" s="40">
        <f t="shared" si="1"/>
        <v>10920000</v>
      </c>
      <c r="Q11" s="40">
        <f t="shared" si="1"/>
        <v>11160000</v>
      </c>
      <c r="R11" s="40">
        <f t="shared" si="1"/>
        <v>11400000</v>
      </c>
      <c r="S11" s="40">
        <f t="shared" si="1"/>
        <v>11640000</v>
      </c>
    </row>
    <row r="12" spans="1:28" x14ac:dyDescent="0.3">
      <c r="A12" s="112" t="s">
        <v>129</v>
      </c>
      <c r="B12" s="75" t="s">
        <v>117</v>
      </c>
      <c r="C12" s="1"/>
      <c r="D12" s="1">
        <v>20</v>
      </c>
      <c r="E12" s="1">
        <v>20</v>
      </c>
      <c r="F12" s="1">
        <v>20</v>
      </c>
      <c r="G12" s="1">
        <v>20</v>
      </c>
      <c r="H12" s="1">
        <v>70</v>
      </c>
      <c r="I12" s="1">
        <v>100</v>
      </c>
      <c r="J12" s="1">
        <v>100</v>
      </c>
      <c r="K12" s="1">
        <v>100</v>
      </c>
      <c r="L12" s="1">
        <v>100</v>
      </c>
      <c r="M12" s="1">
        <v>100</v>
      </c>
      <c r="N12" s="1">
        <v>100</v>
      </c>
      <c r="O12" s="1">
        <v>100</v>
      </c>
      <c r="P12" s="1">
        <v>100</v>
      </c>
      <c r="Q12" s="1">
        <v>100</v>
      </c>
      <c r="R12" s="1">
        <v>100</v>
      </c>
      <c r="S12" s="1">
        <v>100</v>
      </c>
    </row>
    <row r="13" spans="1:28" x14ac:dyDescent="0.3">
      <c r="A13" s="113"/>
      <c r="B13" s="75" t="s">
        <v>138</v>
      </c>
      <c r="C13" s="1">
        <v>650</v>
      </c>
      <c r="D13" s="1">
        <f>C13+D12</f>
        <v>670</v>
      </c>
      <c r="E13" s="1">
        <f t="shared" ref="E13:S13" si="2">D13+E12</f>
        <v>690</v>
      </c>
      <c r="F13" s="1">
        <f t="shared" si="2"/>
        <v>710</v>
      </c>
      <c r="G13" s="1">
        <f t="shared" si="2"/>
        <v>730</v>
      </c>
      <c r="H13" s="1">
        <f t="shared" si="2"/>
        <v>800</v>
      </c>
      <c r="I13" s="1">
        <f t="shared" si="2"/>
        <v>900</v>
      </c>
      <c r="J13" s="1">
        <f t="shared" si="2"/>
        <v>1000</v>
      </c>
      <c r="K13" s="1">
        <f t="shared" si="2"/>
        <v>1100</v>
      </c>
      <c r="L13" s="1">
        <f t="shared" si="2"/>
        <v>1200</v>
      </c>
      <c r="M13" s="1">
        <f t="shared" si="2"/>
        <v>1300</v>
      </c>
      <c r="N13" s="1">
        <f t="shared" si="2"/>
        <v>1400</v>
      </c>
      <c r="O13" s="1">
        <f t="shared" si="2"/>
        <v>1500</v>
      </c>
      <c r="P13" s="1">
        <f t="shared" si="2"/>
        <v>1600</v>
      </c>
      <c r="Q13" s="1">
        <f t="shared" si="2"/>
        <v>1700</v>
      </c>
      <c r="R13" s="1">
        <f t="shared" si="2"/>
        <v>1800</v>
      </c>
      <c r="S13" s="1">
        <f t="shared" si="2"/>
        <v>1900</v>
      </c>
    </row>
    <row r="14" spans="1:28" x14ac:dyDescent="0.3">
      <c r="A14" s="113"/>
      <c r="B14" s="75" t="s">
        <v>127</v>
      </c>
      <c r="C14" s="40">
        <f>C13*$C$3*$C$4</f>
        <v>7800000</v>
      </c>
      <c r="D14" s="40">
        <f t="shared" ref="D14:S14" si="3">D13*$C$3*$C$4</f>
        <v>8040000</v>
      </c>
      <c r="E14" s="40">
        <f t="shared" si="3"/>
        <v>8280000</v>
      </c>
      <c r="F14" s="40">
        <f t="shared" si="3"/>
        <v>8520000</v>
      </c>
      <c r="G14" s="40">
        <f t="shared" si="3"/>
        <v>8760000</v>
      </c>
      <c r="H14" s="40">
        <f t="shared" si="3"/>
        <v>9600000</v>
      </c>
      <c r="I14" s="40">
        <f t="shared" si="3"/>
        <v>10800000</v>
      </c>
      <c r="J14" s="40">
        <f t="shared" si="3"/>
        <v>12000000</v>
      </c>
      <c r="K14" s="40">
        <f t="shared" si="3"/>
        <v>13200000</v>
      </c>
      <c r="L14" s="40">
        <f t="shared" si="3"/>
        <v>14400000</v>
      </c>
      <c r="M14" s="40">
        <f t="shared" si="3"/>
        <v>15600000</v>
      </c>
      <c r="N14" s="40">
        <f t="shared" si="3"/>
        <v>16800000</v>
      </c>
      <c r="O14" s="40">
        <f t="shared" si="3"/>
        <v>18000000</v>
      </c>
      <c r="P14" s="40">
        <f t="shared" si="3"/>
        <v>19200000</v>
      </c>
      <c r="Q14" s="40">
        <f t="shared" si="3"/>
        <v>20400000</v>
      </c>
      <c r="R14" s="40">
        <f t="shared" si="3"/>
        <v>21600000</v>
      </c>
      <c r="S14" s="40">
        <f t="shared" si="3"/>
        <v>22800000</v>
      </c>
    </row>
    <row r="15" spans="1:28" x14ac:dyDescent="0.3">
      <c r="A15" s="113"/>
      <c r="B15" s="75" t="s">
        <v>141</v>
      </c>
      <c r="C15" s="40"/>
      <c r="D15" s="40"/>
      <c r="E15" s="40"/>
      <c r="F15" s="40"/>
      <c r="G15" s="40">
        <f>B36</f>
        <v>112800</v>
      </c>
      <c r="H15" s="40">
        <f t="shared" ref="H15:S15" si="4">(((H12-$G$12)/$B$38)*$B$39)+(((H12-$G$12)/$B$38)*$B$40)</f>
        <v>1500</v>
      </c>
      <c r="I15" s="40">
        <f t="shared" si="4"/>
        <v>2400</v>
      </c>
      <c r="J15" s="40">
        <f t="shared" si="4"/>
        <v>2400</v>
      </c>
      <c r="K15" s="40">
        <f t="shared" si="4"/>
        <v>2400</v>
      </c>
      <c r="L15" s="40">
        <f t="shared" si="4"/>
        <v>2400</v>
      </c>
      <c r="M15" s="40">
        <f t="shared" si="4"/>
        <v>2400</v>
      </c>
      <c r="N15" s="40">
        <f t="shared" si="4"/>
        <v>2400</v>
      </c>
      <c r="O15" s="40">
        <f t="shared" si="4"/>
        <v>2400</v>
      </c>
      <c r="P15" s="40">
        <f t="shared" si="4"/>
        <v>2400</v>
      </c>
      <c r="Q15" s="40">
        <f t="shared" si="4"/>
        <v>2400</v>
      </c>
      <c r="R15" s="40">
        <f t="shared" si="4"/>
        <v>2400</v>
      </c>
      <c r="S15" s="40">
        <f t="shared" si="4"/>
        <v>2400</v>
      </c>
    </row>
    <row r="16" spans="1:28" ht="43.2" x14ac:dyDescent="0.3">
      <c r="A16" s="114"/>
      <c r="B16" s="76" t="s">
        <v>128</v>
      </c>
      <c r="C16" s="72">
        <f>C14-C11-C15</f>
        <v>0</v>
      </c>
      <c r="D16" s="72">
        <f t="shared" ref="D16:S16" si="5">D14-D11-D15</f>
        <v>0</v>
      </c>
      <c r="E16" s="72">
        <f t="shared" si="5"/>
        <v>0</v>
      </c>
      <c r="F16" s="72">
        <f t="shared" si="5"/>
        <v>0</v>
      </c>
      <c r="G16" s="72">
        <f t="shared" si="5"/>
        <v>-112800</v>
      </c>
      <c r="H16" s="72">
        <f t="shared" si="5"/>
        <v>598500</v>
      </c>
      <c r="I16" s="72">
        <f t="shared" si="5"/>
        <v>1557600</v>
      </c>
      <c r="J16" s="72">
        <f t="shared" si="5"/>
        <v>2517600</v>
      </c>
      <c r="K16" s="72">
        <f t="shared" si="5"/>
        <v>3477600</v>
      </c>
      <c r="L16" s="72">
        <f t="shared" si="5"/>
        <v>4437600</v>
      </c>
      <c r="M16" s="72">
        <f t="shared" si="5"/>
        <v>5397600</v>
      </c>
      <c r="N16" s="72">
        <f t="shared" si="5"/>
        <v>6357600</v>
      </c>
      <c r="O16" s="72">
        <f t="shared" si="5"/>
        <v>7317600</v>
      </c>
      <c r="P16" s="72">
        <f t="shared" si="5"/>
        <v>8277600</v>
      </c>
      <c r="Q16" s="72">
        <f t="shared" si="5"/>
        <v>9237600</v>
      </c>
      <c r="R16" s="72">
        <f t="shared" si="5"/>
        <v>10197600</v>
      </c>
      <c r="S16" s="72">
        <f t="shared" si="5"/>
        <v>11157600</v>
      </c>
    </row>
    <row r="17" spans="1:19" x14ac:dyDescent="0.3">
      <c r="A17" s="115" t="s">
        <v>130</v>
      </c>
      <c r="B17" s="77" t="s">
        <v>117</v>
      </c>
      <c r="C17" s="79">
        <f>C9</f>
        <v>0</v>
      </c>
      <c r="D17" s="80">
        <v>20</v>
      </c>
      <c r="E17" s="80">
        <v>20</v>
      </c>
      <c r="F17" s="80">
        <v>20</v>
      </c>
      <c r="G17" s="80">
        <v>20</v>
      </c>
      <c r="H17" s="80">
        <f>G17+20</f>
        <v>40</v>
      </c>
      <c r="I17" s="80">
        <f>H17+20</f>
        <v>60</v>
      </c>
      <c r="J17" s="80">
        <f t="shared" ref="J17:S17" si="6">I17+20</f>
        <v>80</v>
      </c>
      <c r="K17" s="80">
        <f>J17</f>
        <v>80</v>
      </c>
      <c r="L17" s="80">
        <f t="shared" ref="L17:S17" si="7">K17</f>
        <v>80</v>
      </c>
      <c r="M17" s="80">
        <f t="shared" si="7"/>
        <v>80</v>
      </c>
      <c r="N17" s="80">
        <f t="shared" si="7"/>
        <v>80</v>
      </c>
      <c r="O17" s="80">
        <f t="shared" si="7"/>
        <v>80</v>
      </c>
      <c r="P17" s="80">
        <f t="shared" si="7"/>
        <v>80</v>
      </c>
      <c r="Q17" s="80">
        <f t="shared" si="7"/>
        <v>80</v>
      </c>
      <c r="R17" s="80">
        <f t="shared" si="7"/>
        <v>80</v>
      </c>
      <c r="S17" s="80">
        <f t="shared" si="7"/>
        <v>80</v>
      </c>
    </row>
    <row r="18" spans="1:19" x14ac:dyDescent="0.3">
      <c r="A18" s="116"/>
      <c r="B18" s="77" t="s">
        <v>138</v>
      </c>
      <c r="C18" s="80">
        <f>C10</f>
        <v>650</v>
      </c>
      <c r="D18" s="80">
        <f>C18+D17</f>
        <v>670</v>
      </c>
      <c r="E18" s="80">
        <f t="shared" ref="E18:S18" si="8">D18+E17</f>
        <v>690</v>
      </c>
      <c r="F18" s="80">
        <f t="shared" si="8"/>
        <v>710</v>
      </c>
      <c r="G18" s="80">
        <f t="shared" si="8"/>
        <v>730</v>
      </c>
      <c r="H18" s="80">
        <f t="shared" si="8"/>
        <v>770</v>
      </c>
      <c r="I18" s="80">
        <f t="shared" si="8"/>
        <v>830</v>
      </c>
      <c r="J18" s="80">
        <f t="shared" si="8"/>
        <v>910</v>
      </c>
      <c r="K18" s="80">
        <f t="shared" si="8"/>
        <v>990</v>
      </c>
      <c r="L18" s="80">
        <f t="shared" si="8"/>
        <v>1070</v>
      </c>
      <c r="M18" s="80">
        <f t="shared" si="8"/>
        <v>1150</v>
      </c>
      <c r="N18" s="80">
        <f t="shared" si="8"/>
        <v>1230</v>
      </c>
      <c r="O18" s="80">
        <f t="shared" si="8"/>
        <v>1310</v>
      </c>
      <c r="P18" s="80">
        <f t="shared" si="8"/>
        <v>1390</v>
      </c>
      <c r="Q18" s="80">
        <f t="shared" si="8"/>
        <v>1470</v>
      </c>
      <c r="R18" s="80">
        <f t="shared" si="8"/>
        <v>1550</v>
      </c>
      <c r="S18" s="80">
        <f t="shared" si="8"/>
        <v>1630</v>
      </c>
    </row>
    <row r="19" spans="1:19" x14ac:dyDescent="0.3">
      <c r="A19" s="116"/>
      <c r="B19" s="77" t="s">
        <v>127</v>
      </c>
      <c r="C19" s="72">
        <f>C18*$C$3*$C$4</f>
        <v>7800000</v>
      </c>
      <c r="D19" s="72">
        <f t="shared" ref="D19:S19" si="9">D18*$C$3*$C$4</f>
        <v>8040000</v>
      </c>
      <c r="E19" s="72">
        <f t="shared" si="9"/>
        <v>8280000</v>
      </c>
      <c r="F19" s="72">
        <f t="shared" si="9"/>
        <v>8520000</v>
      </c>
      <c r="G19" s="72">
        <f t="shared" si="9"/>
        <v>8760000</v>
      </c>
      <c r="H19" s="72">
        <f t="shared" si="9"/>
        <v>9240000</v>
      </c>
      <c r="I19" s="72">
        <f t="shared" si="9"/>
        <v>9960000</v>
      </c>
      <c r="J19" s="72">
        <f t="shared" si="9"/>
        <v>10920000</v>
      </c>
      <c r="K19" s="72">
        <f t="shared" si="9"/>
        <v>11880000</v>
      </c>
      <c r="L19" s="72">
        <f t="shared" si="9"/>
        <v>12840000</v>
      </c>
      <c r="M19" s="72">
        <f t="shared" si="9"/>
        <v>13800000</v>
      </c>
      <c r="N19" s="72">
        <f t="shared" si="9"/>
        <v>14760000</v>
      </c>
      <c r="O19" s="72">
        <f t="shared" si="9"/>
        <v>15720000</v>
      </c>
      <c r="P19" s="72">
        <f t="shared" si="9"/>
        <v>16680000</v>
      </c>
      <c r="Q19" s="72">
        <f t="shared" si="9"/>
        <v>17640000</v>
      </c>
      <c r="R19" s="72">
        <f t="shared" si="9"/>
        <v>18600000</v>
      </c>
      <c r="S19" s="72">
        <f t="shared" si="9"/>
        <v>19560000</v>
      </c>
    </row>
    <row r="20" spans="1:19" x14ac:dyDescent="0.3">
      <c r="A20" s="116"/>
      <c r="B20" s="78" t="s">
        <v>141</v>
      </c>
      <c r="C20" s="72"/>
      <c r="D20" s="72"/>
      <c r="E20" s="72"/>
      <c r="F20" s="72"/>
      <c r="G20" s="72">
        <f>G15</f>
        <v>112800</v>
      </c>
      <c r="H20" s="72">
        <f t="shared" ref="H20:S20" si="10">H15</f>
        <v>1500</v>
      </c>
      <c r="I20" s="72">
        <f t="shared" si="10"/>
        <v>2400</v>
      </c>
      <c r="J20" s="72">
        <f t="shared" si="10"/>
        <v>2400</v>
      </c>
      <c r="K20" s="72">
        <f t="shared" si="10"/>
        <v>2400</v>
      </c>
      <c r="L20" s="72">
        <f t="shared" si="10"/>
        <v>2400</v>
      </c>
      <c r="M20" s="72">
        <f t="shared" si="10"/>
        <v>2400</v>
      </c>
      <c r="N20" s="72">
        <f t="shared" si="10"/>
        <v>2400</v>
      </c>
      <c r="O20" s="72">
        <f t="shared" si="10"/>
        <v>2400</v>
      </c>
      <c r="P20" s="72">
        <f t="shared" si="10"/>
        <v>2400</v>
      </c>
      <c r="Q20" s="72">
        <f t="shared" si="10"/>
        <v>2400</v>
      </c>
      <c r="R20" s="72">
        <f t="shared" si="10"/>
        <v>2400</v>
      </c>
      <c r="S20" s="72">
        <f t="shared" si="10"/>
        <v>2400</v>
      </c>
    </row>
    <row r="21" spans="1:19" ht="43.2" x14ac:dyDescent="0.3">
      <c r="A21" s="117"/>
      <c r="B21" s="78" t="s">
        <v>128</v>
      </c>
      <c r="C21" s="72">
        <f>C19-C11-C20</f>
        <v>0</v>
      </c>
      <c r="D21" s="72">
        <f t="shared" ref="D21:S21" si="11">D19-D11-D20</f>
        <v>0</v>
      </c>
      <c r="E21" s="72">
        <f t="shared" si="11"/>
        <v>0</v>
      </c>
      <c r="F21" s="72">
        <f t="shared" si="11"/>
        <v>0</v>
      </c>
      <c r="G21" s="72">
        <f t="shared" si="11"/>
        <v>-112800</v>
      </c>
      <c r="H21" s="72">
        <f t="shared" si="11"/>
        <v>238500</v>
      </c>
      <c r="I21" s="72">
        <f t="shared" si="11"/>
        <v>717600</v>
      </c>
      <c r="J21" s="72">
        <f t="shared" si="11"/>
        <v>1437600</v>
      </c>
      <c r="K21" s="72">
        <f t="shared" si="11"/>
        <v>2157600</v>
      </c>
      <c r="L21" s="72">
        <f t="shared" si="11"/>
        <v>2877600</v>
      </c>
      <c r="M21" s="72">
        <f t="shared" si="11"/>
        <v>3597600</v>
      </c>
      <c r="N21" s="72">
        <f t="shared" si="11"/>
        <v>4317600</v>
      </c>
      <c r="O21" s="72">
        <f t="shared" si="11"/>
        <v>5037600</v>
      </c>
      <c r="P21" s="72">
        <f t="shared" si="11"/>
        <v>5757600</v>
      </c>
      <c r="Q21" s="72">
        <f t="shared" si="11"/>
        <v>6477600</v>
      </c>
      <c r="R21" s="72">
        <f t="shared" si="11"/>
        <v>7197600</v>
      </c>
      <c r="S21" s="72">
        <f t="shared" si="11"/>
        <v>7917600</v>
      </c>
    </row>
    <row r="22" spans="1:19" ht="28.8" customHeight="1" x14ac:dyDescent="0.3">
      <c r="A22" s="118" t="s">
        <v>131</v>
      </c>
      <c r="B22" s="81" t="s">
        <v>117</v>
      </c>
      <c r="C22" s="80">
        <f>C9</f>
        <v>0</v>
      </c>
      <c r="D22" s="80">
        <f>D9</f>
        <v>20</v>
      </c>
      <c r="E22" s="80">
        <f>E9</f>
        <v>20</v>
      </c>
      <c r="F22" s="80">
        <f>F9</f>
        <v>20</v>
      </c>
      <c r="G22" s="80">
        <v>100</v>
      </c>
      <c r="H22" s="80">
        <v>80</v>
      </c>
      <c r="I22" s="80">
        <v>150</v>
      </c>
      <c r="J22" s="80">
        <f>I22</f>
        <v>150</v>
      </c>
      <c r="K22" s="80">
        <f t="shared" ref="K22:S22" si="12">J22</f>
        <v>150</v>
      </c>
      <c r="L22" s="80">
        <f t="shared" si="12"/>
        <v>150</v>
      </c>
      <c r="M22" s="80">
        <f t="shared" si="12"/>
        <v>150</v>
      </c>
      <c r="N22" s="80">
        <f t="shared" si="12"/>
        <v>150</v>
      </c>
      <c r="O22" s="80">
        <f t="shared" si="12"/>
        <v>150</v>
      </c>
      <c r="P22" s="80">
        <f t="shared" si="12"/>
        <v>150</v>
      </c>
      <c r="Q22" s="80">
        <f t="shared" si="12"/>
        <v>150</v>
      </c>
      <c r="R22" s="80">
        <f t="shared" si="12"/>
        <v>150</v>
      </c>
      <c r="S22" s="80">
        <f t="shared" si="12"/>
        <v>150</v>
      </c>
    </row>
    <row r="23" spans="1:19" x14ac:dyDescent="0.3">
      <c r="A23" s="119"/>
      <c r="B23" s="81" t="s">
        <v>138</v>
      </c>
      <c r="C23" s="80">
        <f>C10</f>
        <v>650</v>
      </c>
      <c r="D23" s="80">
        <f>D22+C23</f>
        <v>670</v>
      </c>
      <c r="E23" s="80">
        <f t="shared" ref="E23:S23" si="13">E22+D23</f>
        <v>690</v>
      </c>
      <c r="F23" s="80">
        <f t="shared" si="13"/>
        <v>710</v>
      </c>
      <c r="G23" s="80">
        <f t="shared" si="13"/>
        <v>810</v>
      </c>
      <c r="H23" s="80">
        <f t="shared" si="13"/>
        <v>890</v>
      </c>
      <c r="I23" s="80">
        <f t="shared" si="13"/>
        <v>1040</v>
      </c>
      <c r="J23" s="80">
        <f t="shared" si="13"/>
        <v>1190</v>
      </c>
      <c r="K23" s="80">
        <f t="shared" si="13"/>
        <v>1340</v>
      </c>
      <c r="L23" s="80">
        <f t="shared" si="13"/>
        <v>1490</v>
      </c>
      <c r="M23" s="80">
        <f t="shared" si="13"/>
        <v>1640</v>
      </c>
      <c r="N23" s="80">
        <f t="shared" si="13"/>
        <v>1790</v>
      </c>
      <c r="O23" s="80">
        <f t="shared" si="13"/>
        <v>1940</v>
      </c>
      <c r="P23" s="80">
        <f t="shared" si="13"/>
        <v>2090</v>
      </c>
      <c r="Q23" s="80">
        <f t="shared" si="13"/>
        <v>2240</v>
      </c>
      <c r="R23" s="80">
        <f t="shared" si="13"/>
        <v>2390</v>
      </c>
      <c r="S23" s="80">
        <f t="shared" si="13"/>
        <v>2540</v>
      </c>
    </row>
    <row r="24" spans="1:19" x14ac:dyDescent="0.3">
      <c r="A24" s="119"/>
      <c r="B24" s="81" t="s">
        <v>127</v>
      </c>
      <c r="C24" s="72">
        <f>C23*$C$3*$C$4</f>
        <v>7800000</v>
      </c>
      <c r="D24" s="72">
        <f t="shared" ref="D24:S24" si="14">D23*$C$3*$C$4</f>
        <v>8040000</v>
      </c>
      <c r="E24" s="72">
        <f t="shared" si="14"/>
        <v>8280000</v>
      </c>
      <c r="F24" s="72">
        <f t="shared" si="14"/>
        <v>8520000</v>
      </c>
      <c r="G24" s="72">
        <f t="shared" si="14"/>
        <v>9720000</v>
      </c>
      <c r="H24" s="72">
        <f t="shared" si="14"/>
        <v>10680000</v>
      </c>
      <c r="I24" s="72">
        <f t="shared" si="14"/>
        <v>12480000</v>
      </c>
      <c r="J24" s="72">
        <f t="shared" si="14"/>
        <v>14280000</v>
      </c>
      <c r="K24" s="72">
        <f t="shared" si="14"/>
        <v>16080000</v>
      </c>
      <c r="L24" s="72">
        <f t="shared" si="14"/>
        <v>17880000</v>
      </c>
      <c r="M24" s="72">
        <f t="shared" si="14"/>
        <v>19680000</v>
      </c>
      <c r="N24" s="72">
        <f t="shared" si="14"/>
        <v>21480000</v>
      </c>
      <c r="O24" s="72">
        <f t="shared" si="14"/>
        <v>23280000</v>
      </c>
      <c r="P24" s="72">
        <f t="shared" si="14"/>
        <v>25080000</v>
      </c>
      <c r="Q24" s="72">
        <f t="shared" si="14"/>
        <v>26880000</v>
      </c>
      <c r="R24" s="72">
        <f t="shared" si="14"/>
        <v>28680000</v>
      </c>
      <c r="S24" s="72">
        <f t="shared" si="14"/>
        <v>30480000</v>
      </c>
    </row>
    <row r="25" spans="1:19" x14ac:dyDescent="0.3">
      <c r="A25" s="119"/>
      <c r="B25" s="81" t="s">
        <v>141</v>
      </c>
      <c r="C25" s="72"/>
      <c r="D25" s="72"/>
      <c r="E25" s="72"/>
      <c r="F25" s="72"/>
      <c r="G25" s="72">
        <f>G15</f>
        <v>112800</v>
      </c>
      <c r="H25" s="72">
        <f t="shared" ref="H25:S25" si="15">H15</f>
        <v>1500</v>
      </c>
      <c r="I25" s="72">
        <f t="shared" si="15"/>
        <v>2400</v>
      </c>
      <c r="J25" s="72">
        <f t="shared" si="15"/>
        <v>2400</v>
      </c>
      <c r="K25" s="72">
        <f t="shared" si="15"/>
        <v>2400</v>
      </c>
      <c r="L25" s="72">
        <f t="shared" si="15"/>
        <v>2400</v>
      </c>
      <c r="M25" s="72">
        <f t="shared" si="15"/>
        <v>2400</v>
      </c>
      <c r="N25" s="72">
        <f t="shared" si="15"/>
        <v>2400</v>
      </c>
      <c r="O25" s="72">
        <f t="shared" si="15"/>
        <v>2400</v>
      </c>
      <c r="P25" s="72">
        <f t="shared" si="15"/>
        <v>2400</v>
      </c>
      <c r="Q25" s="72">
        <f t="shared" si="15"/>
        <v>2400</v>
      </c>
      <c r="R25" s="72">
        <f t="shared" si="15"/>
        <v>2400</v>
      </c>
      <c r="S25" s="72">
        <f t="shared" si="15"/>
        <v>2400</v>
      </c>
    </row>
    <row r="26" spans="1:19" ht="43.2" x14ac:dyDescent="0.3">
      <c r="A26" s="120"/>
      <c r="B26" s="82" t="s">
        <v>128</v>
      </c>
      <c r="C26" s="72">
        <f>C24-C11-C25</f>
        <v>0</v>
      </c>
      <c r="D26" s="72">
        <f t="shared" ref="D26:S26" si="16">D24-D11-D25</f>
        <v>0</v>
      </c>
      <c r="E26" s="72">
        <f t="shared" si="16"/>
        <v>0</v>
      </c>
      <c r="F26" s="72">
        <f t="shared" si="16"/>
        <v>0</v>
      </c>
      <c r="G26" s="72">
        <f t="shared" si="16"/>
        <v>847200</v>
      </c>
      <c r="H26" s="72">
        <f t="shared" si="16"/>
        <v>1678500</v>
      </c>
      <c r="I26" s="72">
        <f t="shared" si="16"/>
        <v>3237600</v>
      </c>
      <c r="J26" s="72">
        <f t="shared" si="16"/>
        <v>4797600</v>
      </c>
      <c r="K26" s="72">
        <f t="shared" si="16"/>
        <v>6357600</v>
      </c>
      <c r="L26" s="72">
        <f t="shared" si="16"/>
        <v>7917600</v>
      </c>
      <c r="M26" s="72">
        <f t="shared" si="16"/>
        <v>9477600</v>
      </c>
      <c r="N26" s="72">
        <f t="shared" si="16"/>
        <v>11037600</v>
      </c>
      <c r="O26" s="72">
        <f t="shared" si="16"/>
        <v>12597600</v>
      </c>
      <c r="P26" s="72">
        <f t="shared" si="16"/>
        <v>14157600</v>
      </c>
      <c r="Q26" s="72">
        <f t="shared" si="16"/>
        <v>15717600</v>
      </c>
      <c r="R26" s="72">
        <f t="shared" si="16"/>
        <v>17277600</v>
      </c>
      <c r="S26" s="72">
        <f t="shared" si="16"/>
        <v>18837600</v>
      </c>
    </row>
    <row r="32" spans="1:19" hidden="1" x14ac:dyDescent="0.3"/>
    <row r="33" spans="1:19" x14ac:dyDescent="0.3">
      <c r="A33" s="90" t="s">
        <v>142</v>
      </c>
    </row>
    <row r="35" spans="1:19" x14ac:dyDescent="0.3">
      <c r="A35" s="90" t="s">
        <v>143</v>
      </c>
      <c r="B35" s="90" t="s">
        <v>145</v>
      </c>
    </row>
    <row r="36" spans="1:19" x14ac:dyDescent="0.3">
      <c r="A36" t="s">
        <v>144</v>
      </c>
      <c r="B36">
        <v>112800</v>
      </c>
      <c r="C36" t="s">
        <v>153</v>
      </c>
    </row>
    <row r="37" spans="1:19" ht="28.8" x14ac:dyDescent="0.3">
      <c r="A37" s="91" t="s">
        <v>152</v>
      </c>
      <c r="B37">
        <v>80</v>
      </c>
      <c r="S37" t="s">
        <v>119</v>
      </c>
    </row>
    <row r="38" spans="1:19" x14ac:dyDescent="0.3">
      <c r="A38" t="s">
        <v>146</v>
      </c>
      <c r="B38">
        <v>10</v>
      </c>
      <c r="S38" s="71" t="s">
        <v>120</v>
      </c>
    </row>
    <row r="39" spans="1:19" x14ac:dyDescent="0.3">
      <c r="A39" t="s">
        <v>154</v>
      </c>
      <c r="B39">
        <v>100</v>
      </c>
    </row>
    <row r="40" spans="1:19" x14ac:dyDescent="0.3">
      <c r="A40" t="s">
        <v>147</v>
      </c>
      <c r="B40">
        <v>200</v>
      </c>
    </row>
    <row r="42" spans="1:19" ht="31.8" customHeight="1" x14ac:dyDescent="0.3">
      <c r="A42" t="s">
        <v>148</v>
      </c>
      <c r="B42" t="s">
        <v>149</v>
      </c>
      <c r="Q42" s="73" t="s">
        <v>121</v>
      </c>
    </row>
    <row r="43" spans="1:19" ht="31.8" customHeight="1" x14ac:dyDescent="0.3">
      <c r="A43" t="s">
        <v>150</v>
      </c>
      <c r="B43" t="s">
        <v>151</v>
      </c>
      <c r="Q43" s="73" t="s">
        <v>122</v>
      </c>
    </row>
    <row r="44" spans="1:19" ht="105.6" x14ac:dyDescent="0.3">
      <c r="Q44" s="73" t="s">
        <v>123</v>
      </c>
    </row>
  </sheetData>
  <mergeCells count="4">
    <mergeCell ref="A9:A11"/>
    <mergeCell ref="A12:A16"/>
    <mergeCell ref="A17:A21"/>
    <mergeCell ref="A22:A2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J28"/>
  <sheetViews>
    <sheetView workbookViewId="0">
      <selection activeCell="E26" sqref="E26"/>
    </sheetView>
  </sheetViews>
  <sheetFormatPr defaultColWidth="11.44140625" defaultRowHeight="14.4" x14ac:dyDescent="0.3"/>
  <cols>
    <col min="1" max="1" width="46" bestFit="1" customWidth="1"/>
    <col min="4" max="4" width="15" customWidth="1"/>
    <col min="7" max="9" width="12.88671875" bestFit="1" customWidth="1"/>
    <col min="10" max="10" width="5.109375" bestFit="1" customWidth="1"/>
  </cols>
  <sheetData>
    <row r="4" spans="1:10" x14ac:dyDescent="0.3">
      <c r="B4" t="s">
        <v>14</v>
      </c>
      <c r="C4" t="s">
        <v>15</v>
      </c>
    </row>
    <row r="5" spans="1:10" x14ac:dyDescent="0.3">
      <c r="A5" t="s">
        <v>16</v>
      </c>
    </row>
    <row r="6" spans="1:10" x14ac:dyDescent="0.3">
      <c r="A6" t="s">
        <v>17</v>
      </c>
    </row>
    <row r="7" spans="1:10" x14ac:dyDescent="0.3">
      <c r="A7" t="s">
        <v>18</v>
      </c>
      <c r="C7" t="s">
        <v>20</v>
      </c>
    </row>
    <row r="8" spans="1:10" x14ac:dyDescent="0.3">
      <c r="A8" t="s">
        <v>19</v>
      </c>
      <c r="C8" t="s">
        <v>20</v>
      </c>
    </row>
    <row r="12" spans="1:10" ht="18.600000000000001" thickBot="1" x14ac:dyDescent="0.4">
      <c r="A12" s="126" t="s">
        <v>2</v>
      </c>
      <c r="B12" s="126"/>
      <c r="C12" s="126"/>
      <c r="D12" s="126"/>
      <c r="G12" s="123" t="s">
        <v>11</v>
      </c>
      <c r="H12" s="123"/>
      <c r="I12" s="123"/>
      <c r="J12" s="123"/>
    </row>
    <row r="13" spans="1:10" x14ac:dyDescent="0.3">
      <c r="A13" s="2" t="s">
        <v>3</v>
      </c>
      <c r="B13" s="3">
        <v>2016</v>
      </c>
      <c r="C13" s="3">
        <v>2017</v>
      </c>
      <c r="D13" s="4">
        <v>2018</v>
      </c>
      <c r="G13" s="1">
        <v>2016</v>
      </c>
      <c r="H13" s="1">
        <v>2017</v>
      </c>
      <c r="I13" s="1">
        <v>2018</v>
      </c>
      <c r="J13" s="1"/>
    </row>
    <row r="14" spans="1:10" x14ac:dyDescent="0.3">
      <c r="A14" s="5" t="s">
        <v>1</v>
      </c>
      <c r="B14" s="1">
        <v>314</v>
      </c>
      <c r="C14" s="1">
        <v>699</v>
      </c>
      <c r="D14" s="6">
        <v>505</v>
      </c>
      <c r="G14" s="12">
        <f>+(B14*B19+B14*B24+B15*B20+B15*B25)*B27</f>
        <v>1062720</v>
      </c>
      <c r="H14" s="12">
        <f>+(C14*B19+C14*B24+C15*B20+C15*B25)*B27</f>
        <v>1199520</v>
      </c>
      <c r="I14" s="12">
        <f>+(D14*B19+D14*B24+D15*B20+D15*B25)*B27</f>
        <v>2306400</v>
      </c>
      <c r="J14" s="1"/>
    </row>
    <row r="15" spans="1:10" ht="15" thickBot="1" x14ac:dyDescent="0.35">
      <c r="A15" s="7" t="s">
        <v>0</v>
      </c>
      <c r="B15" s="8">
        <v>19</v>
      </c>
      <c r="C15" s="8">
        <v>18</v>
      </c>
      <c r="D15" s="9">
        <v>43</v>
      </c>
    </row>
    <row r="17" spans="1:10" ht="15" thickBot="1" x14ac:dyDescent="0.35"/>
    <row r="18" spans="1:10" ht="18" x14ac:dyDescent="0.35">
      <c r="A18" s="127" t="s">
        <v>4</v>
      </c>
      <c r="B18" s="128"/>
      <c r="C18" s="128"/>
      <c r="D18" s="129"/>
    </row>
    <row r="19" spans="1:10" ht="45.75" customHeight="1" x14ac:dyDescent="0.35">
      <c r="A19" s="5" t="s">
        <v>1</v>
      </c>
      <c r="B19" s="1">
        <v>8</v>
      </c>
      <c r="C19" s="130" t="s">
        <v>6</v>
      </c>
      <c r="D19" s="131"/>
      <c r="G19" s="124" t="s">
        <v>13</v>
      </c>
      <c r="H19" s="124"/>
      <c r="I19" s="124"/>
      <c r="J19" s="124"/>
    </row>
    <row r="20" spans="1:10" ht="15" thickBot="1" x14ac:dyDescent="0.35">
      <c r="A20" s="7" t="s">
        <v>0</v>
      </c>
      <c r="B20" s="8">
        <v>160</v>
      </c>
      <c r="C20" s="132" t="s">
        <v>5</v>
      </c>
      <c r="D20" s="133"/>
      <c r="G20" s="1">
        <v>2016</v>
      </c>
      <c r="H20" s="1">
        <v>2017</v>
      </c>
      <c r="I20" s="1">
        <v>2018</v>
      </c>
      <c r="J20" s="1"/>
    </row>
    <row r="21" spans="1:10" x14ac:dyDescent="0.3">
      <c r="G21" s="12">
        <f>+(B14*B19+B14*B24+B15*B20+B15*B25/2)*B27</f>
        <v>697920</v>
      </c>
      <c r="H21" s="12">
        <f>+(C14*B19+C14*B24+C15*B20+C15*B25/2)*B27</f>
        <v>853920</v>
      </c>
      <c r="I21" s="12">
        <f>+(D14*B19+D14*B24+D15*B20+D15*B25/2)*B27</f>
        <v>1480800</v>
      </c>
      <c r="J21" s="1"/>
    </row>
    <row r="22" spans="1:10" ht="15" thickBot="1" x14ac:dyDescent="0.35"/>
    <row r="23" spans="1:10" ht="18" x14ac:dyDescent="0.35">
      <c r="A23" s="127" t="s">
        <v>7</v>
      </c>
      <c r="B23" s="128"/>
      <c r="C23" s="128"/>
      <c r="D23" s="129"/>
    </row>
    <row r="24" spans="1:10" x14ac:dyDescent="0.3">
      <c r="A24" s="5" t="s">
        <v>1</v>
      </c>
      <c r="B24" s="1">
        <v>0</v>
      </c>
      <c r="C24" s="130" t="s">
        <v>8</v>
      </c>
      <c r="D24" s="131"/>
    </row>
    <row r="25" spans="1:10" ht="45.75" customHeight="1" thickBot="1" x14ac:dyDescent="0.35">
      <c r="A25" s="7" t="s">
        <v>0</v>
      </c>
      <c r="B25" s="8">
        <v>640</v>
      </c>
      <c r="C25" s="121" t="s">
        <v>9</v>
      </c>
      <c r="D25" s="122"/>
    </row>
    <row r="26" spans="1:10" ht="18.600000000000001" thickBot="1" x14ac:dyDescent="0.4">
      <c r="G26" s="125" t="s">
        <v>12</v>
      </c>
      <c r="H26" s="125"/>
      <c r="I26" s="125"/>
      <c r="J26" s="125"/>
    </row>
    <row r="27" spans="1:10" ht="16.2" thickBot="1" x14ac:dyDescent="0.35">
      <c r="A27" s="10" t="s">
        <v>10</v>
      </c>
      <c r="B27" s="11">
        <v>60</v>
      </c>
      <c r="G27" s="1">
        <v>2016</v>
      </c>
      <c r="H27" s="1">
        <v>2017</v>
      </c>
      <c r="I27" s="1">
        <v>2018</v>
      </c>
      <c r="J27" s="1">
        <v>2019</v>
      </c>
    </row>
    <row r="28" spans="1:10" x14ac:dyDescent="0.3">
      <c r="G28" s="12">
        <f>+G14-G21</f>
        <v>364800</v>
      </c>
      <c r="H28" s="12">
        <f>+H14-H21</f>
        <v>345600</v>
      </c>
      <c r="I28" s="12">
        <f>+I14-I21</f>
        <v>825600</v>
      </c>
      <c r="J28" s="1"/>
    </row>
  </sheetData>
  <mergeCells count="10">
    <mergeCell ref="C25:D25"/>
    <mergeCell ref="G12:J12"/>
    <mergeCell ref="G19:J19"/>
    <mergeCell ref="G26:J26"/>
    <mergeCell ref="A12:D12"/>
    <mergeCell ref="A18:D18"/>
    <mergeCell ref="A23:D23"/>
    <mergeCell ref="C19:D19"/>
    <mergeCell ref="C20:D20"/>
    <mergeCell ref="C24:D24"/>
  </mergeCell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3C7B316F2B32646A00F9D625A2EA352" ma:contentTypeVersion="1500" ma:contentTypeDescription="A content type to manage public (operations) IDB documents" ma:contentTypeScope="" ma:versionID="69a6caeb83f17867cece3939debab6c5">
  <xsd:schema xmlns:xsd="http://www.w3.org/2001/XMLSchema" xmlns:xs="http://www.w3.org/2001/XMLSchema" xmlns:p="http://schemas.microsoft.com/office/2006/metadata/properties" xmlns:ns2="cdc7663a-08f0-4737-9e8c-148ce897a09c" targetNamespace="http://schemas.microsoft.com/office/2006/metadata/properties" ma:root="true" ma:fieldsID="af62c7b587cf328f49e8cb040bb76c2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UR-L115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Uruguay</TermName>
          <TermId xmlns="http://schemas.microsoft.com/office/infopath/2007/PartnerControls">5d9b6fdd-d595-4446-a0eb-c14b465f6d0e</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Hoffman, Nathalie Alexandra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E-GOVERNMENT</TermName>
          <TermId xmlns="http://schemas.microsoft.com/office/infopath/2007/PartnerControls">281505e9-fdf9-47b0-b36a-d5df63f0fdea</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41</Value>
      <Value>40</Value>
      <Value>32</Value>
      <Value>30</Value>
      <Value>1</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UR-L1152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R0002959500</Record_x0020_Number>
    <_dlc_DocId xmlns="cdc7663a-08f0-4737-9e8c-148ce897a09c">EZSHARE-716771216-29</_dlc_DocId>
    <_dlc_DocIdUrl xmlns="cdc7663a-08f0-4737-9e8c-148ce897a09c">
      <Url>https://idbg.sharepoint.com/teams/EZ-UR-LON/UR-L1152/_layouts/15/DocIdRedir.aspx?ID=EZSHARE-716771216-29</Url>
      <Description>EZSHARE-716771216-29</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FC19B9AE-7400-448A-904D-9ED656E92120}"/>
</file>

<file path=customXml/itemProps2.xml><?xml version="1.0" encoding="utf-8"?>
<ds:datastoreItem xmlns:ds="http://schemas.openxmlformats.org/officeDocument/2006/customXml" ds:itemID="{FD930D5C-0252-44F5-A6C0-A8D3BF7BC3B6}"/>
</file>

<file path=customXml/itemProps3.xml><?xml version="1.0" encoding="utf-8"?>
<ds:datastoreItem xmlns:ds="http://schemas.openxmlformats.org/officeDocument/2006/customXml" ds:itemID="{53465B3A-4E95-49FC-95AB-7E8D6388BAE6}"/>
</file>

<file path=customXml/itemProps4.xml><?xml version="1.0" encoding="utf-8"?>
<ds:datastoreItem xmlns:ds="http://schemas.openxmlformats.org/officeDocument/2006/customXml" ds:itemID="{6F9E40E9-23CC-4BFF-B6A9-7284B06E0DA3}"/>
</file>

<file path=customXml/itemProps5.xml><?xml version="1.0" encoding="utf-8"?>
<ds:datastoreItem xmlns:ds="http://schemas.openxmlformats.org/officeDocument/2006/customXml" ds:itemID="{50B7AD2F-FA33-4A0D-B792-9181A9674741}"/>
</file>

<file path=customXml/itemProps6.xml><?xml version="1.0" encoding="utf-8"?>
<ds:datastoreItem xmlns:ds="http://schemas.openxmlformats.org/officeDocument/2006/customXml" ds:itemID="{879ACD41-6AE8-4865-AF89-21049B0D78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resumen</vt:lpstr>
      <vt:lpstr>costos de remediación</vt:lpstr>
      <vt:lpstr>impacto económico</vt:lpstr>
      <vt:lpstr>capacitación</vt:lpstr>
      <vt:lpstr>costos remediación (AGESIC)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spaz</dc:creator>
  <cp:keywords/>
  <cp:lastModifiedBy>Roseth, Benjamin David</cp:lastModifiedBy>
  <dcterms:created xsi:type="dcterms:W3CDTF">2019-01-24T19:10:07Z</dcterms:created>
  <dcterms:modified xsi:type="dcterms:W3CDTF">2019-03-12T18:36:55Z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41;#E-GOVERNMENT|281505e9-fdf9-47b0-b36a-d5df63f0fdea</vt:lpwstr>
  </property>
  <property fmtid="{D5CDD505-2E9C-101B-9397-08002B2CF9AE}" pid="7" name="Fund IDB">
    <vt:lpwstr>30;#ORC|c028a4b2-ad8b-4cf4-9cac-a2ae6a778e23</vt:lpwstr>
  </property>
  <property fmtid="{D5CDD505-2E9C-101B-9397-08002B2CF9AE}" pid="8" name="Country">
    <vt:lpwstr>32;#Uruguay|5d9b6fdd-d595-4446-a0eb-c14b465f6d0e</vt:lpwstr>
  </property>
  <property fmtid="{D5CDD505-2E9C-101B-9397-08002B2CF9AE}" pid="9" name="Sector IDB">
    <vt:lpwstr>40;#REFORM / MODERNIZATION OF THE STATE|c8fda4a7-691a-4c65-b227-9825197b5cd2</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1f04a7e5-4bef-41ad-a4f6-0f223f8e6c48</vt:lpwstr>
  </property>
  <property fmtid="{D5CDD505-2E9C-101B-9397-08002B2CF9AE}" pid="12" name="Disclosure Activity">
    <vt:lpwstr>Loan Proposal</vt:lpwstr>
  </property>
  <property fmtid="{D5CDD505-2E9C-101B-9397-08002B2CF9AE}" pid="13" name="ContentTypeId">
    <vt:lpwstr>0x0101001A458A224826124E8B45B1D613300CFC0003C7B316F2B32646A00F9D625A2EA352</vt:lpwstr>
  </property>
</Properties>
</file>