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rrascoc\Documents\Proyectos en Ejecucion\Artesanias Chile\PA\"/>
    </mc:Choice>
  </mc:AlternateContent>
  <bookViews>
    <workbookView xWindow="0" yWindow="0" windowWidth="28800" windowHeight="12210" firstSheet="1" activeTab="1" xr2:uid="{00000000-000D-0000-FFFF-FFFF00000000}"/>
  </bookViews>
  <sheets>
    <sheet name="Explicación" sheetId="5" state="hidden" r:id="rId1"/>
    <sheet name="Hoja1" sheetId="1" r:id="rId2"/>
    <sheet name="Hoja4" sheetId="4" r:id="rId3"/>
    <sheet name="Hoja2" sheetId="2" r:id="rId4"/>
    <sheet name="Hoja3" sheetId="3" r:id="rId5"/>
  </sheets>
  <externalReferences>
    <externalReference r:id="rId6"/>
    <externalReference r:id="rId7"/>
  </externalReferences>
  <calcPr calcId="171027"/>
</workbook>
</file>

<file path=xl/calcChain.xml><?xml version="1.0" encoding="utf-8"?>
<calcChain xmlns="http://schemas.openxmlformats.org/spreadsheetml/2006/main">
  <c r="E49" i="1" l="1"/>
  <c r="H63" i="1" l="1"/>
  <c r="J63" i="1" s="1"/>
  <c r="D85" i="5" l="1"/>
  <c r="E24" i="1" l="1"/>
  <c r="H24" i="1"/>
  <c r="N24" i="1" s="1"/>
  <c r="Y25" i="1"/>
  <c r="Y24" i="1"/>
  <c r="Z24" i="1" s="1"/>
  <c r="I24" i="1" l="1"/>
  <c r="J24" i="1" s="1"/>
  <c r="E73" i="5"/>
  <c r="E72" i="5"/>
  <c r="E71" i="5"/>
  <c r="E70" i="5"/>
  <c r="I69" i="5" s="1"/>
  <c r="Y54" i="5" l="1"/>
  <c r="Z54" i="5" s="1"/>
  <c r="O24" i="5"/>
  <c r="O44" i="5"/>
  <c r="O49" i="5"/>
  <c r="G24" i="5"/>
  <c r="F39" i="1"/>
  <c r="G39" i="1"/>
  <c r="F26" i="1"/>
  <c r="G26" i="1"/>
  <c r="F18" i="1"/>
  <c r="G18" i="1"/>
  <c r="F25" i="1"/>
  <c r="F41" i="1"/>
  <c r="G41" i="1"/>
  <c r="F45" i="1"/>
  <c r="G45" i="1"/>
  <c r="E45" i="5"/>
  <c r="E41" i="5"/>
  <c r="E39" i="5"/>
  <c r="E26" i="5"/>
  <c r="E25" i="5" s="1"/>
  <c r="E18" i="5"/>
  <c r="E14" i="5"/>
  <c r="E10" i="5"/>
  <c r="E11" i="5"/>
  <c r="U40" i="5"/>
  <c r="V40" i="5" s="1"/>
  <c r="U37" i="5"/>
  <c r="V37" i="5" s="1"/>
  <c r="U36" i="5"/>
  <c r="V36" i="5" s="1"/>
  <c r="U24" i="5"/>
  <c r="V24" i="5" s="1"/>
  <c r="E50" i="5" l="1"/>
  <c r="G25" i="1"/>
  <c r="L49" i="5"/>
  <c r="L45" i="5" s="1"/>
  <c r="K49" i="5"/>
  <c r="K45" i="5" s="1"/>
  <c r="U48" i="5"/>
  <c r="V48" i="5" s="1"/>
  <c r="U47" i="5"/>
  <c r="V47" i="5" s="1"/>
  <c r="M47" i="5"/>
  <c r="U46" i="5"/>
  <c r="V46" i="5" s="1"/>
  <c r="Q46" i="5"/>
  <c r="R46" i="5" s="1"/>
  <c r="M46" i="5"/>
  <c r="M49" i="5" s="1"/>
  <c r="V45" i="5"/>
  <c r="V44" i="5"/>
  <c r="J44" i="5"/>
  <c r="N44" i="5" s="1"/>
  <c r="U43" i="5"/>
  <c r="V43" i="5" s="1"/>
  <c r="U42" i="5"/>
  <c r="V42" i="5" s="1"/>
  <c r="V41" i="5"/>
  <c r="M41" i="5"/>
  <c r="L41" i="5"/>
  <c r="K41" i="5"/>
  <c r="V39" i="5"/>
  <c r="U38" i="5"/>
  <c r="V38" i="5" s="1"/>
  <c r="U35" i="5"/>
  <c r="V35" i="5" s="1"/>
  <c r="M35" i="5"/>
  <c r="U34" i="5"/>
  <c r="V34" i="5" s="1"/>
  <c r="M34" i="5"/>
  <c r="U33" i="5"/>
  <c r="V33" i="5" s="1"/>
  <c r="M33" i="5"/>
  <c r="U32" i="5"/>
  <c r="V32" i="5" s="1"/>
  <c r="M32" i="5"/>
  <c r="U31" i="5"/>
  <c r="V31" i="5" s="1"/>
  <c r="M31" i="5"/>
  <c r="U30" i="5"/>
  <c r="V30" i="5" s="1"/>
  <c r="M30" i="5"/>
  <c r="U29" i="5"/>
  <c r="V29" i="5" s="1"/>
  <c r="M29" i="5"/>
  <c r="U28" i="5"/>
  <c r="V28" i="5" s="1"/>
  <c r="M28" i="5"/>
  <c r="U27" i="5"/>
  <c r="V27" i="5" s="1"/>
  <c r="M27" i="5"/>
  <c r="M25" i="5" s="1"/>
  <c r="V26" i="5"/>
  <c r="Q26" i="5"/>
  <c r="R26" i="5" s="1"/>
  <c r="R27" i="5" s="1"/>
  <c r="U25" i="5"/>
  <c r="V25" i="5" s="1"/>
  <c r="L25" i="5"/>
  <c r="K25" i="5"/>
  <c r="U23" i="5"/>
  <c r="V23" i="5" s="1"/>
  <c r="U22" i="5"/>
  <c r="V22" i="5" s="1"/>
  <c r="M22" i="5"/>
  <c r="U21" i="5"/>
  <c r="V21" i="5" s="1"/>
  <c r="M21" i="5"/>
  <c r="U20" i="5"/>
  <c r="V20" i="5" s="1"/>
  <c r="M20" i="5"/>
  <c r="U19" i="5"/>
  <c r="V19" i="5" s="1"/>
  <c r="V18" i="5"/>
  <c r="U17" i="5"/>
  <c r="V17" i="5" s="1"/>
  <c r="U16" i="5"/>
  <c r="V16" i="5" s="1"/>
  <c r="M16" i="5"/>
  <c r="U15" i="5"/>
  <c r="V15" i="5" s="1"/>
  <c r="M15" i="5"/>
  <c r="M10" i="5" s="1"/>
  <c r="V14" i="5"/>
  <c r="V13" i="5"/>
  <c r="U12" i="5"/>
  <c r="V12" i="5" s="1"/>
  <c r="Q11" i="5"/>
  <c r="R11" i="5" s="1"/>
  <c r="L10" i="5"/>
  <c r="K10" i="5"/>
  <c r="M45" i="5" l="1"/>
  <c r="R28" i="5"/>
  <c r="R29" i="5" s="1"/>
  <c r="R12" i="5"/>
  <c r="K50" i="5"/>
  <c r="H23" i="1"/>
  <c r="H22" i="1"/>
  <c r="H21" i="1"/>
  <c r="H20" i="1"/>
  <c r="H19" i="1"/>
  <c r="H17" i="1"/>
  <c r="H16" i="1"/>
  <c r="H15" i="1"/>
  <c r="H13" i="1"/>
  <c r="H12" i="1"/>
  <c r="Y47" i="1"/>
  <c r="Y48" i="1"/>
  <c r="Y46" i="1"/>
  <c r="Z41" i="1"/>
  <c r="Z44" i="1"/>
  <c r="Y42" i="1"/>
  <c r="Z42" i="1" s="1"/>
  <c r="Y43" i="1"/>
  <c r="Z43" i="1" s="1"/>
  <c r="Y37" i="1"/>
  <c r="Y40" i="1"/>
  <c r="Y36" i="1"/>
  <c r="Y38" i="1"/>
  <c r="Y34" i="1"/>
  <c r="Y35" i="1"/>
  <c r="Y32" i="1"/>
  <c r="Y33" i="1"/>
  <c r="Y31" i="1"/>
  <c r="Y29" i="1"/>
  <c r="Y30" i="1"/>
  <c r="Y28" i="1"/>
  <c r="Z26" i="1"/>
  <c r="Y27" i="1"/>
  <c r="Z27" i="1" s="1"/>
  <c r="Y23" i="1"/>
  <c r="Y22" i="1"/>
  <c r="Y21" i="1"/>
  <c r="Y20" i="1"/>
  <c r="Y19" i="1"/>
  <c r="Y17" i="1"/>
  <c r="Y16" i="1"/>
  <c r="Y15" i="1"/>
  <c r="Y12" i="1"/>
  <c r="I12" i="1" l="1"/>
  <c r="J12" i="1" s="1"/>
  <c r="G13" i="5"/>
  <c r="J13" i="5" s="1"/>
  <c r="G17" i="5"/>
  <c r="J17" i="5" s="1"/>
  <c r="G22" i="5"/>
  <c r="J22" i="5" s="1"/>
  <c r="N22" i="5" s="1"/>
  <c r="G19" i="5"/>
  <c r="G23" i="5"/>
  <c r="J23" i="5" s="1"/>
  <c r="G15" i="5"/>
  <c r="G20" i="5"/>
  <c r="G16" i="5"/>
  <c r="I21" i="1"/>
  <c r="J21" i="1" s="1"/>
  <c r="G21" i="5"/>
  <c r="J21" i="5" s="1"/>
  <c r="N21" i="5" s="1"/>
  <c r="Z12" i="1"/>
  <c r="Y11" i="1"/>
  <c r="E12" i="1"/>
  <c r="G12" i="5"/>
  <c r="Z13" i="1"/>
  <c r="Z14" i="1"/>
  <c r="Z15" i="1"/>
  <c r="E15" i="1" s="1"/>
  <c r="Z16" i="1"/>
  <c r="E16" i="1" s="1"/>
  <c r="F16" i="5" s="1"/>
  <c r="O16" i="5" s="1"/>
  <c r="Z17" i="1"/>
  <c r="Z18" i="1"/>
  <c r="Z19" i="1"/>
  <c r="E19" i="1" s="1"/>
  <c r="Z20" i="1"/>
  <c r="E20" i="1" s="1"/>
  <c r="F20" i="5" s="1"/>
  <c r="O20" i="5" s="1"/>
  <c r="Z21" i="1"/>
  <c r="E21" i="1" s="1"/>
  <c r="F21" i="5" s="1"/>
  <c r="O21" i="5" s="1"/>
  <c r="Z22" i="1"/>
  <c r="E22" i="1" s="1"/>
  <c r="F22" i="5" s="1"/>
  <c r="O22" i="5" s="1"/>
  <c r="Z23" i="1"/>
  <c r="E23" i="1" s="1"/>
  <c r="F23" i="5" s="1"/>
  <c r="O23" i="5" s="1"/>
  <c r="Z25" i="1"/>
  <c r="H27" i="1"/>
  <c r="Z28" i="1"/>
  <c r="H28" i="1" s="1"/>
  <c r="Z29" i="1"/>
  <c r="H29" i="1" s="1"/>
  <c r="Z30" i="1"/>
  <c r="H30" i="1" s="1"/>
  <c r="Z31" i="1"/>
  <c r="H31" i="1" s="1"/>
  <c r="Z32" i="1"/>
  <c r="H32" i="1" s="1"/>
  <c r="Z33" i="1"/>
  <c r="H33" i="1" s="1"/>
  <c r="Z34" i="1"/>
  <c r="H34" i="1" s="1"/>
  <c r="Z35" i="1"/>
  <c r="H35" i="1" s="1"/>
  <c r="Z38" i="1"/>
  <c r="H38" i="1" s="1"/>
  <c r="Z39" i="1"/>
  <c r="Z36" i="1"/>
  <c r="H36" i="1" s="1"/>
  <c r="Z37" i="1"/>
  <c r="H37" i="1" s="1"/>
  <c r="Z40" i="1"/>
  <c r="H40" i="1" s="1"/>
  <c r="H42" i="1"/>
  <c r="H43" i="1"/>
  <c r="Z45" i="1"/>
  <c r="Z46" i="1"/>
  <c r="H46" i="1" s="1"/>
  <c r="Z47" i="1"/>
  <c r="H47" i="1" s="1"/>
  <c r="Z48" i="1"/>
  <c r="H48" i="1" s="1"/>
  <c r="E13" i="1"/>
  <c r="F13" i="5" s="1"/>
  <c r="O13" i="5" s="1"/>
  <c r="E17" i="1"/>
  <c r="F17" i="5" s="1"/>
  <c r="O17" i="5" s="1"/>
  <c r="I20" i="1" l="1"/>
  <c r="J20" i="1" s="1"/>
  <c r="E46" i="1"/>
  <c r="H45" i="1"/>
  <c r="I13" i="1"/>
  <c r="J13" i="1" s="1"/>
  <c r="E18" i="1"/>
  <c r="F19" i="5"/>
  <c r="J20" i="5"/>
  <c r="N20" i="5" s="1"/>
  <c r="H20" i="5"/>
  <c r="I23" i="1"/>
  <c r="J23" i="1" s="1"/>
  <c r="I22" i="1"/>
  <c r="J22" i="1" s="1"/>
  <c r="J16" i="5"/>
  <c r="N16" i="5" s="1"/>
  <c r="H16" i="5"/>
  <c r="I16" i="5" s="1"/>
  <c r="G14" i="5"/>
  <c r="J14" i="5" s="1"/>
  <c r="J15" i="5"/>
  <c r="N15" i="5" s="1"/>
  <c r="J19" i="5"/>
  <c r="G18" i="5"/>
  <c r="J18" i="5" s="1"/>
  <c r="E14" i="1"/>
  <c r="F15" i="5"/>
  <c r="H15" i="5" s="1"/>
  <c r="I15" i="5" s="1"/>
  <c r="I46" i="1"/>
  <c r="J46" i="1" s="1"/>
  <c r="I16" i="1"/>
  <c r="J16" i="1" s="1"/>
  <c r="I15" i="1"/>
  <c r="J15" i="1" s="1"/>
  <c r="I19" i="1"/>
  <c r="J19" i="1" s="1"/>
  <c r="I17" i="1"/>
  <c r="J17" i="1" s="1"/>
  <c r="G36" i="5"/>
  <c r="J36" i="5" s="1"/>
  <c r="N36" i="5" s="1"/>
  <c r="J12" i="5"/>
  <c r="N12" i="5" s="1"/>
  <c r="G11" i="5"/>
  <c r="G10" i="5"/>
  <c r="J10" i="5" s="1"/>
  <c r="F12" i="5"/>
  <c r="H12" i="5" s="1"/>
  <c r="I12" i="5" s="1"/>
  <c r="E11" i="1"/>
  <c r="E10" i="1"/>
  <c r="E47" i="1"/>
  <c r="F47" i="5" s="1"/>
  <c r="O47" i="5" s="1"/>
  <c r="G47" i="5"/>
  <c r="J47" i="5" s="1"/>
  <c r="N47" i="5" s="1"/>
  <c r="E29" i="1"/>
  <c r="F29" i="5" s="1"/>
  <c r="O29" i="5" s="1"/>
  <c r="G29" i="5"/>
  <c r="J29" i="5" s="1"/>
  <c r="N29" i="5" s="1"/>
  <c r="G46" i="5"/>
  <c r="G73" i="5"/>
  <c r="F73" i="5" s="1"/>
  <c r="N38" i="1"/>
  <c r="G38" i="5"/>
  <c r="E28" i="1"/>
  <c r="F28" i="5" s="1"/>
  <c r="O28" i="5" s="1"/>
  <c r="G28" i="5"/>
  <c r="E37" i="1"/>
  <c r="F37" i="5" s="1"/>
  <c r="O37" i="5" s="1"/>
  <c r="G37" i="5"/>
  <c r="J37" i="5" s="1"/>
  <c r="N37" i="5" s="1"/>
  <c r="E35" i="1"/>
  <c r="F35" i="5" s="1"/>
  <c r="O35" i="5" s="1"/>
  <c r="G35" i="5"/>
  <c r="E31" i="1"/>
  <c r="F31" i="5" s="1"/>
  <c r="O31" i="5" s="1"/>
  <c r="G31" i="5"/>
  <c r="E27" i="1"/>
  <c r="H26" i="1"/>
  <c r="G27" i="5"/>
  <c r="E42" i="1"/>
  <c r="I42" i="1" s="1"/>
  <c r="J42" i="1" s="1"/>
  <c r="G42" i="5"/>
  <c r="H41" i="1"/>
  <c r="G72" i="5" s="1"/>
  <c r="F72" i="5" s="1"/>
  <c r="E33" i="1"/>
  <c r="F33" i="5" s="1"/>
  <c r="O33" i="5" s="1"/>
  <c r="G33" i="5"/>
  <c r="E40" i="1"/>
  <c r="I40" i="1" s="1"/>
  <c r="G40" i="5"/>
  <c r="H39" i="1"/>
  <c r="E32" i="1"/>
  <c r="F32" i="5" s="1"/>
  <c r="O32" i="5" s="1"/>
  <c r="G32" i="5"/>
  <c r="E48" i="1"/>
  <c r="F48" i="5" s="1"/>
  <c r="O48" i="5" s="1"/>
  <c r="G48" i="5"/>
  <c r="J48" i="5" s="1"/>
  <c r="N48" i="5" s="1"/>
  <c r="E43" i="1"/>
  <c r="F43" i="5" s="1"/>
  <c r="O43" i="5" s="1"/>
  <c r="G43" i="5"/>
  <c r="J43" i="5" s="1"/>
  <c r="N43" i="5" s="1"/>
  <c r="E34" i="1"/>
  <c r="F34" i="5" s="1"/>
  <c r="O34" i="5" s="1"/>
  <c r="G34" i="5"/>
  <c r="E30" i="1"/>
  <c r="F30" i="5" s="1"/>
  <c r="O30" i="5" s="1"/>
  <c r="G30" i="5"/>
  <c r="E36" i="1"/>
  <c r="F36" i="5" s="1"/>
  <c r="O36" i="5" s="1"/>
  <c r="H18" i="1"/>
  <c r="H10" i="1"/>
  <c r="G70" i="5" s="1"/>
  <c r="E38" i="1"/>
  <c r="I38" i="1" s="1"/>
  <c r="J38" i="1" s="1"/>
  <c r="H11" i="1"/>
  <c r="I48" i="1" l="1"/>
  <c r="J48" i="1" s="1"/>
  <c r="E45" i="1"/>
  <c r="F70" i="5"/>
  <c r="I43" i="1"/>
  <c r="J43" i="1" s="1"/>
  <c r="I47" i="1"/>
  <c r="J47" i="1" s="1"/>
  <c r="N10" i="5"/>
  <c r="I31" i="1"/>
  <c r="J31" i="1" s="1"/>
  <c r="O19" i="5"/>
  <c r="F18" i="5"/>
  <c r="O18" i="5" s="1"/>
  <c r="I27" i="1"/>
  <c r="J27" i="1" s="1"/>
  <c r="I30" i="1"/>
  <c r="J30" i="1" s="1"/>
  <c r="O15" i="5"/>
  <c r="F14" i="5"/>
  <c r="I33" i="1"/>
  <c r="J33" i="1" s="1"/>
  <c r="I34" i="1"/>
  <c r="J34" i="1" s="1"/>
  <c r="I35" i="1"/>
  <c r="J35" i="1" s="1"/>
  <c r="I37" i="1"/>
  <c r="J37" i="1" s="1"/>
  <c r="I36" i="1"/>
  <c r="J36" i="1" s="1"/>
  <c r="I32" i="1"/>
  <c r="J32" i="1" s="1"/>
  <c r="I28" i="1"/>
  <c r="J28" i="1" s="1"/>
  <c r="O12" i="5"/>
  <c r="F10" i="5"/>
  <c r="F11" i="5"/>
  <c r="F38" i="5"/>
  <c r="O38" i="5" s="1"/>
  <c r="F46" i="5"/>
  <c r="H34" i="5"/>
  <c r="I34" i="5" s="1"/>
  <c r="J34" i="5"/>
  <c r="N34" i="5" s="1"/>
  <c r="H32" i="5"/>
  <c r="I32" i="5" s="1"/>
  <c r="J32" i="5"/>
  <c r="N32" i="5" s="1"/>
  <c r="J42" i="5"/>
  <c r="G41" i="5"/>
  <c r="E41" i="1"/>
  <c r="F42" i="5"/>
  <c r="H31" i="5"/>
  <c r="I31" i="5" s="1"/>
  <c r="J31" i="5"/>
  <c r="N31" i="5" s="1"/>
  <c r="J38" i="5"/>
  <c r="H38" i="5"/>
  <c r="I38" i="5" s="1"/>
  <c r="H30" i="5"/>
  <c r="I30" i="5" s="1"/>
  <c r="J30" i="5"/>
  <c r="N30" i="5" s="1"/>
  <c r="H36" i="5"/>
  <c r="I36" i="5" s="1"/>
  <c r="J27" i="5"/>
  <c r="N27" i="5" s="1"/>
  <c r="N25" i="5" s="1"/>
  <c r="G26" i="5"/>
  <c r="F40" i="5"/>
  <c r="E39" i="1"/>
  <c r="F27" i="5"/>
  <c r="E26" i="1"/>
  <c r="G45" i="5"/>
  <c r="J46" i="5"/>
  <c r="J33" i="5"/>
  <c r="N33" i="5" s="1"/>
  <c r="H33" i="5"/>
  <c r="I33" i="5" s="1"/>
  <c r="G39" i="5"/>
  <c r="J39" i="5" s="1"/>
  <c r="N39" i="5" s="1"/>
  <c r="J40" i="5"/>
  <c r="N40" i="5" s="1"/>
  <c r="H35" i="5"/>
  <c r="I35" i="5" s="1"/>
  <c r="J35" i="5"/>
  <c r="N35" i="5" s="1"/>
  <c r="J28" i="5"/>
  <c r="N28" i="5" s="1"/>
  <c r="H28" i="5"/>
  <c r="I28" i="5" s="1"/>
  <c r="U46" i="1"/>
  <c r="V46" i="1" s="1"/>
  <c r="U26" i="1"/>
  <c r="V26" i="1" s="1"/>
  <c r="V27" i="1" s="1"/>
  <c r="O41" i="1"/>
  <c r="P41" i="1"/>
  <c r="Q41" i="1"/>
  <c r="O25" i="1"/>
  <c r="P25" i="1"/>
  <c r="P10" i="1"/>
  <c r="O10" i="1"/>
  <c r="O50" i="1"/>
  <c r="O45" i="1" s="1"/>
  <c r="P50" i="1"/>
  <c r="P45" i="1" s="1"/>
  <c r="Q47" i="1"/>
  <c r="Q46" i="1"/>
  <c r="Q36" i="1"/>
  <c r="Q35" i="1"/>
  <c r="Q34" i="1"/>
  <c r="Q33" i="1"/>
  <c r="Q32" i="1"/>
  <c r="Q31" i="1"/>
  <c r="Q30" i="1"/>
  <c r="Q29" i="1"/>
  <c r="Q28" i="1"/>
  <c r="Q27" i="1"/>
  <c r="U11" i="1"/>
  <c r="V11" i="1" s="1"/>
  <c r="V12" i="1" s="1"/>
  <c r="Q22" i="1"/>
  <c r="Q21" i="1"/>
  <c r="Q20" i="1"/>
  <c r="Q16" i="1"/>
  <c r="Q15" i="1"/>
  <c r="N13" i="1"/>
  <c r="N16" i="1"/>
  <c r="N17" i="1"/>
  <c r="N19" i="1"/>
  <c r="N20" i="1"/>
  <c r="N21" i="1"/>
  <c r="N23" i="1"/>
  <c r="N27" i="1"/>
  <c r="N29" i="1"/>
  <c r="N30" i="1"/>
  <c r="N31" i="1"/>
  <c r="N32" i="1"/>
  <c r="N33" i="1"/>
  <c r="N34" i="1"/>
  <c r="N35" i="1"/>
  <c r="N36" i="1"/>
  <c r="N37" i="1"/>
  <c r="R37" i="1" s="1"/>
  <c r="N40" i="1"/>
  <c r="R40" i="1" s="1"/>
  <c r="N42" i="1"/>
  <c r="R42" i="1" s="1"/>
  <c r="N44" i="1"/>
  <c r="R44" i="1" s="1"/>
  <c r="N46" i="1"/>
  <c r="N47" i="1"/>
  <c r="N48" i="1"/>
  <c r="R48" i="1" s="1"/>
  <c r="N12" i="1"/>
  <c r="R12" i="1" s="1"/>
  <c r="J26" i="5" l="1"/>
  <c r="J25" i="5" s="1"/>
  <c r="G25" i="5"/>
  <c r="G50" i="5" s="1"/>
  <c r="G51" i="5" s="1"/>
  <c r="J49" i="5"/>
  <c r="J45" i="5" s="1"/>
  <c r="N45" i="5" s="1"/>
  <c r="N46" i="5"/>
  <c r="N49" i="5" s="1"/>
  <c r="O42" i="5"/>
  <c r="F41" i="5"/>
  <c r="O41" i="5" s="1"/>
  <c r="O46" i="5"/>
  <c r="F45" i="5"/>
  <c r="O40" i="5"/>
  <c r="F39" i="5"/>
  <c r="O39" i="5" s="1"/>
  <c r="O27" i="5"/>
  <c r="F26" i="5"/>
  <c r="N42" i="5"/>
  <c r="J41" i="5"/>
  <c r="N41" i="5" s="1"/>
  <c r="E25" i="1"/>
  <c r="E50" i="1" s="1"/>
  <c r="H27" i="5"/>
  <c r="I27" i="5" s="1"/>
  <c r="R21" i="1"/>
  <c r="N50" i="1"/>
  <c r="N45" i="1" s="1"/>
  <c r="R32" i="1"/>
  <c r="R36" i="1"/>
  <c r="R16" i="1"/>
  <c r="R30" i="1"/>
  <c r="R34" i="1"/>
  <c r="R47" i="1"/>
  <c r="R29" i="1"/>
  <c r="R33" i="1"/>
  <c r="R20" i="1"/>
  <c r="R31" i="1"/>
  <c r="R35" i="1"/>
  <c r="O51" i="1"/>
  <c r="Q25" i="1"/>
  <c r="V28" i="1" s="1"/>
  <c r="V29" i="1" s="1"/>
  <c r="Q10" i="1"/>
  <c r="Q50" i="1"/>
  <c r="Q45" i="1" s="1"/>
  <c r="R46" i="1"/>
  <c r="R50" i="1" s="1"/>
  <c r="R27" i="1"/>
  <c r="O26" i="5" l="1"/>
  <c r="F25" i="5"/>
  <c r="O25" i="5" s="1"/>
  <c r="F51" i="5"/>
  <c r="R45" i="1"/>
  <c r="N28" i="1"/>
  <c r="R28" i="1" s="1"/>
  <c r="R25" i="1" s="1"/>
  <c r="E52" i="5" l="1"/>
  <c r="G52" i="5"/>
  <c r="F50" i="5"/>
  <c r="N15" i="1"/>
  <c r="R15" i="1" s="1"/>
  <c r="H14" i="1"/>
  <c r="N14" i="1" s="1"/>
  <c r="N26" i="1"/>
  <c r="N43" i="1"/>
  <c r="E75" i="5" l="1"/>
  <c r="O50" i="5"/>
  <c r="F52" i="5"/>
  <c r="N22" i="1"/>
  <c r="R22" i="1" s="1"/>
  <c r="R10" i="1" s="1"/>
  <c r="N18" i="1"/>
  <c r="N10" i="1"/>
  <c r="R43" i="1"/>
  <c r="N41" i="1"/>
  <c r="R41" i="1" s="1"/>
  <c r="N39" i="1"/>
  <c r="R39" i="1" s="1"/>
  <c r="H25" i="1"/>
  <c r="H50" i="1" s="1"/>
  <c r="N25" i="1" l="1"/>
  <c r="G71" i="5"/>
  <c r="I70" i="5" s="1"/>
  <c r="I71" i="5" s="1"/>
  <c r="I72" i="5" s="1"/>
  <c r="G74" i="5" s="1"/>
  <c r="F74" i="5" s="1"/>
  <c r="F71" i="5" l="1"/>
  <c r="F75" i="5" s="1"/>
  <c r="G75" i="5"/>
</calcChain>
</file>

<file path=xl/sharedStrings.xml><?xml version="1.0" encoding="utf-8"?>
<sst xmlns="http://schemas.openxmlformats.org/spreadsheetml/2006/main" count="680" uniqueCount="131">
  <si>
    <t>PLAN DE ADQUISICIONES  DE COOPERACIONES TECNICAS NO REEMBOLSABLES</t>
  </si>
  <si>
    <t>País: Chile</t>
  </si>
  <si>
    <t>Agencia Ejecutora (AE):Fundación Artesanías de Chile</t>
  </si>
  <si>
    <t>Sector Público: o Privado: Privado</t>
  </si>
  <si>
    <t>Número del Proyecto: CH-T1185</t>
  </si>
  <si>
    <t>Nombre del Proyecto: Creación de Banco de Materias Primas y apoyo a la comercialización de Artesanías</t>
  </si>
  <si>
    <r>
      <t>Período del Plan</t>
    </r>
    <r>
      <rPr>
        <sz val="8"/>
        <color rgb="FF000000"/>
        <rFont val="Calibri"/>
        <family val="2"/>
        <scheme val="minor"/>
      </rPr>
      <t> </t>
    </r>
    <r>
      <rPr>
        <b/>
        <sz val="9"/>
        <color rgb="FF000000"/>
        <rFont val="Arial"/>
        <family val="2"/>
      </rPr>
      <t>: Nov. 2016 – Dic 2018</t>
    </r>
  </si>
  <si>
    <t>Monto límite para revisión ex post de adquisiciones:</t>
  </si>
  <si>
    <t>Nº Ítem</t>
  </si>
  <si>
    <t>Ref. POA</t>
  </si>
  <si>
    <t>Descripción de las adquisiciones</t>
  </si>
  <si>
    <t>Costo estimado de la Adquisición         (US$)</t>
  </si>
  <si>
    <t>Método de Adquisición</t>
  </si>
  <si>
    <t>Revisión  de adquisiciones</t>
  </si>
  <si>
    <t>Fuente de Financiamiento y porcentaje</t>
  </si>
  <si>
    <t xml:space="preserve">Fecha estimada del Anuncio de Adquisición o del Inicio de la contratación </t>
  </si>
  <si>
    <t>Revisión técnica del JEP</t>
  </si>
  <si>
    <t>Comentarios</t>
  </si>
  <si>
    <t>FOMIN</t>
  </si>
  <si>
    <t>BID/MIF %</t>
  </si>
  <si>
    <t>Local / Otro %</t>
  </si>
  <si>
    <t>Componente 1: abastecimiento</t>
  </si>
  <si>
    <t>Bienes</t>
  </si>
  <si>
    <t> 1.1</t>
  </si>
  <si>
    <t>Habilitación, materiales e insumos  (computador, estante, silla, escritorio, pintura)</t>
  </si>
  <si>
    <t>CP</t>
  </si>
  <si>
    <t>ExPost</t>
  </si>
  <si>
    <t> 1.2</t>
  </si>
  <si>
    <t>Container</t>
  </si>
  <si>
    <t>N/A</t>
  </si>
  <si>
    <t xml:space="preserve">Servicios diferentes a consultoría  </t>
  </si>
  <si>
    <t> 1.3</t>
  </si>
  <si>
    <t>Logística para equipo de trabajo (pasajes, bencina, arriendo de auto, alojamiento, viatico)</t>
  </si>
  <si>
    <t> 1.4</t>
  </si>
  <si>
    <t>Servicio de transporte y acopio de lana o arriendo de equipos</t>
  </si>
  <si>
    <t> 1.5</t>
  </si>
  <si>
    <t>Servicio de capacitación (hilanderas)</t>
  </si>
  <si>
    <t>Consultoría</t>
  </si>
  <si>
    <t> 1.6</t>
  </si>
  <si>
    <t xml:space="preserve"> Asesores Regionales (2 personas) </t>
  </si>
  <si>
    <t>Encargado Banco Chiloé</t>
  </si>
  <si>
    <t>CCIN</t>
  </si>
  <si>
    <t>Ayudante Banco de lana</t>
  </si>
  <si>
    <t xml:space="preserve"> Encargada sede (hilados) puerto varas* </t>
  </si>
  <si>
    <t>SD</t>
  </si>
  <si>
    <t xml:space="preserve"> Apoyo para distribución </t>
  </si>
  <si>
    <t>Componente 2: Comercialización</t>
  </si>
  <si>
    <t>Bienes y servicios</t>
  </si>
  <si>
    <t>2.1</t>
  </si>
  <si>
    <t>Seguro y Asistencia</t>
  </si>
  <si>
    <t>2.2</t>
  </si>
  <si>
    <t>Pasajes aéreos, terrestres y marítimos</t>
  </si>
  <si>
    <t>2.3</t>
  </si>
  <si>
    <t>Montaje Stand Ferias</t>
  </si>
  <si>
    <t>CD</t>
  </si>
  <si>
    <t>2.4</t>
  </si>
  <si>
    <t>Viáticos Internacionales</t>
  </si>
  <si>
    <t>2.5</t>
  </si>
  <si>
    <t>Arriendo Stand ferias internacionales</t>
  </si>
  <si>
    <t>2.6</t>
  </si>
  <si>
    <t>Habilitación y montajes Stand</t>
  </si>
  <si>
    <t>2.7</t>
  </si>
  <si>
    <t>Envío de productos</t>
  </si>
  <si>
    <t>2.8</t>
  </si>
  <si>
    <t>Pago de membrecía Gold, Plataforma Alí Babá (China)</t>
  </si>
  <si>
    <t>2.9</t>
  </si>
  <si>
    <t>Habilitación de tienda virtual</t>
  </si>
  <si>
    <t>2.10</t>
  </si>
  <si>
    <t>Honorarios diseño grafico</t>
  </si>
  <si>
    <t>2.11</t>
  </si>
  <si>
    <t>honorarios fotógrafo</t>
  </si>
  <si>
    <t>2.12</t>
  </si>
  <si>
    <t>Consultoría Branding</t>
  </si>
  <si>
    <t>Componente 3: Gestión del conocimiento</t>
  </si>
  <si>
    <t>Jornada de difusión (arriendo de espacio y coctel)</t>
  </si>
  <si>
    <t>Publicación (diseño, edición e impresión)</t>
  </si>
  <si>
    <t>Compnente 4;  Administración</t>
  </si>
  <si>
    <t xml:space="preserve"> Coordinador proyecto BID </t>
  </si>
  <si>
    <t xml:space="preserve"> ERP (un usuario nuevo e implementación) </t>
  </si>
  <si>
    <t>Total</t>
  </si>
  <si>
    <r>
      <t>(1)</t>
    </r>
    <r>
      <rPr>
        <sz val="9"/>
        <color rgb="FF000000"/>
        <rFont val="Arial"/>
        <family val="2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“Este es un agrupamiento de aproximadamente 4 pasajes para participar en ferias de la región durante el año X y X1.</t>
    </r>
  </si>
  <si>
    <r>
      <t>(2)</t>
    </r>
    <r>
      <rPr>
        <sz val="9"/>
        <color rgb="FF000000"/>
        <rFont val="Arial"/>
        <family val="2"/>
      </rPr>
      <t xml:space="preserve"> </t>
    </r>
    <r>
      <rPr>
        <b/>
        <u/>
        <sz val="9"/>
        <color rgb="FF000000"/>
        <rFont val="Arial"/>
        <family val="2"/>
      </rPr>
      <t>Bienes y Obras</t>
    </r>
    <r>
      <rPr>
        <sz val="9"/>
        <color rgb="FF000000"/>
        <rFont val="Arial"/>
        <family val="2"/>
      </rPr>
      <t xml:space="preserve">:  </t>
    </r>
    <r>
      <rPr>
        <b/>
        <sz val="9"/>
        <color rgb="FF000000"/>
        <rFont val="Arial"/>
        <family val="2"/>
      </rPr>
      <t>LP</t>
    </r>
    <r>
      <rPr>
        <sz val="9"/>
        <color rgb="FF000000"/>
        <rFont val="Arial"/>
        <family val="2"/>
      </rPr>
      <t xml:space="preserve">: Licitación Pública;  </t>
    </r>
    <r>
      <rPr>
        <b/>
        <sz val="9"/>
        <color rgb="FF000000"/>
        <rFont val="Arial"/>
        <family val="2"/>
      </rPr>
      <t>CP</t>
    </r>
    <r>
      <rPr>
        <sz val="9"/>
        <color rgb="FF000000"/>
        <rFont val="Arial"/>
        <family val="2"/>
      </rPr>
      <t xml:space="preserve">: Comparación de Precios;  </t>
    </r>
    <r>
      <rPr>
        <b/>
        <sz val="9"/>
        <color rgb="FF000000"/>
        <rFont val="Arial"/>
        <family val="2"/>
      </rPr>
      <t>CD</t>
    </r>
    <r>
      <rPr>
        <sz val="9"/>
        <color rgb="FF000000"/>
        <rFont val="Arial"/>
        <family val="2"/>
      </rPr>
      <t xml:space="preserve">: Contratación Directa.    </t>
    </r>
  </si>
  <si>
    <r>
      <t>(2)</t>
    </r>
    <r>
      <rPr>
        <sz val="9"/>
        <color rgb="FF000000"/>
        <rFont val="Arial"/>
        <family val="2"/>
      </rPr>
      <t xml:space="preserve"> </t>
    </r>
    <r>
      <rPr>
        <b/>
        <u/>
        <sz val="9"/>
        <color rgb="FF000000"/>
        <rFont val="Arial"/>
        <family val="2"/>
      </rPr>
      <t>Firmas de consultoria</t>
    </r>
    <r>
      <rPr>
        <sz val="9"/>
        <color rgb="FF000000"/>
        <rFont val="Arial"/>
        <family val="2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</si>
  <si>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t xml:space="preserve">(2) </t>
    </r>
    <r>
      <rPr>
        <b/>
        <u/>
        <sz val="9"/>
        <color rgb="FF000000"/>
        <rFont val="Arial"/>
        <family val="2"/>
      </rPr>
      <t>Consultores Individuales</t>
    </r>
    <r>
      <rPr>
        <sz val="9"/>
        <color rgb="FF000000"/>
        <rFont val="Arial"/>
        <family val="2"/>
      </rPr>
      <t xml:space="preserve">: </t>
    </r>
    <r>
      <rPr>
        <b/>
        <sz val="9"/>
        <color rgb="FF000000"/>
        <rFont val="Arial"/>
        <family val="2"/>
      </rPr>
      <t>CCIN</t>
    </r>
    <r>
      <rPr>
        <sz val="9"/>
        <color rgb="FF000000"/>
        <rFont val="Arial"/>
        <family val="2"/>
      </rPr>
      <t xml:space="preserve">: Selección basada en la Comparación de Calificaciones Consultor Individual ; SD: Selección Directa. </t>
    </r>
  </si>
  <si>
    <r>
      <t xml:space="preserve">(2) </t>
    </r>
    <r>
      <rPr>
        <b/>
        <u/>
        <sz val="9"/>
        <color rgb="FF000000"/>
        <rFont val="Arial"/>
        <family val="2"/>
      </rPr>
      <t>Sistema nacional</t>
    </r>
    <r>
      <rPr>
        <sz val="9"/>
        <color rgb="FF000000"/>
        <rFont val="Arial"/>
        <family val="2"/>
      </rPr>
      <t xml:space="preserve">: </t>
    </r>
    <r>
      <rPr>
        <b/>
        <sz val="9"/>
        <color rgb="FF000000"/>
        <rFont val="Arial"/>
        <family val="2"/>
      </rPr>
      <t xml:space="preserve">SN: </t>
    </r>
    <r>
      <rPr>
        <sz val="9"/>
        <color rgb="FF000000"/>
        <rFont val="Arial"/>
        <family val="2"/>
      </rPr>
      <t>Para CTNR del Sector Público cuando el sistema nacional esté aprobado para el método asociado con la adquisición.</t>
    </r>
  </si>
  <si>
    <r>
      <t>(3)</t>
    </r>
    <r>
      <rPr>
        <sz val="9"/>
        <color rgb="FF000000"/>
        <rFont val="Arial"/>
        <family val="2"/>
      </rPr>
      <t xml:space="preserve"> </t>
    </r>
    <r>
      <rPr>
        <b/>
        <u/>
        <sz val="9"/>
        <color rgb="FF000000"/>
        <rFont val="Arial"/>
        <family val="2"/>
      </rPr>
      <t xml:space="preserve"> Revisión ex-ante/ ex-post / SN</t>
    </r>
    <r>
      <rPr>
        <sz val="9"/>
        <color rgb="FF000000"/>
        <rFont val="Arial"/>
        <family val="2"/>
      </rPr>
      <t>. En general, dependiendo de la capacidad institucional y el nivel de riesgo asociados a las adquisiciones la modalidad estándar es revisión ex-post. Para procesos críticos o complejos podrá establecerse la revisión ex-ante. En casos que el sistema nacional esté aprobado para el método asociado con la adquisición, la supervisión es por sistema nacional</t>
    </r>
  </si>
  <si>
    <r>
      <t>(4)</t>
    </r>
    <r>
      <rPr>
        <sz val="9"/>
        <color rgb="FF000000"/>
        <rFont val="Arial"/>
        <family val="2"/>
      </rPr>
      <t xml:space="preserve">  </t>
    </r>
    <r>
      <rPr>
        <b/>
        <u/>
        <sz val="9"/>
        <color rgb="FF000000"/>
        <rFont val="Arial"/>
        <family val="2"/>
      </rPr>
      <t>Revisión técnica</t>
    </r>
    <r>
      <rPr>
        <sz val="9"/>
        <color rgb="FF000000"/>
        <rFont val="Arial"/>
        <family val="2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</si>
  <si>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>Gastos Generales</t>
  </si>
  <si>
    <t>Consultorías (monto en U$S):60.100</t>
  </si>
  <si>
    <t>Bienes y servicios (monto en U$S):178.292</t>
  </si>
  <si>
    <t>Plan Adq pesos</t>
  </si>
  <si>
    <t>Gastado en reembolso</t>
  </si>
  <si>
    <t xml:space="preserve">Gastado del anticipo 1 </t>
  </si>
  <si>
    <t>Saldo</t>
  </si>
  <si>
    <t>Anticipo</t>
  </si>
  <si>
    <t>Listo en sept</t>
  </si>
  <si>
    <t>Rendido al 30 de junio</t>
  </si>
  <si>
    <t xml:space="preserve">Por Rendir </t>
  </si>
  <si>
    <t>2.13</t>
  </si>
  <si>
    <t>Marketing e impresiones</t>
  </si>
  <si>
    <r>
      <t> </t>
    </r>
    <r>
      <rPr>
        <sz val="10"/>
        <color rgb="FF000000"/>
        <rFont val="Calibri"/>
        <family val="2"/>
        <scheme val="minor"/>
      </rPr>
      <t>Dólar a 654</t>
    </r>
  </si>
  <si>
    <t>Imprevistos</t>
  </si>
  <si>
    <t>Valores</t>
  </si>
  <si>
    <t>Para asignar 1.000.000 a compra de insumos (vellones)</t>
  </si>
  <si>
    <t>$2.000.000 para consultoria</t>
  </si>
  <si>
    <t>Comentario</t>
  </si>
  <si>
    <t>Presupuesto antiguo</t>
  </si>
  <si>
    <t>Presupuesto Modificado</t>
  </si>
  <si>
    <t>Diferencia</t>
  </si>
  <si>
    <t>Aumenta debido a la inclusion de un nuevo espacio en Chiloé, junto a ello se incluye la compra de vellón que se obtiene a partir de los imprevistos.</t>
  </si>
  <si>
    <t>Disminuye debido a que se contrata a un ayudante y a que esta persona se contrató mas tarde de lo presupuestado inicalmente</t>
  </si>
  <si>
    <t>Aumenta ya que no estaba considerada al comienzo</t>
  </si>
  <si>
    <t>Disminuye por diferencia de estimación</t>
  </si>
  <si>
    <t>Aumenta debido a que al comienzo del proyecto no se conocía la carga real de trabajo de mano de obra (abasteciiento y venta de lana principalemente)</t>
  </si>
  <si>
    <t>TOTAL</t>
  </si>
  <si>
    <t>Categoría de actividades</t>
  </si>
  <si>
    <t>Ppto BID vigente (LMS1)</t>
  </si>
  <si>
    <t>Variación USD</t>
  </si>
  <si>
    <t>Ppto Modificado</t>
  </si>
  <si>
    <t>Banco de lana</t>
  </si>
  <si>
    <t>Comercialización</t>
  </si>
  <si>
    <t>Gestión del Conocimiento</t>
  </si>
  <si>
    <t>Administración</t>
  </si>
  <si>
    <t>1.11</t>
  </si>
  <si>
    <t>Consultoria satisfaccion beneficiarios</t>
  </si>
  <si>
    <t>Contingencias</t>
  </si>
  <si>
    <t>Preparado por: Paula Abarca</t>
  </si>
  <si>
    <t>4.4</t>
  </si>
  <si>
    <t>Asistente Administrativo</t>
  </si>
  <si>
    <t>Se obtiene a partir del coordinador de proyecto</t>
  </si>
  <si>
    <t>Fecha: Marzo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</si>
</sst>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\ * #,##0.00_-;\-&quot;$&quot;\ * #,##0.00_-;_-&quot;$&quot;\ * &quot;-&quot;??_-;_-@_-"/>
    <numFmt numFmtId="165" formatCode="_-* #,##0.00_-;\-* #,##0.00_-;_-* &quot;-&quot;??_-;_-@_-"/>
    <numFmt numFmtId="166" formatCode="_-* #,##0_-;\-* #,##0_-;_-* &quot;-&quot;??_-;_-@_-"/>
    <numFmt numFmtId="167" formatCode="_-&quot;$&quot;\ * #,##0_-;\-&quot;$&quot;\ * #,##0_-;_-&quot;$&quot;\ * &quot;-&quot;??_-;_-@_-"/>
    <numFmt numFmtId="168" formatCode="0.0%"/>
  </numFmts>
  <fonts count="26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rgb="FFFFFFFF"/>
      <name val="Arial"/>
      <family val="2"/>
    </font>
    <font>
      <b/>
      <sz val="9"/>
      <color rgb="FF000000"/>
      <name val="Arial"/>
      <family val="2"/>
    </font>
    <font>
      <sz val="8"/>
      <color rgb="FF000000"/>
      <name val="Calibri"/>
      <family val="2"/>
      <scheme val="minor"/>
    </font>
    <font>
      <sz val="9"/>
      <color rgb="FF000000"/>
      <name val="Arial"/>
      <family val="2"/>
    </font>
    <font>
      <sz val="11"/>
      <color rgb="FF000000"/>
      <name val="Calibri"/>
      <family val="2"/>
      <scheme val="minor"/>
    </font>
    <font>
      <b/>
      <vertAlign val="superscript"/>
      <sz val="9"/>
      <color rgb="FF000000"/>
      <name val="Arial"/>
      <family val="2"/>
    </font>
    <font>
      <b/>
      <u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sz val="10"/>
      <color rgb="FF000000"/>
      <name val="Calibri"/>
      <family val="2"/>
      <scheme val="minor"/>
    </font>
    <font>
      <sz val="9"/>
      <color rgb="FFFF000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Calibri "/>
    </font>
    <font>
      <b/>
      <sz val="8"/>
      <name val="Calibri "/>
    </font>
    <font>
      <sz val="9"/>
      <color theme="1"/>
      <name val="Calibri"/>
      <family val="2"/>
      <scheme val="minor"/>
    </font>
    <font>
      <sz val="9"/>
      <color theme="1"/>
      <name val="Calibri "/>
    </font>
    <font>
      <b/>
      <sz val="9"/>
      <name val="Calibri 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Calibri "/>
    </font>
    <font>
      <sz val="10"/>
      <color theme="1"/>
      <name val="Calibri "/>
    </font>
  </fonts>
  <fills count="12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5">
    <xf numFmtId="0" fontId="0" fillId="0" borderId="0"/>
    <xf numFmtId="0" fontId="13" fillId="0" borderId="0"/>
    <xf numFmtId="165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215">
    <xf numFmtId="0" fontId="0" fillId="0" borderId="0" xfId="0"/>
    <xf numFmtId="0" fontId="0" fillId="0" borderId="0" xfId="0"/>
    <xf numFmtId="0" fontId="5" fillId="2" borderId="6" xfId="0" applyFont="1" applyFill="1" applyBorder="1" applyAlignment="1">
      <alignment vertical="center"/>
    </xf>
    <xf numFmtId="0" fontId="1" fillId="0" borderId="0" xfId="0" applyFont="1"/>
    <xf numFmtId="0" fontId="3" fillId="4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vertical="center"/>
    </xf>
    <xf numFmtId="0" fontId="1" fillId="4" borderId="1" xfId="0" applyFont="1" applyFill="1" applyBorder="1"/>
    <xf numFmtId="0" fontId="5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7" fontId="5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1" fillId="0" borderId="1" xfId="0" applyFont="1" applyBorder="1"/>
    <xf numFmtId="9" fontId="6" fillId="0" borderId="1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right" vertical="center"/>
    </xf>
    <xf numFmtId="0" fontId="5" fillId="2" borderId="5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4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9" fontId="6" fillId="4" borderId="1" xfId="0" applyNumberFormat="1" applyFont="1" applyFill="1" applyBorder="1" applyAlignment="1">
      <alignment horizontal="right" vertical="center"/>
    </xf>
    <xf numFmtId="9" fontId="5" fillId="4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right" vertical="center"/>
    </xf>
    <xf numFmtId="17" fontId="5" fillId="0" borderId="1" xfId="0" applyNumberFormat="1" applyFont="1" applyFill="1" applyBorder="1" applyAlignment="1">
      <alignment horizontal="right" vertical="center"/>
    </xf>
    <xf numFmtId="166" fontId="0" fillId="0" borderId="0" xfId="0" applyNumberFormat="1"/>
    <xf numFmtId="0" fontId="11" fillId="0" borderId="1" xfId="0" applyFont="1" applyBorder="1" applyAlignment="1">
      <alignment vertical="center"/>
    </xf>
    <xf numFmtId="17" fontId="12" fillId="0" borderId="1" xfId="0" applyNumberFormat="1" applyFont="1" applyBorder="1" applyAlignment="1">
      <alignment horizontal="right" vertical="center"/>
    </xf>
    <xf numFmtId="0" fontId="5" fillId="2" borderId="9" xfId="0" applyFont="1" applyFill="1" applyBorder="1" applyAlignment="1">
      <alignment vertical="center"/>
    </xf>
    <xf numFmtId="0" fontId="2" fillId="3" borderId="10" xfId="0" applyFont="1" applyFill="1" applyBorder="1" applyAlignment="1">
      <alignment vertical="center" wrapText="1"/>
    </xf>
    <xf numFmtId="0" fontId="2" fillId="3" borderId="11" xfId="0" applyFont="1" applyFill="1" applyBorder="1" applyAlignment="1">
      <alignment vertical="center" wrapText="1"/>
    </xf>
    <xf numFmtId="0" fontId="2" fillId="3" borderId="12" xfId="0" applyFont="1" applyFill="1" applyBorder="1" applyAlignment="1">
      <alignment vertical="center" wrapText="1"/>
    </xf>
    <xf numFmtId="0" fontId="2" fillId="3" borderId="13" xfId="0" applyFont="1" applyFill="1" applyBorder="1" applyAlignment="1">
      <alignment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vertical="center"/>
    </xf>
    <xf numFmtId="0" fontId="2" fillId="3" borderId="11" xfId="0" applyFont="1" applyFill="1" applyBorder="1" applyAlignment="1">
      <alignment vertical="center"/>
    </xf>
    <xf numFmtId="0" fontId="1" fillId="4" borderId="1" xfId="0" applyFont="1" applyFill="1" applyBorder="1" applyAlignment="1"/>
    <xf numFmtId="0" fontId="1" fillId="0" borderId="0" xfId="0" applyFont="1" applyAlignment="1"/>
    <xf numFmtId="0" fontId="3" fillId="2" borderId="6" xfId="0" applyFont="1" applyFill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3" fontId="3" fillId="5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17" fontId="5" fillId="4" borderId="1" xfId="0" applyNumberFormat="1" applyFont="1" applyFill="1" applyBorder="1" applyAlignment="1">
      <alignment horizontal="right" vertical="center"/>
    </xf>
    <xf numFmtId="2" fontId="5" fillId="0" borderId="1" xfId="0" applyNumberFormat="1" applyFont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/>
    </xf>
    <xf numFmtId="0" fontId="12" fillId="0" borderId="1" xfId="0" applyFont="1" applyBorder="1" applyAlignment="1">
      <alignment horizontal="center" vertical="center"/>
    </xf>
    <xf numFmtId="9" fontId="12" fillId="0" borderId="1" xfId="0" applyNumberFormat="1" applyFont="1" applyBorder="1" applyAlignment="1">
      <alignment horizontal="right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right" vertical="center"/>
    </xf>
    <xf numFmtId="10" fontId="5" fillId="0" borderId="1" xfId="0" applyNumberFormat="1" applyFont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0" fillId="0" borderId="0" xfId="0" applyFill="1"/>
    <xf numFmtId="10" fontId="5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/>
    </xf>
    <xf numFmtId="167" fontId="0" fillId="0" borderId="0" xfId="3" applyNumberFormat="1" applyFont="1"/>
    <xf numFmtId="167" fontId="0" fillId="6" borderId="0" xfId="3" applyNumberFormat="1" applyFont="1" applyFill="1"/>
    <xf numFmtId="167" fontId="0" fillId="0" borderId="0" xfId="0" applyNumberFormat="1"/>
    <xf numFmtId="167" fontId="0" fillId="0" borderId="1" xfId="3" applyNumberFormat="1" applyFont="1" applyBorder="1"/>
    <xf numFmtId="167" fontId="17" fillId="0" borderId="1" xfId="3" applyNumberFormat="1" applyFont="1" applyBorder="1" applyAlignment="1">
      <alignment vertical="center"/>
    </xf>
    <xf numFmtId="167" fontId="18" fillId="0" borderId="1" xfId="3" applyNumberFormat="1" applyFont="1" applyFill="1" applyBorder="1" applyAlignment="1">
      <alignment horizontal="right" vertical="center"/>
    </xf>
    <xf numFmtId="167" fontId="19" fillId="0" borderId="1" xfId="3" applyNumberFormat="1" applyFont="1" applyFill="1" applyBorder="1" applyAlignment="1">
      <alignment horizontal="right" vertical="center"/>
    </xf>
    <xf numFmtId="167" fontId="17" fillId="0" borderId="1" xfId="3" applyNumberFormat="1" applyFont="1" applyFill="1" applyBorder="1" applyAlignment="1">
      <alignment vertical="center"/>
    </xf>
    <xf numFmtId="9" fontId="0" fillId="0" borderId="0" xfId="0" applyNumberFormat="1"/>
    <xf numFmtId="9" fontId="0" fillId="0" borderId="0" xfId="4" applyFont="1"/>
    <xf numFmtId="166" fontId="0" fillId="0" borderId="0" xfId="0" applyNumberFormat="1" applyFill="1"/>
    <xf numFmtId="166" fontId="0" fillId="7" borderId="0" xfId="0" applyNumberFormat="1" applyFill="1"/>
    <xf numFmtId="9" fontId="0" fillId="0" borderId="0" xfId="0" applyNumberFormat="1" applyFill="1"/>
    <xf numFmtId="166" fontId="16" fillId="0" borderId="1" xfId="0" applyNumberFormat="1" applyFont="1" applyFill="1" applyBorder="1" applyAlignment="1">
      <alignment horizontal="right" vertical="center" wrapText="1"/>
    </xf>
    <xf numFmtId="166" fontId="0" fillId="0" borderId="1" xfId="0" applyNumberFormat="1" applyFill="1" applyBorder="1"/>
    <xf numFmtId="166" fontId="16" fillId="0" borderId="1" xfId="2" applyNumberFormat="1" applyFont="1" applyFill="1" applyBorder="1" applyAlignment="1">
      <alignment horizontal="right" vertical="center" wrapText="1"/>
    </xf>
    <xf numFmtId="166" fontId="0" fillId="0" borderId="1" xfId="0" applyNumberFormat="1" applyBorder="1"/>
    <xf numFmtId="167" fontId="0" fillId="0" borderId="1" xfId="0" applyNumberFormat="1" applyBorder="1"/>
    <xf numFmtId="0" fontId="0" fillId="0" borderId="1" xfId="0" applyBorder="1"/>
    <xf numFmtId="167" fontId="17" fillId="0" borderId="1" xfId="3" applyNumberFormat="1" applyFont="1" applyBorder="1"/>
    <xf numFmtId="3" fontId="17" fillId="0" borderId="1" xfId="0" applyNumberFormat="1" applyFont="1" applyBorder="1"/>
    <xf numFmtId="0" fontId="17" fillId="0" borderId="1" xfId="0" applyFont="1" applyBorder="1"/>
    <xf numFmtId="166" fontId="17" fillId="0" borderId="1" xfId="0" applyNumberFormat="1" applyFont="1" applyFill="1" applyBorder="1" applyAlignment="1">
      <alignment horizontal="right" vertical="center"/>
    </xf>
    <xf numFmtId="166" fontId="20" fillId="0" borderId="1" xfId="0" applyNumberFormat="1" applyFont="1" applyFill="1" applyBorder="1" applyAlignment="1">
      <alignment horizontal="right" vertical="center"/>
    </xf>
    <xf numFmtId="167" fontId="17" fillId="0" borderId="1" xfId="0" applyNumberFormat="1" applyFont="1" applyBorder="1"/>
    <xf numFmtId="0" fontId="17" fillId="0" borderId="1" xfId="0" applyFont="1" applyFill="1" applyBorder="1"/>
    <xf numFmtId="166" fontId="21" fillId="0" borderId="1" xfId="0" applyNumberFormat="1" applyFont="1" applyFill="1" applyBorder="1" applyAlignment="1">
      <alignment horizontal="right" vertical="center"/>
    </xf>
    <xf numFmtId="166" fontId="17" fillId="0" borderId="1" xfId="2" applyNumberFormat="1" applyFont="1" applyFill="1" applyBorder="1" applyAlignment="1">
      <alignment horizontal="right" vertical="center" wrapText="1"/>
    </xf>
    <xf numFmtId="167" fontId="0" fillId="6" borderId="1" xfId="3" applyNumberFormat="1" applyFont="1" applyFill="1" applyBorder="1"/>
    <xf numFmtId="167" fontId="0" fillId="6" borderId="1" xfId="0" applyNumberFormat="1" applyFill="1" applyBorder="1"/>
    <xf numFmtId="166" fontId="15" fillId="0" borderId="1" xfId="0" applyNumberFormat="1" applyFont="1" applyFill="1" applyBorder="1" applyAlignment="1">
      <alignment horizontal="right" vertical="center" wrapText="1"/>
    </xf>
    <xf numFmtId="167" fontId="0" fillId="0" borderId="1" xfId="0" applyNumberFormat="1" applyFill="1" applyBorder="1"/>
    <xf numFmtId="0" fontId="0" fillId="6" borderId="1" xfId="0" applyFill="1" applyBorder="1"/>
    <xf numFmtId="164" fontId="0" fillId="6" borderId="1" xfId="3" applyFont="1" applyFill="1" applyBorder="1"/>
    <xf numFmtId="167" fontId="17" fillId="0" borderId="14" xfId="3" applyNumberFormat="1" applyFont="1" applyBorder="1" applyAlignment="1">
      <alignment vertical="center"/>
    </xf>
    <xf numFmtId="0" fontId="17" fillId="0" borderId="14" xfId="0" applyFont="1" applyBorder="1"/>
    <xf numFmtId="3" fontId="5" fillId="4" borderId="1" xfId="0" applyNumberFormat="1" applyFont="1" applyFill="1" applyBorder="1" applyAlignment="1">
      <alignment vertical="center"/>
    </xf>
    <xf numFmtId="3" fontId="0" fillId="0" borderId="0" xfId="0" applyNumberFormat="1"/>
    <xf numFmtId="164" fontId="0" fillId="0" borderId="0" xfId="3" applyFont="1"/>
    <xf numFmtId="167" fontId="17" fillId="0" borderId="0" xfId="3" applyNumberFormat="1" applyFont="1" applyBorder="1" applyAlignment="1">
      <alignment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vertical="center" wrapText="1"/>
    </xf>
    <xf numFmtId="164" fontId="0" fillId="0" borderId="0" xfId="0" applyNumberFormat="1"/>
    <xf numFmtId="164" fontId="5" fillId="4" borderId="1" xfId="0" applyNumberFormat="1" applyFont="1" applyFill="1" applyBorder="1" applyAlignment="1">
      <alignment vertical="center"/>
    </xf>
    <xf numFmtId="164" fontId="1" fillId="4" borderId="1" xfId="0" applyNumberFormat="1" applyFont="1" applyFill="1" applyBorder="1"/>
    <xf numFmtId="9" fontId="6" fillId="0" borderId="16" xfId="0" applyNumberFormat="1" applyFont="1" applyFill="1" applyBorder="1" applyAlignment="1">
      <alignment horizontal="right" vertical="center"/>
    </xf>
    <xf numFmtId="9" fontId="5" fillId="0" borderId="16" xfId="0" applyNumberFormat="1" applyFont="1" applyFill="1" applyBorder="1" applyAlignment="1">
      <alignment horizontal="right" vertical="center"/>
    </xf>
    <xf numFmtId="167" fontId="17" fillId="0" borderId="16" xfId="3" applyNumberFormat="1" applyFont="1" applyFill="1" applyBorder="1"/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166" fontId="0" fillId="0" borderId="0" xfId="2" applyNumberFormat="1" applyFont="1"/>
    <xf numFmtId="166" fontId="0" fillId="0" borderId="0" xfId="2" applyNumberFormat="1" applyFont="1" applyFill="1"/>
    <xf numFmtId="3" fontId="3" fillId="0" borderId="1" xfId="0" applyNumberFormat="1" applyFont="1" applyBorder="1" applyAlignment="1">
      <alignment vertical="center"/>
    </xf>
    <xf numFmtId="0" fontId="0" fillId="0" borderId="0" xfId="0" applyFill="1" applyBorder="1"/>
    <xf numFmtId="0" fontId="3" fillId="0" borderId="15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3" borderId="10" xfId="0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left" vertical="center"/>
    </xf>
    <xf numFmtId="0" fontId="5" fillId="8" borderId="1" xfId="0" applyFont="1" applyFill="1" applyBorder="1" applyAlignment="1">
      <alignment vertical="center"/>
    </xf>
    <xf numFmtId="0" fontId="5" fillId="8" borderId="1" xfId="0" applyFont="1" applyFill="1" applyBorder="1" applyAlignment="1">
      <alignment vertical="center" wrapText="1"/>
    </xf>
    <xf numFmtId="3" fontId="5" fillId="8" borderId="1" xfId="0" applyNumberFormat="1" applyFont="1" applyFill="1" applyBorder="1" applyAlignment="1">
      <alignment horizontal="center" vertical="center"/>
    </xf>
    <xf numFmtId="3" fontId="5" fillId="8" borderId="1" xfId="0" applyNumberFormat="1" applyFont="1" applyFill="1" applyBorder="1" applyAlignment="1">
      <alignment horizontal="center" vertical="center" wrapText="1"/>
    </xf>
    <xf numFmtId="3" fontId="5" fillId="8" borderId="1" xfId="0" applyNumberFormat="1" applyFont="1" applyFill="1" applyBorder="1" applyAlignment="1">
      <alignment vertical="center"/>
    </xf>
    <xf numFmtId="9" fontId="5" fillId="8" borderId="1" xfId="0" applyNumberFormat="1" applyFont="1" applyFill="1" applyBorder="1" applyAlignment="1">
      <alignment horizontal="right" vertical="center"/>
    </xf>
    <xf numFmtId="167" fontId="17" fillId="8" borderId="1" xfId="3" applyNumberFormat="1" applyFont="1" applyFill="1" applyBorder="1" applyAlignment="1">
      <alignment vertical="center"/>
    </xf>
    <xf numFmtId="167" fontId="18" fillId="8" borderId="1" xfId="3" applyNumberFormat="1" applyFont="1" applyFill="1" applyBorder="1" applyAlignment="1">
      <alignment horizontal="right" vertical="center"/>
    </xf>
    <xf numFmtId="3" fontId="0" fillId="8" borderId="0" xfId="0" applyNumberFormat="1" applyFill="1" applyAlignment="1">
      <alignment vertical="center"/>
    </xf>
    <xf numFmtId="0" fontId="0" fillId="8" borderId="0" xfId="0" applyFill="1"/>
    <xf numFmtId="166" fontId="0" fillId="8" borderId="0" xfId="2" applyNumberFormat="1" applyFont="1" applyFill="1"/>
    <xf numFmtId="164" fontId="0" fillId="8" borderId="0" xfId="3" applyFont="1" applyFill="1"/>
    <xf numFmtId="164" fontId="0" fillId="8" borderId="0" xfId="0" applyNumberFormat="1" applyFill="1"/>
    <xf numFmtId="3" fontId="0" fillId="8" borderId="0" xfId="0" applyNumberFormat="1" applyFill="1"/>
    <xf numFmtId="3" fontId="3" fillId="0" borderId="0" xfId="0" applyNumberFormat="1" applyFont="1" applyBorder="1" applyAlignment="1">
      <alignment horizontal="center" vertical="center"/>
    </xf>
    <xf numFmtId="0" fontId="3" fillId="9" borderId="0" xfId="0" applyFont="1" applyFill="1" applyBorder="1" applyAlignment="1">
      <alignment horizontal="center" vertical="center"/>
    </xf>
    <xf numFmtId="3" fontId="3" fillId="9" borderId="0" xfId="0" applyNumberFormat="1" applyFont="1" applyFill="1" applyBorder="1" applyAlignment="1">
      <alignment horizontal="center" vertical="center"/>
    </xf>
    <xf numFmtId="0" fontId="3" fillId="9" borderId="0" xfId="0" applyFont="1" applyFill="1" applyBorder="1" applyAlignment="1">
      <alignment vertical="center"/>
    </xf>
    <xf numFmtId="0" fontId="22" fillId="10" borderId="17" xfId="0" applyFont="1" applyFill="1" applyBorder="1" applyAlignment="1">
      <alignment horizontal="justify" vertical="center" wrapText="1"/>
    </xf>
    <xf numFmtId="0" fontId="22" fillId="10" borderId="18" xfId="0" applyFont="1" applyFill="1" applyBorder="1" applyAlignment="1">
      <alignment horizontal="justify" vertical="center" wrapText="1"/>
    </xf>
    <xf numFmtId="0" fontId="23" fillId="0" borderId="19" xfId="0" applyFont="1" applyBorder="1" applyAlignment="1">
      <alignment vertical="center" wrapText="1"/>
    </xf>
    <xf numFmtId="165" fontId="0" fillId="0" borderId="0" xfId="2" applyNumberFormat="1" applyFont="1"/>
    <xf numFmtId="165" fontId="0" fillId="0" borderId="0" xfId="2" applyNumberFormat="1" applyFont="1" applyFill="1"/>
    <xf numFmtId="164" fontId="24" fillId="0" borderId="1" xfId="3" applyFont="1" applyFill="1" applyBorder="1" applyAlignment="1">
      <alignment horizontal="right" vertical="center"/>
    </xf>
    <xf numFmtId="164" fontId="25" fillId="0" borderId="1" xfId="3" applyFont="1" applyFill="1" applyBorder="1" applyAlignment="1">
      <alignment horizontal="right" vertical="center"/>
    </xf>
    <xf numFmtId="164" fontId="24" fillId="0" borderId="1" xfId="3" applyFont="1" applyFill="1" applyBorder="1"/>
    <xf numFmtId="164" fontId="24" fillId="11" borderId="1" xfId="3" applyFont="1" applyFill="1" applyBorder="1" applyAlignment="1">
      <alignment vertical="center"/>
    </xf>
    <xf numFmtId="4" fontId="23" fillId="0" borderId="20" xfId="0" applyNumberFormat="1" applyFont="1" applyBorder="1" applyAlignment="1">
      <alignment horizontal="center" vertical="center" wrapText="1"/>
    </xf>
    <xf numFmtId="4" fontId="22" fillId="0" borderId="20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5" fillId="0" borderId="16" xfId="0" applyFont="1" applyFill="1" applyBorder="1" applyAlignment="1">
      <alignment horizontal="right" vertical="center"/>
    </xf>
    <xf numFmtId="0" fontId="12" fillId="0" borderId="1" xfId="0" applyFont="1" applyBorder="1" applyAlignment="1">
      <alignment vertical="center"/>
    </xf>
    <xf numFmtId="2" fontId="3" fillId="5" borderId="1" xfId="0" applyNumberFormat="1" applyFont="1" applyFill="1" applyBorder="1" applyAlignment="1">
      <alignment vertical="center"/>
    </xf>
    <xf numFmtId="2" fontId="5" fillId="4" borderId="1" xfId="0" applyNumberFormat="1" applyFont="1" applyFill="1" applyBorder="1" applyAlignment="1">
      <alignment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/>
    <xf numFmtId="2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/>
    <xf numFmtId="2" fontId="3" fillId="0" borderId="1" xfId="0" applyNumberFormat="1" applyFont="1" applyBorder="1" applyAlignment="1">
      <alignment vertical="center"/>
    </xf>
    <xf numFmtId="2" fontId="0" fillId="0" borderId="0" xfId="0" applyNumberFormat="1"/>
    <xf numFmtId="2" fontId="3" fillId="2" borderId="6" xfId="0" applyNumberFormat="1" applyFont="1" applyFill="1" applyBorder="1" applyAlignment="1">
      <alignment vertical="center"/>
    </xf>
    <xf numFmtId="2" fontId="5" fillId="2" borderId="9" xfId="0" applyNumberFormat="1" applyFont="1" applyFill="1" applyBorder="1" applyAlignment="1">
      <alignment vertical="center"/>
    </xf>
    <xf numFmtId="2" fontId="2" fillId="3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vertical="center"/>
    </xf>
    <xf numFmtId="2" fontId="1" fillId="0" borderId="0" xfId="0" applyNumberFormat="1" applyFont="1"/>
    <xf numFmtId="168" fontId="0" fillId="0" borderId="0" xfId="0" applyNumberFormat="1"/>
    <xf numFmtId="168" fontId="5" fillId="2" borderId="6" xfId="0" applyNumberFormat="1" applyFont="1" applyFill="1" applyBorder="1" applyAlignment="1">
      <alignment vertical="center"/>
    </xf>
    <xf numFmtId="168" fontId="5" fillId="2" borderId="9" xfId="0" applyNumberFormat="1" applyFont="1" applyFill="1" applyBorder="1" applyAlignment="1">
      <alignment vertical="center"/>
    </xf>
    <xf numFmtId="168" fontId="2" fillId="3" borderId="1" xfId="0" applyNumberFormat="1" applyFont="1" applyFill="1" applyBorder="1" applyAlignment="1">
      <alignment horizontal="center" vertical="center" wrapText="1"/>
    </xf>
    <xf numFmtId="168" fontId="5" fillId="5" borderId="1" xfId="0" applyNumberFormat="1" applyFont="1" applyFill="1" applyBorder="1" applyAlignment="1">
      <alignment vertical="center"/>
    </xf>
    <xf numFmtId="168" fontId="5" fillId="4" borderId="1" xfId="0" applyNumberFormat="1" applyFont="1" applyFill="1" applyBorder="1" applyAlignment="1">
      <alignment vertical="center"/>
    </xf>
    <xf numFmtId="168" fontId="5" fillId="0" borderId="1" xfId="0" applyNumberFormat="1" applyFont="1" applyBorder="1" applyAlignment="1">
      <alignment horizontal="right" vertical="center"/>
    </xf>
    <xf numFmtId="168" fontId="1" fillId="4" borderId="1" xfId="0" applyNumberFormat="1" applyFont="1" applyFill="1" applyBorder="1"/>
    <xf numFmtId="168" fontId="6" fillId="4" borderId="1" xfId="0" applyNumberFormat="1" applyFont="1" applyFill="1" applyBorder="1" applyAlignment="1">
      <alignment horizontal="right" vertical="center"/>
    </xf>
    <xf numFmtId="168" fontId="5" fillId="0" borderId="1" xfId="0" applyNumberFormat="1" applyFont="1" applyBorder="1" applyAlignment="1">
      <alignment vertical="center"/>
    </xf>
    <xf numFmtId="168" fontId="1" fillId="0" borderId="0" xfId="0" applyNumberFormat="1" applyFont="1"/>
    <xf numFmtId="168" fontId="5" fillId="4" borderId="1" xfId="0" applyNumberFormat="1" applyFont="1" applyFill="1" applyBorder="1" applyAlignment="1">
      <alignment horizontal="right" vertical="center"/>
    </xf>
    <xf numFmtId="166" fontId="3" fillId="0" borderId="1" xfId="2" applyNumberFormat="1" applyFont="1" applyBorder="1" applyAlignment="1">
      <alignment vertical="center"/>
    </xf>
    <xf numFmtId="2" fontId="5" fillId="0" borderId="1" xfId="0" applyNumberFormat="1" applyFont="1" applyFill="1" applyBorder="1" applyAlignment="1">
      <alignment vertical="center"/>
    </xf>
    <xf numFmtId="168" fontId="5" fillId="0" borderId="1" xfId="0" applyNumberFormat="1" applyFont="1" applyFill="1" applyBorder="1" applyAlignment="1">
      <alignment horizontal="right" vertical="center"/>
    </xf>
    <xf numFmtId="2" fontId="0" fillId="0" borderId="0" xfId="0" applyNumberFormat="1" applyFill="1"/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1" fillId="0" borderId="1" xfId="0" applyFont="1" applyFill="1" applyBorder="1" applyAlignment="1">
      <alignment horizontal="center"/>
    </xf>
    <xf numFmtId="166" fontId="5" fillId="0" borderId="1" xfId="2" applyNumberFormat="1" applyFont="1" applyFill="1" applyBorder="1" applyAlignment="1">
      <alignment horizontal="center" vertical="center"/>
    </xf>
  </cellXfs>
  <cellStyles count="5">
    <cellStyle name="Comma" xfId="2" builtinId="3"/>
    <cellStyle name="Currency" xfId="3" builtinId="4"/>
    <cellStyle name="Normal" xfId="0" builtinId="0"/>
    <cellStyle name="Normal 3" xfId="1" xr:uid="{00000000-0005-0000-0000-000003000000}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rascoc/AppData/Local/Microsoft/Windows/INetCache/Content.Outlook/MCMO0CXO/ppto%20BID%20con%20plan%20adq%20mod.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rascoc/AppData/Local/Microsoft/Windows/INetCache/Content.Outlook/MCMO0CXO/Mod%20plann%20Adq%20BI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to_post mod (2)"/>
      <sheetName val="ppto_antes mod"/>
      <sheetName val="Hoja3"/>
      <sheetName val="Hoja4"/>
      <sheetName val="cuadre"/>
      <sheetName val="Hoja5"/>
      <sheetName val="PRESU ORIGINAL"/>
      <sheetName val="plan de adq"/>
      <sheetName val="consolidado"/>
      <sheetName val="Hoja2"/>
      <sheetName val="mayor"/>
      <sheetName val="Hoja1"/>
    </sheetNames>
    <sheetDataSet>
      <sheetData sheetId="0">
        <row r="7">
          <cell r="AU7">
            <v>3698940</v>
          </cell>
        </row>
        <row r="10">
          <cell r="AU10">
            <v>9910899</v>
          </cell>
        </row>
        <row r="11">
          <cell r="AU11">
            <v>4511400</v>
          </cell>
        </row>
        <row r="12">
          <cell r="AU12">
            <v>0</v>
          </cell>
        </row>
        <row r="14">
          <cell r="AU14">
            <v>0</v>
          </cell>
        </row>
        <row r="15">
          <cell r="AU15">
            <v>5436405</v>
          </cell>
        </row>
        <row r="16">
          <cell r="AU16">
            <v>1841596.84</v>
          </cell>
        </row>
        <row r="17">
          <cell r="AU17">
            <v>6662895</v>
          </cell>
        </row>
        <row r="18">
          <cell r="AU18">
            <v>756161</v>
          </cell>
        </row>
        <row r="19">
          <cell r="AU19">
            <v>0</v>
          </cell>
        </row>
        <row r="20">
          <cell r="AU20">
            <v>2000000</v>
          </cell>
        </row>
        <row r="21">
          <cell r="AU21">
            <v>34818296.840000004</v>
          </cell>
        </row>
        <row r="24">
          <cell r="AU24">
            <v>99200</v>
          </cell>
        </row>
        <row r="25">
          <cell r="AU25">
            <v>7065585</v>
          </cell>
        </row>
        <row r="26">
          <cell r="AU26">
            <v>0</v>
          </cell>
        </row>
        <row r="27">
          <cell r="AU27">
            <v>8912546</v>
          </cell>
        </row>
        <row r="28">
          <cell r="AU28">
            <v>6617983</v>
          </cell>
        </row>
        <row r="29">
          <cell r="AU29">
            <v>1715395</v>
          </cell>
        </row>
        <row r="30">
          <cell r="AU30">
            <v>1850295</v>
          </cell>
        </row>
        <row r="31">
          <cell r="AU31">
            <v>1406461</v>
          </cell>
        </row>
        <row r="32">
          <cell r="AU32">
            <v>3279101</v>
          </cell>
        </row>
        <row r="33">
          <cell r="AU33">
            <v>1179388</v>
          </cell>
        </row>
        <row r="35">
          <cell r="AU35">
            <v>2559426</v>
          </cell>
        </row>
        <row r="36">
          <cell r="AU36">
            <v>1140615</v>
          </cell>
        </row>
        <row r="37">
          <cell r="AU37">
            <v>11948705</v>
          </cell>
        </row>
        <row r="40">
          <cell r="AU40">
            <v>502926</v>
          </cell>
        </row>
        <row r="41">
          <cell r="AU41">
            <v>2012358</v>
          </cell>
        </row>
        <row r="44">
          <cell r="AU44">
            <v>6410760</v>
          </cell>
        </row>
        <row r="45">
          <cell r="AU45">
            <v>1022701</v>
          </cell>
        </row>
        <row r="46">
          <cell r="AU46">
            <v>2720000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  <sheetName val="Hoja3"/>
    </sheetNames>
    <sheetDataSet>
      <sheetData sheetId="0">
        <row r="10">
          <cell r="H10">
            <v>46884.24</v>
          </cell>
        </row>
        <row r="24">
          <cell r="H24">
            <v>73050</v>
          </cell>
        </row>
        <row r="40">
          <cell r="H40">
            <v>3846</v>
          </cell>
        </row>
        <row r="44">
          <cell r="H44">
            <v>17293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Z85"/>
  <sheetViews>
    <sheetView topLeftCell="A29" workbookViewId="0">
      <selection activeCell="O40" sqref="O40"/>
    </sheetView>
  </sheetViews>
  <sheetFormatPr defaultColWidth="11.42578125" defaultRowHeight="15"/>
  <cols>
    <col min="1" max="1" width="11.42578125" style="1"/>
    <col min="2" max="2" width="11.42578125" style="1" customWidth="1"/>
    <col min="3" max="3" width="14.5703125" style="1" hidden="1" customWidth="1"/>
    <col min="4" max="4" width="36.42578125" style="1" customWidth="1"/>
    <col min="5" max="5" width="21.5703125" style="1" customWidth="1"/>
    <col min="6" max="6" width="11.42578125" style="1"/>
    <col min="7" max="7" width="14.42578125" style="1" customWidth="1"/>
    <col min="8" max="9" width="11.42578125" style="1" customWidth="1"/>
    <col min="10" max="10" width="16.85546875" style="1" hidden="1" customWidth="1"/>
    <col min="11" max="11" width="18.5703125" style="1" hidden="1" customWidth="1"/>
    <col min="12" max="13" width="14.5703125" style="1" hidden="1" customWidth="1"/>
    <col min="14" max="14" width="15.5703125" style="1" hidden="1" customWidth="1"/>
    <col min="15" max="15" width="11.42578125" style="1"/>
    <col min="16" max="16" width="12" style="1" hidden="1" customWidth="1"/>
    <col min="17" max="17" width="15.5703125" style="1" hidden="1" customWidth="1"/>
    <col min="18" max="18" width="14.5703125" style="1" hidden="1" customWidth="1"/>
    <col min="19" max="19" width="0" style="1" hidden="1" customWidth="1"/>
    <col min="20" max="20" width="14.140625" style="1" hidden="1" customWidth="1"/>
    <col min="21" max="21" width="15.5703125" style="102" hidden="1" customWidth="1"/>
    <col min="22" max="22" width="12" style="1" hidden="1" customWidth="1"/>
    <col min="23" max="23" width="0" style="1" hidden="1" customWidth="1"/>
    <col min="24" max="24" width="11.42578125" style="1" customWidth="1"/>
    <col min="25" max="16384" width="11.42578125" style="1"/>
  </cols>
  <sheetData>
    <row r="1" spans="2:24" ht="15.75" thickBot="1"/>
    <row r="2" spans="2:24" ht="15.75" thickBot="1">
      <c r="B2" s="203" t="s">
        <v>0</v>
      </c>
      <c r="C2" s="204"/>
      <c r="D2" s="204"/>
      <c r="E2" s="204"/>
      <c r="F2" s="204"/>
      <c r="G2" s="204"/>
      <c r="H2" s="204"/>
      <c r="I2" s="204"/>
    </row>
    <row r="3" spans="2:24" ht="15.75" customHeight="1" thickBot="1">
      <c r="B3" s="205" t="s">
        <v>1</v>
      </c>
      <c r="C3" s="206"/>
      <c r="D3" s="206"/>
      <c r="E3" s="206"/>
      <c r="F3" s="206"/>
      <c r="G3" s="207"/>
      <c r="H3" s="207"/>
      <c r="I3" s="207"/>
    </row>
    <row r="4" spans="2:24" ht="15.75" thickBot="1">
      <c r="B4" s="205" t="s">
        <v>4</v>
      </c>
      <c r="C4" s="206"/>
      <c r="D4" s="206"/>
      <c r="E4" s="206"/>
      <c r="F4" s="206"/>
      <c r="G4" s="206"/>
      <c r="H4" s="206"/>
      <c r="I4" s="206"/>
    </row>
    <row r="5" spans="2:24" ht="15.75" thickBot="1">
      <c r="B5" s="198" t="s">
        <v>6</v>
      </c>
      <c r="C5" s="199"/>
      <c r="D5" s="199"/>
      <c r="E5" s="199"/>
      <c r="F5" s="199"/>
      <c r="G5" s="199"/>
      <c r="H5" s="199"/>
      <c r="I5" s="199"/>
    </row>
    <row r="6" spans="2:24" ht="15.75" thickBot="1">
      <c r="B6" s="198" t="s">
        <v>7</v>
      </c>
      <c r="C6" s="199"/>
      <c r="D6" s="200"/>
      <c r="E6" s="113"/>
      <c r="F6" s="112" t="s">
        <v>89</v>
      </c>
      <c r="G6" s="42"/>
      <c r="H6" s="2"/>
      <c r="I6" s="112" t="s">
        <v>88</v>
      </c>
    </row>
    <row r="7" spans="2:24" ht="15.75" thickBot="1">
      <c r="B7" s="16"/>
      <c r="C7" s="31"/>
      <c r="D7" s="31"/>
      <c r="E7" s="31"/>
      <c r="F7" s="31"/>
      <c r="G7" s="31"/>
      <c r="H7" s="31"/>
      <c r="I7" s="31"/>
    </row>
    <row r="8" spans="2:24" ht="15.75" thickBot="1">
      <c r="G8" s="114"/>
      <c r="H8" s="201" t="s">
        <v>14</v>
      </c>
      <c r="I8" s="201"/>
      <c r="L8" s="1" t="s">
        <v>92</v>
      </c>
    </row>
    <row r="9" spans="2:24" ht="24">
      <c r="B9" s="34" t="s">
        <v>8</v>
      </c>
      <c r="C9" s="32" t="s">
        <v>9</v>
      </c>
      <c r="D9" s="114" t="s">
        <v>10</v>
      </c>
      <c r="E9" s="124" t="s">
        <v>106</v>
      </c>
      <c r="F9" s="32" t="s">
        <v>107</v>
      </c>
      <c r="G9" s="114" t="s">
        <v>18</v>
      </c>
      <c r="H9" s="114" t="s">
        <v>19</v>
      </c>
      <c r="I9" s="114" t="s">
        <v>20</v>
      </c>
      <c r="J9" s="1" t="s">
        <v>90</v>
      </c>
      <c r="K9" s="1" t="s">
        <v>91</v>
      </c>
      <c r="L9" s="1" t="s">
        <v>96</v>
      </c>
      <c r="M9" s="1" t="s">
        <v>97</v>
      </c>
      <c r="N9" s="1" t="s">
        <v>93</v>
      </c>
      <c r="O9" s="119" t="s">
        <v>108</v>
      </c>
      <c r="X9" s="1" t="s">
        <v>105</v>
      </c>
    </row>
    <row r="10" spans="2:24">
      <c r="B10" s="50">
        <v>1</v>
      </c>
      <c r="C10" s="21"/>
      <c r="D10" s="21" t="s">
        <v>21</v>
      </c>
      <c r="E10" s="44">
        <f>E12+E13+E15+E16+E17+E19+E20+E21+E22+E23+E24</f>
        <v>114274</v>
      </c>
      <c r="F10" s="44">
        <f>F12+F13+F15+F16+F17+F19+F20+F21+F22+F23+F24</f>
        <v>117570.64201834862</v>
      </c>
      <c r="G10" s="44">
        <f>G12+G13+G15+G16+G17+G19+G20+G21+G22+G23+G24</f>
        <v>53238.985993883791</v>
      </c>
      <c r="H10" s="22"/>
      <c r="I10" s="22"/>
      <c r="J10" s="92">
        <f>G10*654</f>
        <v>34818296.839999996</v>
      </c>
      <c r="K10" s="96">
        <f>SUM(K11:K23)</f>
        <v>2869608</v>
      </c>
      <c r="L10" s="96">
        <f t="shared" ref="L10:N10" si="0">SUM(L11:L23)</f>
        <v>5240813</v>
      </c>
      <c r="M10" s="96" t="e">
        <f t="shared" si="0"/>
        <v>#REF!</v>
      </c>
      <c r="N10" s="97" t="e">
        <f t="shared" si="0"/>
        <v>#REF!</v>
      </c>
      <c r="O10" s="101"/>
      <c r="P10" s="1" t="s">
        <v>94</v>
      </c>
      <c r="R10" s="72">
        <v>0.8</v>
      </c>
    </row>
    <row r="11" spans="2:24">
      <c r="B11" s="49"/>
      <c r="C11" s="4"/>
      <c r="D11" s="4" t="s">
        <v>22</v>
      </c>
      <c r="E11" s="100">
        <f>SUM(E12+E13)</f>
        <v>8980</v>
      </c>
      <c r="F11" s="100">
        <f>SUM(F12+F13)</f>
        <v>11869.871559633028</v>
      </c>
      <c r="G11" s="100">
        <f>SUM(G12+G13)</f>
        <v>5655.8715596330276</v>
      </c>
      <c r="H11" s="5"/>
      <c r="I11" s="5"/>
      <c r="O11" s="101"/>
      <c r="P11" s="67">
        <v>18454</v>
      </c>
      <c r="Q11" s="67">
        <f>P11*654</f>
        <v>12068916</v>
      </c>
      <c r="R11" s="81">
        <f>Q11*0.8</f>
        <v>9655132.8000000007</v>
      </c>
      <c r="T11" s="1" t="s">
        <v>102</v>
      </c>
    </row>
    <row r="12" spans="2:24" ht="36">
      <c r="B12" s="18" t="s">
        <v>23</v>
      </c>
      <c r="C12" s="10"/>
      <c r="D12" s="7" t="s">
        <v>24</v>
      </c>
      <c r="E12" s="54">
        <v>3834</v>
      </c>
      <c r="F12" s="54">
        <f>Hoja1!E12</f>
        <v>6723.8715596330276</v>
      </c>
      <c r="G12" s="43">
        <f>Hoja1!H12</f>
        <v>5655.8715596330276</v>
      </c>
      <c r="H12" s="56">
        <f>G12/F12</f>
        <v>0.84116293856477398</v>
      </c>
      <c r="I12" s="55">
        <f>1-H12</f>
        <v>0.15883706143522602</v>
      </c>
      <c r="J12" s="68">
        <f t="shared" ref="J12:J23" si="1">G12*654</f>
        <v>3698940</v>
      </c>
      <c r="K12" s="69">
        <v>495196</v>
      </c>
      <c r="L12" s="68">
        <v>988205</v>
      </c>
      <c r="M12" s="70">
        <v>200000</v>
      </c>
      <c r="N12" s="68">
        <f>J12-K12-L12-M12</f>
        <v>2015539</v>
      </c>
      <c r="O12" s="101">
        <f>F12-E12</f>
        <v>2889.8715596330276</v>
      </c>
      <c r="R12" s="66">
        <f>R11-L10</f>
        <v>4414319.8000000007</v>
      </c>
      <c r="S12" s="1" t="s">
        <v>95</v>
      </c>
      <c r="T12" s="116">
        <v>4126.8195718654433</v>
      </c>
      <c r="U12" s="102">
        <f>'[1]ppto_post mod (2)'!$AU$7</f>
        <v>3698940</v>
      </c>
      <c r="V12" s="106">
        <f>U12/654</f>
        <v>5655.8715596330276</v>
      </c>
      <c r="W12" s="1">
        <v>1068</v>
      </c>
      <c r="X12" s="1" t="s">
        <v>109</v>
      </c>
    </row>
    <row r="13" spans="2:24">
      <c r="B13" s="18" t="s">
        <v>27</v>
      </c>
      <c r="C13" s="10"/>
      <c r="D13" s="7" t="s">
        <v>28</v>
      </c>
      <c r="E13" s="8">
        <v>5146</v>
      </c>
      <c r="F13" s="54">
        <f>Hoja1!E13</f>
        <v>5146</v>
      </c>
      <c r="G13" s="43">
        <f>Hoja1!H13</f>
        <v>0</v>
      </c>
      <c r="H13" s="55">
        <v>0</v>
      </c>
      <c r="I13" s="55">
        <v>1</v>
      </c>
      <c r="J13" s="68">
        <f t="shared" si="1"/>
        <v>0</v>
      </c>
      <c r="K13" s="71"/>
      <c r="L13" s="68"/>
      <c r="M13" s="68"/>
      <c r="N13" s="68"/>
      <c r="O13" s="101">
        <f t="shared" ref="O13:O50" si="2">F13-E13</f>
        <v>0</v>
      </c>
      <c r="T13" s="116">
        <v>0</v>
      </c>
      <c r="V13" s="106">
        <f t="shared" ref="V13:V48" si="3">U13/654</f>
        <v>0</v>
      </c>
      <c r="W13" s="1">
        <v>5146</v>
      </c>
    </row>
    <row r="14" spans="2:24">
      <c r="B14" s="48"/>
      <c r="C14" s="5"/>
      <c r="D14" s="4" t="s">
        <v>30</v>
      </c>
      <c r="E14" s="100">
        <f t="shared" ref="E14:F14" si="4">SUM(E15:E17)</f>
        <v>64175</v>
      </c>
      <c r="F14" s="100">
        <f t="shared" si="4"/>
        <v>65228.204954128436</v>
      </c>
      <c r="G14" s="100">
        <f>SUM(G15:G17)</f>
        <v>22052.444954128441</v>
      </c>
      <c r="H14" s="5"/>
      <c r="I14" s="5"/>
      <c r="J14" s="68">
        <f t="shared" si="1"/>
        <v>14422299</v>
      </c>
      <c r="K14" s="71"/>
      <c r="L14" s="68"/>
      <c r="M14" s="68"/>
      <c r="N14" s="68"/>
      <c r="O14" s="101"/>
      <c r="T14" s="116">
        <v>0</v>
      </c>
      <c r="V14" s="106">
        <f t="shared" si="3"/>
        <v>0</v>
      </c>
      <c r="W14" s="1">
        <v>0</v>
      </c>
    </row>
    <row r="15" spans="2:24" s="139" customFormat="1" ht="36">
      <c r="B15" s="129" t="s">
        <v>31</v>
      </c>
      <c r="C15" s="130"/>
      <c r="D15" s="131" t="s">
        <v>32</v>
      </c>
      <c r="E15" s="132">
        <v>14735</v>
      </c>
      <c r="F15" s="133">
        <f>Hoja1!E15</f>
        <v>18946.039816513759</v>
      </c>
      <c r="G15" s="134">
        <f>Hoja1!H15</f>
        <v>15154.279816513761</v>
      </c>
      <c r="H15" s="135">
        <f>G15/F15</f>
        <v>0.79986529972902187</v>
      </c>
      <c r="I15" s="135">
        <f>1-H15</f>
        <v>0.20013470027097813</v>
      </c>
      <c r="J15" s="136">
        <f t="shared" si="1"/>
        <v>9910899</v>
      </c>
      <c r="K15" s="137">
        <v>444742</v>
      </c>
      <c r="L15" s="136">
        <v>1234868</v>
      </c>
      <c r="M15" s="136" t="e">
        <f>SUM(#REF!)</f>
        <v>#REF!</v>
      </c>
      <c r="N15" s="136" t="e">
        <f>J15-K15-L15-M15</f>
        <v>#REF!</v>
      </c>
      <c r="O15" s="138">
        <f t="shared" si="2"/>
        <v>4211.0398165137594</v>
      </c>
      <c r="T15" s="140">
        <v>15154.279816513761</v>
      </c>
      <c r="U15" s="141">
        <f>'[1]ppto_post mod (2)'!$AU10</f>
        <v>9910899</v>
      </c>
      <c r="V15" s="142">
        <f t="shared" si="3"/>
        <v>15154.279816513761</v>
      </c>
      <c r="W15" s="139">
        <v>3791.76</v>
      </c>
    </row>
    <row r="16" spans="2:24" s="139" customFormat="1" ht="24">
      <c r="B16" s="129" t="s">
        <v>33</v>
      </c>
      <c r="C16" s="130"/>
      <c r="D16" s="131" t="s">
        <v>34</v>
      </c>
      <c r="E16" s="132">
        <v>18671</v>
      </c>
      <c r="F16" s="133">
        <f>Hoja1!E16</f>
        <v>15513.16513761468</v>
      </c>
      <c r="G16" s="134">
        <f>Hoja1!H16</f>
        <v>6898.1651376146792</v>
      </c>
      <c r="H16" s="135">
        <f>G16/F16</f>
        <v>0.44466522959191213</v>
      </c>
      <c r="I16" s="135">
        <f>1-H16</f>
        <v>0.55533477040808787</v>
      </c>
      <c r="J16" s="136">
        <f t="shared" si="1"/>
        <v>4511400</v>
      </c>
      <c r="K16" s="137">
        <v>1145800</v>
      </c>
      <c r="L16" s="136">
        <v>450000</v>
      </c>
      <c r="M16" s="136" t="e">
        <f>SUM(#REF!)</f>
        <v>#REF!</v>
      </c>
      <c r="N16" s="136" t="e">
        <f>J16-K16-L16-M16</f>
        <v>#REF!</v>
      </c>
      <c r="O16" s="143">
        <f t="shared" si="2"/>
        <v>-3157.8348623853199</v>
      </c>
      <c r="T16" s="140">
        <v>6898.1651376146792</v>
      </c>
      <c r="U16" s="141">
        <f>'[1]ppto_post mod (2)'!$AU11</f>
        <v>4511400</v>
      </c>
      <c r="V16" s="142">
        <f t="shared" si="3"/>
        <v>6898.1651376146792</v>
      </c>
      <c r="W16" s="139">
        <v>8615</v>
      </c>
    </row>
    <row r="17" spans="2:24">
      <c r="B17" s="18" t="s">
        <v>35</v>
      </c>
      <c r="C17" s="10"/>
      <c r="D17" s="7" t="s">
        <v>36</v>
      </c>
      <c r="E17" s="8">
        <v>30769</v>
      </c>
      <c r="F17" s="54">
        <f>Hoja1!E17</f>
        <v>30769</v>
      </c>
      <c r="G17" s="43">
        <f>Hoja1!H17</f>
        <v>0</v>
      </c>
      <c r="H17" s="55">
        <v>0</v>
      </c>
      <c r="I17" s="55">
        <v>1</v>
      </c>
      <c r="J17" s="68">
        <f t="shared" si="1"/>
        <v>0</v>
      </c>
      <c r="K17" s="71"/>
      <c r="L17" s="68"/>
      <c r="M17" s="68"/>
      <c r="N17" s="68"/>
      <c r="O17" s="101">
        <f t="shared" si="2"/>
        <v>0</v>
      </c>
      <c r="T17" s="116">
        <v>0</v>
      </c>
      <c r="U17" s="102">
        <f>'[1]ppto_post mod (2)'!$AU12</f>
        <v>0</v>
      </c>
      <c r="V17" s="106">
        <f t="shared" si="3"/>
        <v>0</v>
      </c>
      <c r="W17" s="1">
        <v>30769</v>
      </c>
    </row>
    <row r="18" spans="2:24">
      <c r="B18" s="48"/>
      <c r="C18" s="5"/>
      <c r="D18" s="20" t="s">
        <v>37</v>
      </c>
      <c r="E18" s="107">
        <f t="shared" ref="E18:F18" si="5">SUM(E19:E24)</f>
        <v>41119</v>
      </c>
      <c r="F18" s="107">
        <f t="shared" si="5"/>
        <v>40472.565504587154</v>
      </c>
      <c r="G18" s="107">
        <f>SUM(G19:G24)</f>
        <v>25530.669480122324</v>
      </c>
      <c r="H18" s="5"/>
      <c r="I18" s="5"/>
      <c r="J18" s="68">
        <f t="shared" si="1"/>
        <v>16697057.84</v>
      </c>
      <c r="K18" s="71"/>
      <c r="L18" s="68"/>
      <c r="M18" s="68"/>
      <c r="N18" s="68"/>
      <c r="O18" s="101">
        <f t="shared" si="2"/>
        <v>-646.43449541284645</v>
      </c>
      <c r="T18" s="116">
        <v>0</v>
      </c>
      <c r="V18" s="106">
        <f t="shared" si="3"/>
        <v>0</v>
      </c>
      <c r="W18" s="1">
        <v>0</v>
      </c>
    </row>
    <row r="19" spans="2:24">
      <c r="B19" s="18" t="s">
        <v>38</v>
      </c>
      <c r="C19" s="10"/>
      <c r="D19" s="7" t="s">
        <v>39</v>
      </c>
      <c r="E19" s="8">
        <v>14769</v>
      </c>
      <c r="F19" s="54">
        <f>Hoja1!E19</f>
        <v>14769</v>
      </c>
      <c r="G19" s="43">
        <f>Hoja1!H19</f>
        <v>0</v>
      </c>
      <c r="H19" s="55">
        <v>0</v>
      </c>
      <c r="I19" s="55">
        <v>1</v>
      </c>
      <c r="J19" s="68">
        <f t="shared" si="1"/>
        <v>0</v>
      </c>
      <c r="K19" s="71"/>
      <c r="L19" s="68"/>
      <c r="M19" s="68"/>
      <c r="N19" s="68"/>
      <c r="O19" s="101">
        <f t="shared" si="2"/>
        <v>0</v>
      </c>
      <c r="T19" s="116">
        <v>0</v>
      </c>
      <c r="U19" s="102">
        <f>'[1]ppto_post mod (2)'!$AU14</f>
        <v>0</v>
      </c>
      <c r="V19" s="106">
        <f t="shared" si="3"/>
        <v>0</v>
      </c>
      <c r="W19" s="1">
        <v>14769</v>
      </c>
    </row>
    <row r="20" spans="2:24">
      <c r="B20" s="18">
        <v>1.7</v>
      </c>
      <c r="C20" s="10"/>
      <c r="D20" s="7" t="s">
        <v>40</v>
      </c>
      <c r="E20" s="125">
        <v>10563</v>
      </c>
      <c r="F20" s="54">
        <f>Hoja1!E20</f>
        <v>8312.5458715596324</v>
      </c>
      <c r="G20" s="43">
        <f>Hoja1!H20</f>
        <v>8312.5458715596324</v>
      </c>
      <c r="H20" s="53">
        <f>G20/F20</f>
        <v>1</v>
      </c>
      <c r="I20" s="53">
        <v>0</v>
      </c>
      <c r="J20" s="68">
        <f t="shared" si="1"/>
        <v>5436405</v>
      </c>
      <c r="K20" s="71"/>
      <c r="L20" s="68">
        <v>1000000</v>
      </c>
      <c r="M20" s="68" t="e">
        <f>SUM(#REF!)</f>
        <v>#REF!</v>
      </c>
      <c r="N20" s="68" t="e">
        <f>J20-K20-L20-M20</f>
        <v>#REF!</v>
      </c>
      <c r="O20" s="101">
        <f t="shared" si="2"/>
        <v>-2250.4541284403676</v>
      </c>
      <c r="T20" s="116">
        <v>8312.5458715596324</v>
      </c>
      <c r="U20" s="102">
        <f>'[1]ppto_post mod (2)'!$AU15</f>
        <v>5436405</v>
      </c>
      <c r="V20" s="106">
        <f t="shared" si="3"/>
        <v>8312.5458715596324</v>
      </c>
      <c r="W20" s="1">
        <v>0</v>
      </c>
      <c r="X20" s="1" t="s">
        <v>110</v>
      </c>
    </row>
    <row r="21" spans="2:24">
      <c r="B21" s="18">
        <v>1.8</v>
      </c>
      <c r="C21" s="10"/>
      <c r="D21" s="7" t="s">
        <v>42</v>
      </c>
      <c r="E21" s="126">
        <v>1800</v>
      </c>
      <c r="F21" s="54">
        <f>Hoja1!E21</f>
        <v>2815.8973088685016</v>
      </c>
      <c r="G21" s="43">
        <f>Hoja1!H21</f>
        <v>2815.8973088685016</v>
      </c>
      <c r="H21" s="53">
        <v>1</v>
      </c>
      <c r="I21" s="53">
        <v>0</v>
      </c>
      <c r="J21" s="68">
        <f t="shared" si="1"/>
        <v>1841596.84</v>
      </c>
      <c r="K21" s="71"/>
      <c r="L21" s="68">
        <v>0</v>
      </c>
      <c r="M21" s="68" t="e">
        <f>SUM(#REF!)</f>
        <v>#REF!</v>
      </c>
      <c r="N21" s="68" t="e">
        <f t="shared" ref="N21:N22" si="6">J21-K21-L21-M21</f>
        <v>#REF!</v>
      </c>
      <c r="O21" s="101">
        <f t="shared" si="2"/>
        <v>1015.8973088685016</v>
      </c>
      <c r="T21" s="116">
        <v>2815.8973088685016</v>
      </c>
      <c r="U21" s="102">
        <f>'[1]ppto_post mod (2)'!$AU16</f>
        <v>1841596.84</v>
      </c>
      <c r="V21" s="106">
        <f t="shared" si="3"/>
        <v>2815.8973088685016</v>
      </c>
      <c r="W21" s="1">
        <v>0</v>
      </c>
      <c r="X21" s="1" t="s">
        <v>111</v>
      </c>
    </row>
    <row r="22" spans="2:24">
      <c r="B22" s="18">
        <v>1.9</v>
      </c>
      <c r="C22" s="10"/>
      <c r="D22" s="7" t="s">
        <v>43</v>
      </c>
      <c r="E22" s="36">
        <v>10756</v>
      </c>
      <c r="F22" s="54">
        <f>Hoja1!E22</f>
        <v>10187.912844036697</v>
      </c>
      <c r="G22" s="43">
        <f>Hoja1!H22</f>
        <v>10187.912844036697</v>
      </c>
      <c r="H22" s="55">
        <v>1</v>
      </c>
      <c r="I22" s="55">
        <v>0</v>
      </c>
      <c r="J22" s="68">
        <f t="shared" si="1"/>
        <v>6662895</v>
      </c>
      <c r="K22" s="69">
        <v>783870</v>
      </c>
      <c r="L22" s="68">
        <v>1567740</v>
      </c>
      <c r="M22" s="98" t="e">
        <f>SUM(#REF!)</f>
        <v>#REF!</v>
      </c>
      <c r="N22" s="68" t="e">
        <f t="shared" si="6"/>
        <v>#REF!</v>
      </c>
      <c r="O22" s="101">
        <f t="shared" si="2"/>
        <v>-568.0871559633033</v>
      </c>
      <c r="T22" s="116">
        <v>10187.912844036697</v>
      </c>
      <c r="U22" s="102">
        <f>'[1]ppto_post mod (2)'!$AU17</f>
        <v>6662895</v>
      </c>
      <c r="V22" s="106">
        <f t="shared" si="3"/>
        <v>10187.912844036697</v>
      </c>
      <c r="W22" s="1">
        <v>0</v>
      </c>
      <c r="X22" s="1" t="s">
        <v>112</v>
      </c>
    </row>
    <row r="23" spans="2:24">
      <c r="B23" s="47">
        <v>1.1000000000000001</v>
      </c>
      <c r="C23" s="10"/>
      <c r="D23" s="7" t="s">
        <v>45</v>
      </c>
      <c r="E23" s="8">
        <v>3231</v>
      </c>
      <c r="F23" s="54">
        <f>Hoja1!E23</f>
        <v>4387.2094801223238</v>
      </c>
      <c r="G23" s="43">
        <f>Hoja1!H23</f>
        <v>1156.2094801223241</v>
      </c>
      <c r="H23" s="55">
        <v>0</v>
      </c>
      <c r="I23" s="55">
        <v>1</v>
      </c>
      <c r="J23" s="68">
        <f t="shared" si="1"/>
        <v>756160.99999999988</v>
      </c>
      <c r="K23" s="68"/>
      <c r="L23" s="68"/>
      <c r="M23" s="98"/>
      <c r="N23" s="68"/>
      <c r="O23" s="101">
        <f t="shared" si="2"/>
        <v>1156.2094801223238</v>
      </c>
      <c r="T23" s="116">
        <v>1156.2094801223241</v>
      </c>
      <c r="U23" s="102">
        <f>'[1]ppto_post mod (2)'!$AU18</f>
        <v>756161</v>
      </c>
      <c r="V23" s="106">
        <f t="shared" si="3"/>
        <v>1156.2094801223241</v>
      </c>
      <c r="W23" s="1">
        <v>3231</v>
      </c>
      <c r="X23" s="1" t="s">
        <v>113</v>
      </c>
    </row>
    <row r="24" spans="2:24">
      <c r="B24" s="47"/>
      <c r="C24" s="10"/>
      <c r="D24" s="7"/>
      <c r="F24" s="8"/>
      <c r="G24" s="43">
        <f>Hoja1!H24</f>
        <v>3058.103975535168</v>
      </c>
      <c r="H24" s="55"/>
      <c r="I24" s="55"/>
      <c r="J24" s="103"/>
      <c r="K24" s="103"/>
      <c r="L24" s="103"/>
      <c r="M24" s="103"/>
      <c r="N24" s="68"/>
      <c r="O24" s="101">
        <f t="shared" si="2"/>
        <v>0</v>
      </c>
      <c r="T24" s="116">
        <v>0</v>
      </c>
      <c r="U24" s="102">
        <f>'[1]ppto_post mod (2)'!$AU19</f>
        <v>0</v>
      </c>
      <c r="V24" s="106">
        <f t="shared" si="3"/>
        <v>0</v>
      </c>
      <c r="W24" s="1">
        <v>0</v>
      </c>
    </row>
    <row r="25" spans="2:24">
      <c r="B25" s="50">
        <v>2</v>
      </c>
      <c r="C25" s="21"/>
      <c r="D25" s="21" t="s">
        <v>46</v>
      </c>
      <c r="E25" s="44">
        <f>E26+E39</f>
        <v>102979</v>
      </c>
      <c r="F25" s="44">
        <f>F26+F39</f>
        <v>102979</v>
      </c>
      <c r="G25" s="44">
        <f>G26+G39</f>
        <v>73050</v>
      </c>
      <c r="H25" s="22"/>
      <c r="I25" s="22"/>
      <c r="J25" s="65">
        <f>SUM(J26:J40)</f>
        <v>95549400</v>
      </c>
      <c r="K25" s="65">
        <f>SUM(K26:K40)</f>
        <v>11598937</v>
      </c>
      <c r="L25" s="65">
        <f>SUM(L26:L40)</f>
        <v>6319735</v>
      </c>
      <c r="M25" s="65" t="e">
        <f>SUM(M26:M40)</f>
        <v>#REF!</v>
      </c>
      <c r="N25" s="92" t="e">
        <f>SUM(N26:N40)</f>
        <v>#REF!</v>
      </c>
      <c r="O25" s="101">
        <f t="shared" si="2"/>
        <v>0</v>
      </c>
      <c r="P25" s="1" t="s">
        <v>94</v>
      </c>
      <c r="R25" s="73">
        <v>0.8</v>
      </c>
      <c r="T25" s="116">
        <v>0</v>
      </c>
      <c r="U25" s="102">
        <f>'[1]ppto_post mod (2)'!$AU20</f>
        <v>2000000</v>
      </c>
      <c r="V25" s="106">
        <f t="shared" si="3"/>
        <v>3058.103975535168</v>
      </c>
      <c r="W25" s="1">
        <v>0</v>
      </c>
    </row>
    <row r="26" spans="2:24">
      <c r="B26" s="51"/>
      <c r="C26" s="6"/>
      <c r="D26" s="20" t="s">
        <v>47</v>
      </c>
      <c r="E26" s="108">
        <f>SUM(E27:E38)</f>
        <v>83998</v>
      </c>
      <c r="F26" s="108">
        <f>SUM(F27:F38)</f>
        <v>84708.808868501525</v>
      </c>
      <c r="G26" s="108">
        <f>SUM(G27:G38)</f>
        <v>54779.808868501525</v>
      </c>
      <c r="H26" s="6"/>
      <c r="I26" s="6"/>
      <c r="J26" s="83">
        <f t="shared" ref="J26:J40" si="7">G26*654</f>
        <v>35825995</v>
      </c>
      <c r="K26" s="84"/>
      <c r="L26" s="85"/>
      <c r="M26" s="99"/>
      <c r="N26" s="85"/>
      <c r="O26" s="101">
        <f t="shared" si="2"/>
        <v>710.80886850152456</v>
      </c>
      <c r="P26" s="79">
        <v>64872</v>
      </c>
      <c r="Q26" s="80">
        <f>P26*654</f>
        <v>42426288</v>
      </c>
      <c r="R26" s="80">
        <f>Q26*0.8</f>
        <v>33941030.399999999</v>
      </c>
      <c r="T26" s="116">
        <v>0</v>
      </c>
      <c r="V26" s="106">
        <f t="shared" si="3"/>
        <v>0</v>
      </c>
      <c r="W26" s="1">
        <v>0</v>
      </c>
    </row>
    <row r="27" spans="2:24">
      <c r="B27" s="18" t="s">
        <v>48</v>
      </c>
      <c r="C27" s="115"/>
      <c r="D27" s="7" t="s">
        <v>49</v>
      </c>
      <c r="E27" s="127">
        <v>310</v>
      </c>
      <c r="F27" s="54">
        <f>Hoja1!E27</f>
        <v>261.68195718654431</v>
      </c>
      <c r="G27" s="43">
        <f>Hoja1!H27</f>
        <v>151.68195718654434</v>
      </c>
      <c r="H27" s="14">
        <f>G27/F27</f>
        <v>0.57964239803669515</v>
      </c>
      <c r="I27" s="55">
        <f>1-H27</f>
        <v>0.42035760196330485</v>
      </c>
      <c r="J27" s="83">
        <f t="shared" si="7"/>
        <v>99200</v>
      </c>
      <c r="K27" s="86">
        <v>0</v>
      </c>
      <c r="L27" s="90">
        <v>0</v>
      </c>
      <c r="M27" s="99" t="e">
        <f>SUM(#REF!)</f>
        <v>#REF!</v>
      </c>
      <c r="N27" s="88" t="e">
        <f>J27-SUM(K27:M27)</f>
        <v>#REF!</v>
      </c>
      <c r="O27" s="101">
        <f t="shared" si="2"/>
        <v>-48.318042813455691</v>
      </c>
      <c r="R27" s="28">
        <f>R26-10000000</f>
        <v>23941030.399999999</v>
      </c>
      <c r="T27" s="116">
        <v>151.68195718654434</v>
      </c>
      <c r="U27" s="102">
        <f>'[1]ppto_post mod (2)'!$AU24</f>
        <v>99200</v>
      </c>
      <c r="V27" s="106">
        <f t="shared" si="3"/>
        <v>151.68195718654434</v>
      </c>
      <c r="W27" s="1">
        <v>110</v>
      </c>
    </row>
    <row r="28" spans="2:24">
      <c r="B28" s="18" t="s">
        <v>50</v>
      </c>
      <c r="C28" s="115"/>
      <c r="D28" s="7" t="s">
        <v>51</v>
      </c>
      <c r="E28" s="127">
        <v>10556</v>
      </c>
      <c r="F28" s="54">
        <f>Hoja1!E28</f>
        <v>15144.646788990827</v>
      </c>
      <c r="G28" s="43">
        <f>Hoja1!H28</f>
        <v>10803.646788990825</v>
      </c>
      <c r="H28" s="14">
        <f>G28/F28</f>
        <v>0.71336406451184942</v>
      </c>
      <c r="I28" s="55">
        <f t="shared" ref="I28:I35" si="8">1-H28</f>
        <v>0.28663593548815058</v>
      </c>
      <c r="J28" s="83">
        <f t="shared" si="7"/>
        <v>7065585</v>
      </c>
      <c r="K28" s="86">
        <v>2107692</v>
      </c>
      <c r="L28" s="90">
        <v>990979</v>
      </c>
      <c r="M28" s="85" t="e">
        <f>SUM(#REF!)</f>
        <v>#REF!</v>
      </c>
      <c r="N28" s="88" t="e">
        <f t="shared" ref="N28:N48" si="9">J28-SUM(K28:M28)</f>
        <v>#REF!</v>
      </c>
      <c r="O28" s="101">
        <f t="shared" si="2"/>
        <v>4588.6467889908272</v>
      </c>
      <c r="R28" s="66" t="e">
        <f>SUM(L25:M25)</f>
        <v>#REF!</v>
      </c>
      <c r="T28" s="116">
        <v>10803.646788990825</v>
      </c>
      <c r="U28" s="102">
        <f>'[1]ppto_post mod (2)'!$AU25</f>
        <v>7065585</v>
      </c>
      <c r="V28" s="106">
        <f t="shared" si="3"/>
        <v>10803.646788990825</v>
      </c>
      <c r="W28" s="1">
        <v>4341.0000000000009</v>
      </c>
    </row>
    <row r="29" spans="2:24" s="61" customFormat="1">
      <c r="B29" s="57" t="s">
        <v>52</v>
      </c>
      <c r="C29" s="58"/>
      <c r="D29" s="59" t="s">
        <v>53</v>
      </c>
      <c r="E29" s="128">
        <v>1390</v>
      </c>
      <c r="F29" s="54">
        <f>Hoja1!E29</f>
        <v>0</v>
      </c>
      <c r="G29" s="43">
        <f>Hoja1!H29</f>
        <v>0</v>
      </c>
      <c r="H29" s="14">
        <v>0</v>
      </c>
      <c r="I29" s="55">
        <v>0</v>
      </c>
      <c r="J29" s="83">
        <f t="shared" si="7"/>
        <v>0</v>
      </c>
      <c r="K29" s="86"/>
      <c r="L29" s="90">
        <v>0</v>
      </c>
      <c r="M29" s="89" t="e">
        <f>SUM(#REF!)</f>
        <v>#REF!</v>
      </c>
      <c r="N29" s="88" t="e">
        <f t="shared" si="9"/>
        <v>#REF!</v>
      </c>
      <c r="O29" s="101">
        <f t="shared" si="2"/>
        <v>-1390</v>
      </c>
      <c r="R29" s="75" t="e">
        <f>R27-R28</f>
        <v>#REF!</v>
      </c>
      <c r="T29" s="117">
        <v>0</v>
      </c>
      <c r="U29" s="102">
        <f>'[1]ppto_post mod (2)'!$AU26</f>
        <v>0</v>
      </c>
      <c r="V29" s="106">
        <f t="shared" si="3"/>
        <v>0</v>
      </c>
      <c r="W29" s="1">
        <v>0</v>
      </c>
    </row>
    <row r="30" spans="2:24">
      <c r="B30" s="18" t="s">
        <v>55</v>
      </c>
      <c r="C30" s="115"/>
      <c r="D30" s="7" t="s">
        <v>56</v>
      </c>
      <c r="E30" s="127">
        <v>18295</v>
      </c>
      <c r="F30" s="54">
        <f>Hoja1!E30</f>
        <v>20817.746177370031</v>
      </c>
      <c r="G30" s="43">
        <f>Hoja1!H30</f>
        <v>13627.746177370031</v>
      </c>
      <c r="H30" s="14">
        <f t="shared" ref="H30:H36" si="10">G30/F30</f>
        <v>0.65462159357981309</v>
      </c>
      <c r="I30" s="55">
        <f t="shared" si="8"/>
        <v>0.34537840642018691</v>
      </c>
      <c r="J30" s="83">
        <f t="shared" si="7"/>
        <v>8912546</v>
      </c>
      <c r="K30" s="90">
        <v>1853983</v>
      </c>
      <c r="L30" s="90">
        <v>2523675</v>
      </c>
      <c r="M30" s="85" t="e">
        <f>SUM(#REF!)</f>
        <v>#REF!</v>
      </c>
      <c r="N30" s="88" t="e">
        <f t="shared" si="9"/>
        <v>#REF!</v>
      </c>
      <c r="O30" s="101">
        <f t="shared" si="2"/>
        <v>2522.7461773700306</v>
      </c>
      <c r="T30" s="116">
        <v>13627.746177370031</v>
      </c>
      <c r="U30" s="102">
        <f>'[1]ppto_post mod (2)'!$AU27</f>
        <v>8912546</v>
      </c>
      <c r="V30" s="106">
        <f t="shared" si="3"/>
        <v>13627.746177370031</v>
      </c>
      <c r="W30" s="1">
        <v>7190</v>
      </c>
    </row>
    <row r="31" spans="2:24">
      <c r="B31" s="18" t="s">
        <v>57</v>
      </c>
      <c r="C31" s="115"/>
      <c r="D31" s="7" t="s">
        <v>58</v>
      </c>
      <c r="E31" s="127">
        <v>17237</v>
      </c>
      <c r="F31" s="54">
        <f>Hoja1!E31</f>
        <v>18066.24006116208</v>
      </c>
      <c r="G31" s="43">
        <f>Hoja1!H31</f>
        <v>10119.24006116208</v>
      </c>
      <c r="H31" s="14">
        <f t="shared" si="10"/>
        <v>0.56011876444152475</v>
      </c>
      <c r="I31" s="55">
        <f t="shared" si="8"/>
        <v>0.43988123555847525</v>
      </c>
      <c r="J31" s="83">
        <f t="shared" si="7"/>
        <v>6617983</v>
      </c>
      <c r="K31" s="86">
        <v>1394364</v>
      </c>
      <c r="L31" s="90">
        <v>2302179</v>
      </c>
      <c r="M31" s="85" t="e">
        <f>SUM(#REF!)</f>
        <v>#REF!</v>
      </c>
      <c r="N31" s="88" t="e">
        <f t="shared" si="9"/>
        <v>#REF!</v>
      </c>
      <c r="O31" s="101">
        <f t="shared" si="2"/>
        <v>829.24006116207966</v>
      </c>
      <c r="T31" s="116">
        <v>10119.24006116208</v>
      </c>
      <c r="U31" s="102">
        <f>'[1]ppto_post mod (2)'!$AU28</f>
        <v>6617983</v>
      </c>
      <c r="V31" s="106">
        <f t="shared" si="3"/>
        <v>10119.24006116208</v>
      </c>
      <c r="W31" s="1">
        <v>7947</v>
      </c>
    </row>
    <row r="32" spans="2:24" s="61" customFormat="1">
      <c r="B32" s="57" t="s">
        <v>59</v>
      </c>
      <c r="C32" s="58"/>
      <c r="D32" s="59" t="s">
        <v>60</v>
      </c>
      <c r="E32" s="128">
        <v>1390</v>
      </c>
      <c r="F32" s="54">
        <f>Hoja1!E32</f>
        <v>2622.9281345565751</v>
      </c>
      <c r="G32" s="43">
        <f>Hoja1!H32</f>
        <v>2622.9281345565751</v>
      </c>
      <c r="H32" s="14">
        <f t="shared" si="10"/>
        <v>1</v>
      </c>
      <c r="I32" s="55">
        <f t="shared" si="8"/>
        <v>0</v>
      </c>
      <c r="J32" s="83">
        <f t="shared" si="7"/>
        <v>1715395</v>
      </c>
      <c r="K32" s="86">
        <v>318933</v>
      </c>
      <c r="L32" s="87">
        <v>0</v>
      </c>
      <c r="M32" s="89" t="e">
        <f>SUM(#REF!)</f>
        <v>#REF!</v>
      </c>
      <c r="N32" s="88" t="e">
        <f t="shared" si="9"/>
        <v>#REF!</v>
      </c>
      <c r="O32" s="101">
        <f t="shared" si="2"/>
        <v>1232.9281345565751</v>
      </c>
      <c r="T32" s="117">
        <v>2622.9281345565751</v>
      </c>
      <c r="U32" s="102">
        <f>'[1]ppto_post mod (2)'!$AU29</f>
        <v>1715395</v>
      </c>
      <c r="V32" s="106">
        <f t="shared" si="3"/>
        <v>2622.9281345565751</v>
      </c>
      <c r="W32" s="1">
        <v>0</v>
      </c>
    </row>
    <row r="33" spans="2:23">
      <c r="B33" s="18" t="s">
        <v>61</v>
      </c>
      <c r="C33" s="115"/>
      <c r="D33" s="7" t="s">
        <v>62</v>
      </c>
      <c r="E33" s="127">
        <v>7812</v>
      </c>
      <c r="F33" s="54">
        <f>Hoja1!E33</f>
        <v>4862.1972477064219</v>
      </c>
      <c r="G33" s="43">
        <f>Hoja1!H33</f>
        <v>2829.1972477064219</v>
      </c>
      <c r="H33" s="14">
        <f t="shared" si="10"/>
        <v>0.58187628012026882</v>
      </c>
      <c r="I33" s="55">
        <f t="shared" si="8"/>
        <v>0.41812371987973118</v>
      </c>
      <c r="J33" s="83">
        <f t="shared" si="7"/>
        <v>1850295</v>
      </c>
      <c r="K33" s="86">
        <v>1285447</v>
      </c>
      <c r="L33" s="87">
        <v>0</v>
      </c>
      <c r="M33" s="85" t="e">
        <f>SUM(#REF!)</f>
        <v>#REF!</v>
      </c>
      <c r="N33" s="88" t="e">
        <f t="shared" si="9"/>
        <v>#REF!</v>
      </c>
      <c r="O33" s="101">
        <f t="shared" si="2"/>
        <v>-2949.8027522935781</v>
      </c>
      <c r="T33" s="116">
        <v>2829.1972477064219</v>
      </c>
      <c r="U33" s="102">
        <f>'[1]ppto_post mod (2)'!$AU30</f>
        <v>1850295</v>
      </c>
      <c r="V33" s="106">
        <f t="shared" si="3"/>
        <v>2829.1972477064219</v>
      </c>
      <c r="W33" s="1">
        <v>2033.0000000000002</v>
      </c>
    </row>
    <row r="34" spans="2:23" ht="24">
      <c r="B34" s="18" t="s">
        <v>63</v>
      </c>
      <c r="C34" s="115"/>
      <c r="D34" s="7" t="s">
        <v>64</v>
      </c>
      <c r="E34" s="127">
        <v>1600</v>
      </c>
      <c r="F34" s="54">
        <f>Hoja1!E34</f>
        <v>2150.5519877675843</v>
      </c>
      <c r="G34" s="43">
        <f>Hoja1!H34</f>
        <v>2150.5519877675843</v>
      </c>
      <c r="H34" s="14">
        <f t="shared" si="10"/>
        <v>1</v>
      </c>
      <c r="I34" s="55">
        <f t="shared" si="8"/>
        <v>0</v>
      </c>
      <c r="J34" s="83">
        <f t="shared" si="7"/>
        <v>1406461</v>
      </c>
      <c r="K34" s="86">
        <v>0</v>
      </c>
      <c r="L34" s="87">
        <v>484520</v>
      </c>
      <c r="M34" s="85" t="e">
        <f>SUM(#REF!)</f>
        <v>#REF!</v>
      </c>
      <c r="N34" s="88" t="e">
        <f t="shared" si="9"/>
        <v>#REF!</v>
      </c>
      <c r="O34" s="101">
        <f t="shared" si="2"/>
        <v>550.55198776758425</v>
      </c>
      <c r="T34" s="116">
        <v>2150.5519877675843</v>
      </c>
      <c r="U34" s="102">
        <f>'[1]ppto_post mod (2)'!$AU31</f>
        <v>1406461</v>
      </c>
      <c r="V34" s="106">
        <f t="shared" si="3"/>
        <v>2150.5519877675843</v>
      </c>
      <c r="W34" s="1">
        <v>0</v>
      </c>
    </row>
    <row r="35" spans="2:23" ht="14.25" customHeight="1">
      <c r="B35" s="18" t="s">
        <v>65</v>
      </c>
      <c r="C35" s="115"/>
      <c r="D35" s="7" t="s">
        <v>66</v>
      </c>
      <c r="E35" s="127">
        <v>7800</v>
      </c>
      <c r="F35" s="54">
        <f>Hoja1!E35</f>
        <v>5013.9159021406731</v>
      </c>
      <c r="G35" s="43">
        <f>Hoja1!H35</f>
        <v>5013.9159021406731</v>
      </c>
      <c r="H35" s="14">
        <f t="shared" si="10"/>
        <v>1</v>
      </c>
      <c r="I35" s="55">
        <f t="shared" si="8"/>
        <v>0</v>
      </c>
      <c r="J35" s="83">
        <f t="shared" si="7"/>
        <v>3279101</v>
      </c>
      <c r="K35" s="86">
        <v>0</v>
      </c>
      <c r="L35" s="87">
        <v>18382</v>
      </c>
      <c r="M35" s="85" t="e">
        <f>SUM(#REF!)</f>
        <v>#REF!</v>
      </c>
      <c r="N35" s="88" t="e">
        <f t="shared" si="9"/>
        <v>#REF!</v>
      </c>
      <c r="O35" s="101">
        <f t="shared" si="2"/>
        <v>-2786.0840978593269</v>
      </c>
      <c r="T35" s="116">
        <v>5013.9159021406731</v>
      </c>
      <c r="U35" s="102">
        <f>'[1]ppto_post mod (2)'!$AU32</f>
        <v>3279101</v>
      </c>
      <c r="V35" s="106">
        <f t="shared" si="3"/>
        <v>5013.9159021406731</v>
      </c>
      <c r="W35" s="1">
        <v>0</v>
      </c>
    </row>
    <row r="36" spans="2:23">
      <c r="B36" s="18" t="s">
        <v>69</v>
      </c>
      <c r="C36" s="10"/>
      <c r="D36" s="7" t="s">
        <v>68</v>
      </c>
      <c r="E36" s="127">
        <v>11308</v>
      </c>
      <c r="F36" s="54">
        <f>Hoja1!E36</f>
        <v>12221.495412844037</v>
      </c>
      <c r="G36" s="43">
        <f>Hoja1!H36</f>
        <v>3913.4954128440368</v>
      </c>
      <c r="H36" s="14">
        <f t="shared" si="10"/>
        <v>0.32021412115666259</v>
      </c>
      <c r="I36" s="55">
        <f>1-H36</f>
        <v>0.67978587884333741</v>
      </c>
      <c r="J36" s="83">
        <f t="shared" si="7"/>
        <v>2559426</v>
      </c>
      <c r="K36" s="91">
        <v>0</v>
      </c>
      <c r="L36" s="85"/>
      <c r="M36" s="85"/>
      <c r="N36" s="88">
        <f>J36-SUM(K36:M36)</f>
        <v>2559426</v>
      </c>
      <c r="O36" s="101">
        <f t="shared" si="2"/>
        <v>913.49541284403676</v>
      </c>
      <c r="T36" s="116">
        <v>1744.059633027523</v>
      </c>
      <c r="U36" s="102">
        <f>'[1]ppto_post mod (2)'!$AU32</f>
        <v>3279101</v>
      </c>
      <c r="V36" s="106">
        <f t="shared" ref="V36:V37" si="11">U36/654</f>
        <v>5013.9159021406731</v>
      </c>
      <c r="W36" s="1">
        <v>0</v>
      </c>
    </row>
    <row r="37" spans="2:23">
      <c r="B37" s="18" t="s">
        <v>71</v>
      </c>
      <c r="C37" s="115"/>
      <c r="D37" s="7" t="s">
        <v>70</v>
      </c>
      <c r="E37" s="127">
        <v>6300</v>
      </c>
      <c r="F37" s="54">
        <f>Hoja1!E37</f>
        <v>1744.059633027523</v>
      </c>
      <c r="G37" s="43">
        <f>Hoja1!H37</f>
        <v>1744.059633027523</v>
      </c>
      <c r="H37" s="14">
        <v>1</v>
      </c>
      <c r="I37" s="55">
        <v>0</v>
      </c>
      <c r="J37" s="83">
        <f t="shared" si="7"/>
        <v>1140615</v>
      </c>
      <c r="K37" s="91">
        <v>2319259</v>
      </c>
      <c r="L37" s="85"/>
      <c r="M37" s="85"/>
      <c r="N37" s="88">
        <f t="shared" ref="N37" si="12">J37-SUM(K37:M37)</f>
        <v>-1178644</v>
      </c>
      <c r="O37" s="101">
        <f t="shared" si="2"/>
        <v>-4555.940366972477</v>
      </c>
      <c r="T37" s="116">
        <v>18270.191131498472</v>
      </c>
      <c r="U37" s="102">
        <f>'[1]ppto_post mod (2)'!$AU33</f>
        <v>1179388</v>
      </c>
      <c r="V37" s="106">
        <f t="shared" si="11"/>
        <v>1803.3455657492354</v>
      </c>
      <c r="W37" s="1">
        <v>0</v>
      </c>
    </row>
    <row r="38" spans="2:23">
      <c r="B38" s="104" t="s">
        <v>98</v>
      </c>
      <c r="D38" s="105" t="s">
        <v>99</v>
      </c>
      <c r="E38" s="127"/>
      <c r="F38" s="54">
        <f>Hoja1!E38</f>
        <v>1803.3455657492354</v>
      </c>
      <c r="G38" s="43">
        <f>Hoja1!H38</f>
        <v>1803.3455657492354</v>
      </c>
      <c r="H38" s="109">
        <f>G38/F38</f>
        <v>1</v>
      </c>
      <c r="I38" s="110">
        <f>1-H38</f>
        <v>0</v>
      </c>
      <c r="J38" s="111">
        <f t="shared" si="7"/>
        <v>1179388</v>
      </c>
      <c r="O38" s="101">
        <f t="shared" si="2"/>
        <v>1803.3455657492354</v>
      </c>
      <c r="T38" s="116">
        <v>1803.3455657492354</v>
      </c>
      <c r="U38" s="102">
        <f>'[1]ppto_post mod (2)'!$AU33</f>
        <v>1179388</v>
      </c>
      <c r="V38" s="106">
        <f>U38/654</f>
        <v>1803.3455657492354</v>
      </c>
      <c r="W38" s="1">
        <v>0</v>
      </c>
    </row>
    <row r="39" spans="2:23">
      <c r="B39" s="48"/>
      <c r="C39" s="4"/>
      <c r="D39" s="20" t="s">
        <v>37</v>
      </c>
      <c r="E39" s="100">
        <f>SUM(E40:E40)</f>
        <v>18981</v>
      </c>
      <c r="F39" s="100">
        <f>SUM(F40:F40)</f>
        <v>18270.191131498472</v>
      </c>
      <c r="G39" s="100">
        <f>SUM(G40:G40)</f>
        <v>18270.191131498472</v>
      </c>
      <c r="H39" s="24"/>
      <c r="I39" s="25"/>
      <c r="J39" s="83">
        <f t="shared" si="7"/>
        <v>11948705</v>
      </c>
      <c r="K39" s="89"/>
      <c r="L39" s="85"/>
      <c r="M39" s="85"/>
      <c r="N39" s="88">
        <f t="shared" si="9"/>
        <v>11948705</v>
      </c>
      <c r="O39" s="101">
        <f t="shared" si="2"/>
        <v>-710.8088685015282</v>
      </c>
      <c r="T39" s="116">
        <v>0</v>
      </c>
      <c r="V39" s="106">
        <f t="shared" si="3"/>
        <v>0</v>
      </c>
      <c r="W39" s="1">
        <v>0</v>
      </c>
    </row>
    <row r="40" spans="2:23">
      <c r="B40" s="18" t="s">
        <v>71</v>
      </c>
      <c r="C40" s="115"/>
      <c r="D40" s="7" t="s">
        <v>72</v>
      </c>
      <c r="E40" s="8">
        <v>18981</v>
      </c>
      <c r="F40" s="54">
        <f>Hoja1!E40</f>
        <v>18270.191131498472</v>
      </c>
      <c r="G40" s="43">
        <f>Hoja1!H40</f>
        <v>18270.191131498472</v>
      </c>
      <c r="H40" s="14">
        <v>1</v>
      </c>
      <c r="I40" s="55">
        <v>0</v>
      </c>
      <c r="J40" s="83">
        <f t="shared" si="7"/>
        <v>11948705</v>
      </c>
      <c r="K40" s="91">
        <v>2319259</v>
      </c>
      <c r="L40" s="85"/>
      <c r="M40" s="85"/>
      <c r="N40" s="88">
        <f t="shared" si="9"/>
        <v>9629446</v>
      </c>
      <c r="O40" s="101">
        <f t="shared" si="2"/>
        <v>-710.8088685015282</v>
      </c>
      <c r="T40" s="116">
        <v>18270.191131498472</v>
      </c>
      <c r="U40" s="102">
        <f>'[1]ppto_post mod (2)'!$AU37</f>
        <v>11948705</v>
      </c>
      <c r="V40" s="106">
        <f t="shared" si="3"/>
        <v>18270.191131498472</v>
      </c>
      <c r="W40" s="1">
        <v>0</v>
      </c>
    </row>
    <row r="41" spans="2:23">
      <c r="B41" s="50">
        <v>3</v>
      </c>
      <c r="C41" s="22"/>
      <c r="D41" s="21" t="s">
        <v>73</v>
      </c>
      <c r="E41" s="44">
        <f>SUM(E42:E44)</f>
        <v>3846</v>
      </c>
      <c r="F41" s="44">
        <f>SUM(F42:F44)</f>
        <v>3846</v>
      </c>
      <c r="G41" s="44">
        <f>SUM(G42:G44)</f>
        <v>3846</v>
      </c>
      <c r="H41" s="22"/>
      <c r="I41" s="22"/>
      <c r="J41" s="92">
        <f>SUM(J42:J44)</f>
        <v>2515284</v>
      </c>
      <c r="K41" s="92">
        <f t="shared" ref="K41:M41" si="13">SUM(K42:K44)</f>
        <v>0</v>
      </c>
      <c r="L41" s="92">
        <f t="shared" si="13"/>
        <v>0</v>
      </c>
      <c r="M41" s="92">
        <f t="shared" si="13"/>
        <v>0</v>
      </c>
      <c r="N41" s="93">
        <f t="shared" si="9"/>
        <v>2515284</v>
      </c>
      <c r="O41" s="101">
        <f t="shared" si="2"/>
        <v>0</v>
      </c>
      <c r="T41" s="116">
        <v>0</v>
      </c>
      <c r="V41" s="106">
        <f t="shared" si="3"/>
        <v>0</v>
      </c>
      <c r="W41" s="1">
        <v>0</v>
      </c>
    </row>
    <row r="42" spans="2:23">
      <c r="B42" s="18">
        <v>3.1</v>
      </c>
      <c r="C42" s="10"/>
      <c r="D42" s="10" t="s">
        <v>74</v>
      </c>
      <c r="E42" s="9">
        <v>769</v>
      </c>
      <c r="F42" s="54">
        <f>Hoja1!E42</f>
        <v>769</v>
      </c>
      <c r="G42" s="43">
        <f>Hoja1!H42</f>
        <v>769</v>
      </c>
      <c r="H42" s="55">
        <v>1</v>
      </c>
      <c r="I42" s="55">
        <v>0</v>
      </c>
      <c r="J42" s="67">
        <f>G42*654</f>
        <v>502926</v>
      </c>
      <c r="K42" s="82"/>
      <c r="L42" s="82"/>
      <c r="M42" s="82"/>
      <c r="N42" s="81">
        <f t="shared" si="9"/>
        <v>502926</v>
      </c>
      <c r="O42" s="101">
        <f t="shared" si="2"/>
        <v>0</v>
      </c>
      <c r="T42" s="116">
        <v>769</v>
      </c>
      <c r="U42" s="102">
        <f>'[1]ppto_post mod (2)'!$AU40</f>
        <v>502926</v>
      </c>
      <c r="V42" s="106">
        <f t="shared" si="3"/>
        <v>769</v>
      </c>
      <c r="W42" s="1">
        <v>0</v>
      </c>
    </row>
    <row r="43" spans="2:23">
      <c r="B43" s="18">
        <v>3.2</v>
      </c>
      <c r="C43" s="10"/>
      <c r="D43" s="10" t="s">
        <v>75</v>
      </c>
      <c r="E43" s="36">
        <v>3077</v>
      </c>
      <c r="F43" s="54">
        <f>Hoja1!E43</f>
        <v>3077</v>
      </c>
      <c r="G43" s="43">
        <f>Hoja1!H43</f>
        <v>3077</v>
      </c>
      <c r="H43" s="55">
        <v>1</v>
      </c>
      <c r="I43" s="55">
        <v>0</v>
      </c>
      <c r="J43" s="67">
        <f>G43*654</f>
        <v>2012358</v>
      </c>
      <c r="K43" s="82"/>
      <c r="L43" s="82"/>
      <c r="M43" s="82"/>
      <c r="N43" s="81">
        <f t="shared" si="9"/>
        <v>2012358</v>
      </c>
      <c r="O43" s="101">
        <f t="shared" si="2"/>
        <v>0</v>
      </c>
      <c r="T43" s="116">
        <v>3077</v>
      </c>
      <c r="U43" s="102">
        <f>'[1]ppto_post mod (2)'!$AU41</f>
        <v>2012358</v>
      </c>
      <c r="V43" s="106">
        <f t="shared" si="3"/>
        <v>3077</v>
      </c>
      <c r="W43" s="1">
        <v>0</v>
      </c>
    </row>
    <row r="44" spans="2:23">
      <c r="B44" s="17"/>
      <c r="C44" s="10"/>
      <c r="D44" s="10"/>
      <c r="E44" s="13"/>
      <c r="F44" s="13"/>
      <c r="G44" s="10"/>
      <c r="H44" s="10"/>
      <c r="I44" s="10"/>
      <c r="J44" s="67">
        <f>G44*654</f>
        <v>0</v>
      </c>
      <c r="K44" s="82"/>
      <c r="L44" s="82"/>
      <c r="M44" s="82"/>
      <c r="N44" s="81">
        <f t="shared" si="9"/>
        <v>0</v>
      </c>
      <c r="O44" s="101">
        <f t="shared" si="2"/>
        <v>0</v>
      </c>
      <c r="P44" s="61"/>
      <c r="Q44" s="61"/>
      <c r="R44" s="61"/>
      <c r="T44" s="116">
        <v>0</v>
      </c>
      <c r="V44" s="106">
        <f t="shared" si="3"/>
        <v>0</v>
      </c>
      <c r="W44" s="1">
        <v>0</v>
      </c>
    </row>
    <row r="45" spans="2:23">
      <c r="B45" s="50">
        <v>4</v>
      </c>
      <c r="C45" s="22"/>
      <c r="D45" s="21" t="s">
        <v>76</v>
      </c>
      <c r="E45" s="44">
        <f>SUM(E46:E48)</f>
        <v>17293</v>
      </c>
      <c r="F45" s="44">
        <f>SUM(F46:F48)</f>
        <v>19194.899724770643</v>
      </c>
      <c r="G45" s="44">
        <f>SUM(G46:G48)</f>
        <v>12314.169724770642</v>
      </c>
      <c r="H45" s="22"/>
      <c r="I45" s="22"/>
      <c r="J45" s="92">
        <f>SUM(J46:J49)</f>
        <v>16106934</v>
      </c>
      <c r="K45" s="92">
        <f t="shared" ref="K45:M45" si="14">SUM(K46:K49)</f>
        <v>821204</v>
      </c>
      <c r="L45" s="92">
        <f t="shared" si="14"/>
        <v>4180152</v>
      </c>
      <c r="M45" s="92" t="e">
        <f t="shared" si="14"/>
        <v>#REF!</v>
      </c>
      <c r="N45" s="93" t="e">
        <f t="shared" si="9"/>
        <v>#REF!</v>
      </c>
      <c r="O45" s="101"/>
      <c r="P45" s="61" t="s">
        <v>94</v>
      </c>
      <c r="Q45" s="61"/>
      <c r="R45" s="76">
        <v>0.8</v>
      </c>
      <c r="T45" s="116">
        <v>0</v>
      </c>
      <c r="V45" s="106">
        <f t="shared" si="3"/>
        <v>0</v>
      </c>
      <c r="W45" s="1">
        <v>0</v>
      </c>
    </row>
    <row r="46" spans="2:23">
      <c r="B46" s="18">
        <v>4.0999999999999996</v>
      </c>
      <c r="C46" s="10"/>
      <c r="D46" s="10" t="s">
        <v>77</v>
      </c>
      <c r="E46" s="36">
        <v>13846</v>
      </c>
      <c r="F46" s="54">
        <f>Hoja1!E46</f>
        <v>13472.115321100917</v>
      </c>
      <c r="G46" s="43">
        <f>Hoja1!H46</f>
        <v>6591.3853211009173</v>
      </c>
      <c r="H46" s="55">
        <v>1</v>
      </c>
      <c r="I46" s="55">
        <v>0</v>
      </c>
      <c r="J46" s="67">
        <f>G46*654</f>
        <v>4310766</v>
      </c>
      <c r="K46" s="94">
        <v>380760</v>
      </c>
      <c r="L46" s="82">
        <v>2000000</v>
      </c>
      <c r="M46" s="82" t="e">
        <f>SUM(#REF!)</f>
        <v>#REF!</v>
      </c>
      <c r="N46" s="81" t="e">
        <f t="shared" si="9"/>
        <v>#REF!</v>
      </c>
      <c r="O46" s="101">
        <f t="shared" si="2"/>
        <v>-373.88467889908316</v>
      </c>
      <c r="P46" s="77">
        <v>6174</v>
      </c>
      <c r="Q46" s="78">
        <f>P46*654</f>
        <v>4037796</v>
      </c>
      <c r="R46" s="78">
        <f>Q46*0.8</f>
        <v>3230236.8000000003</v>
      </c>
      <c r="T46" s="116">
        <v>9802.3853211009173</v>
      </c>
      <c r="U46" s="102">
        <f>'[1]ppto_post mod (2)'!$AU44</f>
        <v>6410760</v>
      </c>
      <c r="V46" s="106">
        <f t="shared" si="3"/>
        <v>9802.3853211009173</v>
      </c>
      <c r="W46" s="1">
        <v>0</v>
      </c>
    </row>
    <row r="47" spans="2:23">
      <c r="B47" s="18">
        <v>4.2</v>
      </c>
      <c r="C47" s="10"/>
      <c r="D47" s="10" t="s">
        <v>78</v>
      </c>
      <c r="E47" s="37">
        <v>986</v>
      </c>
      <c r="F47" s="54">
        <f>Hoja1!E47</f>
        <v>1563.7629969418961</v>
      </c>
      <c r="G47" s="43">
        <f>Hoja1!H47</f>
        <v>1563.7629969418961</v>
      </c>
      <c r="H47" s="55">
        <v>1</v>
      </c>
      <c r="I47" s="55">
        <v>0</v>
      </c>
      <c r="J47" s="67">
        <f>G47*654</f>
        <v>1022701</v>
      </c>
      <c r="K47" s="94">
        <v>29842</v>
      </c>
      <c r="L47" s="82">
        <v>90076</v>
      </c>
      <c r="M47" s="82" t="e">
        <f>SUM(#REF!)</f>
        <v>#REF!</v>
      </c>
      <c r="N47" s="81" t="e">
        <f t="shared" si="9"/>
        <v>#REF!</v>
      </c>
      <c r="O47" s="101">
        <f t="shared" si="2"/>
        <v>577.76299694189606</v>
      </c>
      <c r="P47" s="61"/>
      <c r="Q47" s="61"/>
      <c r="R47" s="61"/>
      <c r="T47" s="116">
        <v>1563.7629969418961</v>
      </c>
      <c r="U47" s="102">
        <f>'[1]ppto_post mod (2)'!$AU45</f>
        <v>1022701</v>
      </c>
      <c r="V47" s="106">
        <f t="shared" si="3"/>
        <v>1563.7629969418961</v>
      </c>
      <c r="W47" s="1">
        <v>0</v>
      </c>
    </row>
    <row r="48" spans="2:23">
      <c r="B48" s="18">
        <v>4.3</v>
      </c>
      <c r="C48" s="10"/>
      <c r="D48" s="10" t="s">
        <v>87</v>
      </c>
      <c r="E48" s="63">
        <v>2461</v>
      </c>
      <c r="F48" s="54">
        <f>Hoja1!E48</f>
        <v>4159.0214067278284</v>
      </c>
      <c r="G48" s="43">
        <f>Hoja1!H48</f>
        <v>4159.0214067278284</v>
      </c>
      <c r="H48" s="55">
        <v>1</v>
      </c>
      <c r="I48" s="55">
        <v>0</v>
      </c>
      <c r="J48" s="67">
        <f>G48*654</f>
        <v>2720000</v>
      </c>
      <c r="K48" s="94">
        <v>0</v>
      </c>
      <c r="L48" s="82"/>
      <c r="M48" s="82"/>
      <c r="N48" s="81">
        <f t="shared" si="9"/>
        <v>2720000</v>
      </c>
      <c r="O48" s="101">
        <f t="shared" si="2"/>
        <v>1698.0214067278284</v>
      </c>
      <c r="T48" s="116">
        <v>4159.0214067278284</v>
      </c>
      <c r="U48" s="102">
        <f>'[1]ppto_post mod (2)'!$AU46</f>
        <v>2720000</v>
      </c>
      <c r="V48" s="106">
        <f t="shared" si="3"/>
        <v>4159.0214067278284</v>
      </c>
      <c r="W48" s="1">
        <v>0</v>
      </c>
    </row>
    <row r="49" spans="2:26">
      <c r="B49" s="18"/>
      <c r="C49" s="9"/>
      <c r="D49" s="10"/>
      <c r="E49" s="10"/>
      <c r="F49" s="13"/>
      <c r="H49" s="62"/>
      <c r="I49" s="62"/>
      <c r="J49" s="81">
        <f>SUM(J46:J48)</f>
        <v>8053467</v>
      </c>
      <c r="K49" s="95">
        <f t="shared" ref="K49:N49" si="15">SUM(K46:K48)</f>
        <v>410602</v>
      </c>
      <c r="L49" s="81">
        <f t="shared" si="15"/>
        <v>2090076</v>
      </c>
      <c r="M49" s="81" t="e">
        <f t="shared" si="15"/>
        <v>#REF!</v>
      </c>
      <c r="N49" s="81" t="e">
        <f t="shared" si="15"/>
        <v>#REF!</v>
      </c>
      <c r="O49" s="101">
        <f t="shared" si="2"/>
        <v>0</v>
      </c>
      <c r="T49" s="116"/>
    </row>
    <row r="50" spans="2:26">
      <c r="B50" s="202" t="s">
        <v>79</v>
      </c>
      <c r="C50" s="202"/>
      <c r="D50" s="202"/>
      <c r="E50" s="118">
        <f>E45+E41+E25+E10</f>
        <v>238392</v>
      </c>
      <c r="F50" s="118">
        <f>F45+F41+F25+F10</f>
        <v>243590.54174311925</v>
      </c>
      <c r="G50" s="118">
        <f>G45+G41+G25+G10</f>
        <v>142449.15571865445</v>
      </c>
      <c r="H50" s="120"/>
      <c r="I50" s="115"/>
      <c r="J50" s="64"/>
      <c r="K50" s="74">
        <f>K45+K41+K25+K10</f>
        <v>15289749</v>
      </c>
      <c r="L50" s="28"/>
      <c r="M50" s="28"/>
      <c r="O50" s="101">
        <f t="shared" si="2"/>
        <v>5198.5417431192473</v>
      </c>
      <c r="T50" s="116">
        <v>238392</v>
      </c>
      <c r="U50" s="102">
        <v>238392</v>
      </c>
    </row>
    <row r="51" spans="2:26">
      <c r="B51" s="121" t="s">
        <v>101</v>
      </c>
      <c r="C51" s="121"/>
      <c r="D51" s="121"/>
      <c r="E51" s="144"/>
      <c r="F51" s="122">
        <f>G51</f>
        <v>7550.8442813455476</v>
      </c>
      <c r="G51" s="122">
        <f>150000-G50</f>
        <v>7550.8442813455476</v>
      </c>
      <c r="H51" s="123"/>
      <c r="I51" s="123"/>
      <c r="J51" s="64"/>
      <c r="K51" s="74"/>
      <c r="L51" s="28"/>
      <c r="M51" s="28"/>
      <c r="T51" s="116"/>
    </row>
    <row r="52" spans="2:26">
      <c r="B52" s="145" t="s">
        <v>114</v>
      </c>
      <c r="C52" s="145"/>
      <c r="D52" s="145"/>
      <c r="E52" s="146">
        <f>E50+E51</f>
        <v>238392</v>
      </c>
      <c r="F52" s="146">
        <f t="shared" ref="F52:G52" si="16">F50+F51</f>
        <v>251141.38602446479</v>
      </c>
      <c r="G52" s="146">
        <f t="shared" si="16"/>
        <v>150000</v>
      </c>
      <c r="H52" s="147"/>
      <c r="I52" s="147"/>
      <c r="J52" s="64"/>
      <c r="K52" s="74"/>
      <c r="L52" s="28"/>
      <c r="M52" s="28"/>
      <c r="T52" s="116"/>
    </row>
    <row r="53" spans="2:26">
      <c r="B53" s="121"/>
      <c r="C53" s="121"/>
      <c r="D53" s="121"/>
      <c r="E53" s="121"/>
      <c r="F53" s="122"/>
      <c r="G53" s="122"/>
      <c r="H53" s="123"/>
      <c r="I53" s="123"/>
      <c r="J53" s="64"/>
      <c r="K53" s="74"/>
      <c r="L53" s="28"/>
      <c r="M53" s="28"/>
      <c r="T53" s="116"/>
    </row>
    <row r="54" spans="2:26" ht="41.25" customHeight="1" thickBot="1">
      <c r="B54" s="194" t="s">
        <v>80</v>
      </c>
      <c r="C54" s="195"/>
      <c r="D54" s="195"/>
      <c r="E54" s="195"/>
      <c r="F54" s="195"/>
      <c r="G54" s="195"/>
      <c r="H54" s="195"/>
      <c r="I54" s="195"/>
      <c r="Y54" s="1">
        <f>3000000/654</f>
        <v>4587.1559633027518</v>
      </c>
      <c r="Z54" s="1">
        <f>Y54*654</f>
        <v>2999999.9999999995</v>
      </c>
    </row>
    <row r="55" spans="2:26" ht="15.75" thickBot="1">
      <c r="B55" s="196" t="s">
        <v>81</v>
      </c>
      <c r="C55" s="197"/>
      <c r="D55" s="197"/>
      <c r="E55" s="197"/>
      <c r="F55" s="197"/>
      <c r="G55" s="197"/>
      <c r="H55" s="197"/>
      <c r="I55" s="197"/>
    </row>
    <row r="56" spans="2:26" ht="15.75" thickBot="1">
      <c r="B56" s="192" t="s">
        <v>82</v>
      </c>
      <c r="C56" s="193"/>
      <c r="D56" s="193"/>
      <c r="E56" s="193"/>
      <c r="F56" s="193"/>
      <c r="G56" s="193"/>
      <c r="H56" s="193"/>
      <c r="I56" s="193"/>
    </row>
    <row r="57" spans="2:26" ht="15.75" thickBot="1">
      <c r="B57" s="196" t="s">
        <v>83</v>
      </c>
      <c r="C57" s="197"/>
      <c r="D57" s="197"/>
      <c r="E57" s="197"/>
      <c r="F57" s="197"/>
      <c r="G57" s="197"/>
      <c r="H57" s="197"/>
      <c r="I57" s="197"/>
    </row>
    <row r="58" spans="2:26" ht="15.75" thickBot="1">
      <c r="B58" s="196" t="s">
        <v>84</v>
      </c>
      <c r="C58" s="197"/>
      <c r="D58" s="197"/>
      <c r="E58" s="197"/>
      <c r="F58" s="197"/>
      <c r="G58" s="197"/>
      <c r="H58" s="197"/>
      <c r="I58" s="197"/>
    </row>
    <row r="59" spans="2:26" ht="15.75" thickBot="1">
      <c r="B59" s="192" t="s">
        <v>85</v>
      </c>
      <c r="C59" s="193"/>
      <c r="D59" s="193"/>
      <c r="E59" s="193"/>
      <c r="F59" s="193"/>
      <c r="G59" s="193"/>
      <c r="H59" s="193"/>
      <c r="I59" s="193"/>
    </row>
    <row r="60" spans="2:26" ht="15.75" thickBot="1">
      <c r="B60" s="192" t="s">
        <v>86</v>
      </c>
      <c r="C60" s="193"/>
      <c r="D60" s="193"/>
      <c r="E60" s="193"/>
      <c r="F60" s="193"/>
      <c r="G60" s="193"/>
      <c r="H60" s="193"/>
      <c r="I60" s="193"/>
    </row>
    <row r="61" spans="2:26">
      <c r="B61" s="19" t="s">
        <v>100</v>
      </c>
      <c r="C61" s="3"/>
      <c r="D61" s="3"/>
      <c r="E61" s="3"/>
      <c r="F61" s="3"/>
      <c r="G61" s="3"/>
      <c r="H61" s="3"/>
      <c r="I61" s="3"/>
    </row>
    <row r="64" spans="2:26">
      <c r="B64" s="1" t="s">
        <v>101</v>
      </c>
      <c r="C64" s="102">
        <v>3000000</v>
      </c>
    </row>
    <row r="65" spans="2:9">
      <c r="B65" s="1" t="s">
        <v>103</v>
      </c>
    </row>
    <row r="66" spans="2:9">
      <c r="B66" s="1" t="s">
        <v>104</v>
      </c>
    </row>
    <row r="68" spans="2:9" ht="15.75" thickBot="1"/>
    <row r="69" spans="2:9" ht="26.25" thickBot="1">
      <c r="D69" s="148" t="s">
        <v>115</v>
      </c>
      <c r="E69" s="149" t="s">
        <v>116</v>
      </c>
      <c r="F69" s="149" t="s">
        <v>117</v>
      </c>
      <c r="G69" s="149" t="s">
        <v>118</v>
      </c>
      <c r="I69" s="159">
        <f>SUM(E70:E73)</f>
        <v>141073.24</v>
      </c>
    </row>
    <row r="70" spans="2:9" ht="15.75" thickBot="1">
      <c r="D70" s="150" t="s">
        <v>119</v>
      </c>
      <c r="E70" s="157">
        <f>[2]Hoja1!$H$10</f>
        <v>46884.24</v>
      </c>
      <c r="F70" s="157">
        <f>G70-E70</f>
        <v>6354.7459938837928</v>
      </c>
      <c r="G70" s="157">
        <f>Hoja1!H10</f>
        <v>53238.985993883791</v>
      </c>
      <c r="I70" s="101">
        <f>SUM(G70:G73)</f>
        <v>145660.15571865442</v>
      </c>
    </row>
    <row r="71" spans="2:9" ht="15.75" thickBot="1">
      <c r="D71" s="150" t="s">
        <v>120</v>
      </c>
      <c r="E71" s="157">
        <f>[2]Hoja1!$H$24</f>
        <v>73050</v>
      </c>
      <c r="F71" s="157">
        <f t="shared" ref="F71:F74" si="17">G71-E71</f>
        <v>0</v>
      </c>
      <c r="G71" s="157">
        <f>Hoja1!H25</f>
        <v>73050</v>
      </c>
      <c r="I71" s="159">
        <f>I70-I69</f>
        <v>4586.9157186544326</v>
      </c>
    </row>
    <row r="72" spans="2:9" ht="15.75" thickBot="1">
      <c r="D72" s="150" t="s">
        <v>121</v>
      </c>
      <c r="E72" s="157">
        <f>[2]Hoja1!$H$40</f>
        <v>3846</v>
      </c>
      <c r="F72" s="157">
        <f t="shared" si="17"/>
        <v>0</v>
      </c>
      <c r="G72" s="157">
        <f>Hoja1!H41</f>
        <v>3846</v>
      </c>
      <c r="I72" s="159">
        <f>E74-I71</f>
        <v>4338.0842813455674</v>
      </c>
    </row>
    <row r="73" spans="2:9" ht="15.75" thickBot="1">
      <c r="D73" s="150" t="s">
        <v>122</v>
      </c>
      <c r="E73" s="157">
        <f>[2]Hoja1!$H$44</f>
        <v>17293</v>
      </c>
      <c r="F73" s="157">
        <f t="shared" si="17"/>
        <v>-1767.8302752293584</v>
      </c>
      <c r="G73" s="157">
        <f>Hoja1!H45</f>
        <v>15525.169724770642</v>
      </c>
    </row>
    <row r="74" spans="2:9" ht="15.75" thickBot="1">
      <c r="D74" s="150" t="s">
        <v>125</v>
      </c>
      <c r="E74" s="157">
        <v>8925</v>
      </c>
      <c r="F74" s="157">
        <f t="shared" si="17"/>
        <v>-4586.9157186544326</v>
      </c>
      <c r="G74" s="157">
        <f>I72</f>
        <v>4338.0842813455674</v>
      </c>
    </row>
    <row r="75" spans="2:9" ht="15.75" thickBot="1">
      <c r="D75" s="150" t="s">
        <v>114</v>
      </c>
      <c r="E75" s="158">
        <f>SUM(E70:E74)</f>
        <v>149998.24</v>
      </c>
      <c r="F75" s="158">
        <f t="shared" ref="F75:G75" si="18">SUM(F70:F74)</f>
        <v>0</v>
      </c>
      <c r="G75" s="158">
        <f t="shared" si="18"/>
        <v>149998.24</v>
      </c>
    </row>
    <row r="79" spans="2:9">
      <c r="D79" s="153">
        <v>46884.276923076926</v>
      </c>
    </row>
    <row r="80" spans="2:9">
      <c r="D80" s="154">
        <v>73050</v>
      </c>
    </row>
    <row r="81" spans="4:4">
      <c r="D81" s="155">
        <v>3846</v>
      </c>
    </row>
    <row r="82" spans="4:4">
      <c r="D82" s="154">
        <v>17293.538461538457</v>
      </c>
    </row>
    <row r="83" spans="4:4">
      <c r="D83" s="154"/>
    </row>
    <row r="84" spans="4:4">
      <c r="D84" s="155">
        <v>8925</v>
      </c>
    </row>
    <row r="85" spans="4:4">
      <c r="D85" s="156">
        <f t="shared" ref="D85" si="19">SUM(D79:D84)</f>
        <v>149998.81538461539</v>
      </c>
    </row>
  </sheetData>
  <mergeCells count="16">
    <mergeCell ref="B5:I5"/>
    <mergeCell ref="B6:D6"/>
    <mergeCell ref="H8:I8"/>
    <mergeCell ref="B50:D50"/>
    <mergeCell ref="B2:I2"/>
    <mergeCell ref="B3:F3"/>
    <mergeCell ref="G3:I3"/>
    <mergeCell ref="B4:F4"/>
    <mergeCell ref="G4:I4"/>
    <mergeCell ref="B60:I60"/>
    <mergeCell ref="B54:I54"/>
    <mergeCell ref="B55:I55"/>
    <mergeCell ref="B56:I56"/>
    <mergeCell ref="B57:I57"/>
    <mergeCell ref="B58:I58"/>
    <mergeCell ref="B59:I59"/>
  </mergeCells>
  <pageMargins left="0.7" right="0.7" top="0.75" bottom="0.75" header="0.3" footer="0.3"/>
  <pageSetup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64"/>
  <sheetViews>
    <sheetView tabSelected="1" workbookViewId="0">
      <selection activeCell="M48" sqref="M48"/>
    </sheetView>
  </sheetViews>
  <sheetFormatPr defaultColWidth="11.42578125" defaultRowHeight="15"/>
  <cols>
    <col min="1" max="1" width="3.5703125" customWidth="1"/>
    <col min="3" max="3" width="14.5703125" bestFit="1" customWidth="1"/>
    <col min="4" max="4" width="36.42578125" customWidth="1"/>
    <col min="6" max="7" width="11.42578125" customWidth="1"/>
    <col min="8" max="8" width="11.42578125" style="170" customWidth="1"/>
    <col min="9" max="10" width="11.42578125" style="176" customWidth="1"/>
    <col min="11" max="12" width="11.42578125" customWidth="1"/>
    <col min="13" max="13" width="48.42578125" customWidth="1"/>
    <col min="14" max="14" width="16.85546875" hidden="1" customWidth="1"/>
    <col min="15" max="15" width="18.5703125" hidden="1" customWidth="1"/>
    <col min="16" max="17" width="14.5703125" hidden="1" customWidth="1"/>
    <col min="18" max="18" width="15.5703125" hidden="1" customWidth="1"/>
    <col min="19" max="19" width="0" hidden="1" customWidth="1"/>
    <col min="20" max="20" width="12" hidden="1" customWidth="1"/>
    <col min="21" max="21" width="15.5703125" hidden="1" customWidth="1"/>
    <col min="22" max="22" width="14.5703125" hidden="1" customWidth="1"/>
    <col min="23" max="23" width="11.42578125" hidden="1" customWidth="1"/>
    <col min="24" max="24" width="14.140625" style="1" hidden="1" customWidth="1"/>
    <col min="25" max="25" width="15.5703125" style="102" hidden="1" customWidth="1"/>
    <col min="26" max="26" width="12" hidden="1" customWidth="1"/>
    <col min="27" max="27" width="11.42578125" hidden="1" customWidth="1"/>
    <col min="28" max="28" width="0" hidden="1" customWidth="1"/>
  </cols>
  <sheetData>
    <row r="1" spans="1:27" ht="15.75" thickBot="1">
      <c r="B1" s="1"/>
      <c r="C1" s="1"/>
      <c r="D1" s="1"/>
      <c r="E1" s="1"/>
      <c r="F1" s="1"/>
      <c r="G1" s="1"/>
      <c r="K1" s="1"/>
      <c r="L1" s="1"/>
      <c r="M1" s="1"/>
    </row>
    <row r="2" spans="1:27" ht="15.75" thickBot="1">
      <c r="B2" s="203" t="s">
        <v>0</v>
      </c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8"/>
    </row>
    <row r="3" spans="1:27" ht="15.75" thickBot="1">
      <c r="B3" s="205" t="s">
        <v>1</v>
      </c>
      <c r="C3" s="206"/>
      <c r="D3" s="206"/>
      <c r="E3" s="206"/>
      <c r="F3" s="209"/>
      <c r="G3" s="210" t="s">
        <v>2</v>
      </c>
      <c r="H3" s="207"/>
      <c r="I3" s="207"/>
      <c r="J3" s="207"/>
      <c r="K3" s="211"/>
      <c r="L3" s="210" t="s">
        <v>3</v>
      </c>
      <c r="M3" s="211"/>
    </row>
    <row r="4" spans="1:27" ht="15.75" thickBot="1">
      <c r="B4" s="205" t="s">
        <v>4</v>
      </c>
      <c r="C4" s="206"/>
      <c r="D4" s="206"/>
      <c r="E4" s="206"/>
      <c r="F4" s="209"/>
      <c r="G4" s="205" t="s">
        <v>5</v>
      </c>
      <c r="H4" s="206"/>
      <c r="I4" s="206"/>
      <c r="J4" s="206"/>
      <c r="K4" s="206"/>
      <c r="L4" s="206"/>
      <c r="M4" s="209"/>
    </row>
    <row r="5" spans="1:27" ht="15.75" thickBot="1">
      <c r="B5" s="198" t="s">
        <v>6</v>
      </c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200"/>
    </row>
    <row r="6" spans="1:27" ht="15.75" thickBot="1">
      <c r="B6" s="198" t="s">
        <v>7</v>
      </c>
      <c r="C6" s="199"/>
      <c r="D6" s="200"/>
      <c r="E6" s="198" t="s">
        <v>89</v>
      </c>
      <c r="F6" s="199"/>
      <c r="G6" s="200"/>
      <c r="H6" s="171"/>
      <c r="I6" s="177"/>
      <c r="J6" s="198" t="s">
        <v>88</v>
      </c>
      <c r="K6" s="199"/>
      <c r="L6" s="200"/>
      <c r="M6" s="2"/>
    </row>
    <row r="7" spans="1:27" ht="15.75" thickBot="1">
      <c r="B7" s="16"/>
      <c r="C7" s="31"/>
      <c r="D7" s="31"/>
      <c r="E7" s="31"/>
      <c r="F7" s="31"/>
      <c r="G7" s="31"/>
      <c r="H7" s="172"/>
      <c r="I7" s="178"/>
      <c r="J7" s="178"/>
      <c r="K7" s="31"/>
      <c r="L7" s="31"/>
      <c r="M7" s="31"/>
    </row>
    <row r="8" spans="1:27" ht="84">
      <c r="A8" s="106"/>
      <c r="B8" s="34" t="s">
        <v>8</v>
      </c>
      <c r="C8" s="32" t="s">
        <v>9</v>
      </c>
      <c r="D8" s="23" t="s">
        <v>10</v>
      </c>
      <c r="E8" s="32" t="s">
        <v>11</v>
      </c>
      <c r="F8" s="23" t="s">
        <v>12</v>
      </c>
      <c r="G8" s="23" t="s">
        <v>13</v>
      </c>
      <c r="H8" s="173"/>
      <c r="I8" s="201" t="s">
        <v>14</v>
      </c>
      <c r="J8" s="201"/>
      <c r="K8" s="32" t="s">
        <v>15</v>
      </c>
      <c r="L8" s="23" t="s">
        <v>16</v>
      </c>
      <c r="M8" s="38" t="s">
        <v>17</v>
      </c>
      <c r="P8" t="s">
        <v>92</v>
      </c>
    </row>
    <row r="9" spans="1:27" ht="24">
      <c r="A9" s="106"/>
      <c r="B9" s="35"/>
      <c r="C9" s="33"/>
      <c r="D9" s="23">
        <v>-1</v>
      </c>
      <c r="E9" s="33"/>
      <c r="F9" s="23">
        <v>-2</v>
      </c>
      <c r="G9" s="23">
        <v>-3</v>
      </c>
      <c r="H9" s="173" t="s">
        <v>18</v>
      </c>
      <c r="I9" s="179" t="s">
        <v>19</v>
      </c>
      <c r="J9" s="179" t="s">
        <v>20</v>
      </c>
      <c r="K9" s="33"/>
      <c r="L9" s="23">
        <v>-4</v>
      </c>
      <c r="M9" s="39"/>
      <c r="N9" t="s">
        <v>90</v>
      </c>
      <c r="O9" t="s">
        <v>91</v>
      </c>
      <c r="P9" t="s">
        <v>96</v>
      </c>
      <c r="Q9" t="s">
        <v>97</v>
      </c>
      <c r="R9" t="s">
        <v>93</v>
      </c>
    </row>
    <row r="10" spans="1:27">
      <c r="B10" s="50">
        <v>1</v>
      </c>
      <c r="C10" s="21"/>
      <c r="D10" s="21" t="s">
        <v>21</v>
      </c>
      <c r="E10" s="162">
        <f t="shared" ref="E10" si="0">E12+E13+E15+E16+E17+E19+E20+E21+E22+E23+E24</f>
        <v>120628.74599388379</v>
      </c>
      <c r="F10" s="44"/>
      <c r="G10" s="44"/>
      <c r="H10" s="162">
        <f>H12+H13+H15+H16+H17+H19+H20+H21+H22+H23+H24</f>
        <v>53238.985993883791</v>
      </c>
      <c r="I10" s="180"/>
      <c r="J10" s="180"/>
      <c r="K10" s="22"/>
      <c r="L10" s="22"/>
      <c r="M10" s="22"/>
      <c r="N10" s="92">
        <f>H10*654</f>
        <v>34818296.839999996</v>
      </c>
      <c r="O10" s="96">
        <f>SUM(O11:O23)</f>
        <v>2869608</v>
      </c>
      <c r="P10" s="96">
        <f t="shared" ref="P10:R10" si="1">SUM(P11:P23)</f>
        <v>5240813</v>
      </c>
      <c r="Q10" s="96" t="e">
        <f t="shared" si="1"/>
        <v>#REF!</v>
      </c>
      <c r="R10" s="97" t="e">
        <f t="shared" si="1"/>
        <v>#REF!</v>
      </c>
      <c r="T10" t="s">
        <v>94</v>
      </c>
      <c r="V10" s="72">
        <v>0.8</v>
      </c>
    </row>
    <row r="11" spans="1:27">
      <c r="B11" s="49"/>
      <c r="C11" s="4"/>
      <c r="D11" s="4" t="s">
        <v>22</v>
      </c>
      <c r="E11" s="163">
        <f t="shared" ref="E11" si="2">SUM(E12+E13)</f>
        <v>11869.871559633028</v>
      </c>
      <c r="F11" s="100"/>
      <c r="G11" s="100"/>
      <c r="H11" s="163">
        <f>SUM(H12+H13)</f>
        <v>5655.8715596330276</v>
      </c>
      <c r="I11" s="181"/>
      <c r="J11" s="181"/>
      <c r="K11" s="5"/>
      <c r="L11" s="5"/>
      <c r="M11" s="5"/>
      <c r="T11" s="67">
        <v>18454</v>
      </c>
      <c r="U11" s="67">
        <f>T11*654</f>
        <v>12068916</v>
      </c>
      <c r="V11" s="81">
        <f>U11*0.8</f>
        <v>9655132.8000000007</v>
      </c>
      <c r="X11" s="1" t="s">
        <v>102</v>
      </c>
      <c r="Y11" s="102">
        <f>Y12/654</f>
        <v>5655.8715596330276</v>
      </c>
    </row>
    <row r="12" spans="1:27" ht="36">
      <c r="B12" s="18" t="s">
        <v>23</v>
      </c>
      <c r="C12" s="10"/>
      <c r="D12" s="7" t="s">
        <v>24</v>
      </c>
      <c r="E12" s="164">
        <f>H12+AA12</f>
        <v>6723.8715596330276</v>
      </c>
      <c r="F12" s="9" t="s">
        <v>25</v>
      </c>
      <c r="G12" s="10" t="s">
        <v>26</v>
      </c>
      <c r="H12" s="189">
        <f>X12</f>
        <v>5655.8715596330276</v>
      </c>
      <c r="I12" s="182">
        <f>H12/E12</f>
        <v>0.84116293856477398</v>
      </c>
      <c r="J12" s="182">
        <f t="shared" ref="J12:J13" si="3">100%-I12</f>
        <v>0.15883706143522602</v>
      </c>
      <c r="K12" s="30">
        <v>42401</v>
      </c>
      <c r="L12" s="10"/>
      <c r="M12" s="10"/>
      <c r="N12" s="68">
        <f>H12*654</f>
        <v>3698940</v>
      </c>
      <c r="O12" s="69">
        <v>495196</v>
      </c>
      <c r="P12" s="68">
        <v>988205</v>
      </c>
      <c r="Q12" s="70">
        <v>200000</v>
      </c>
      <c r="R12" s="68">
        <f>N12-O12-P12-Q12</f>
        <v>2015539</v>
      </c>
      <c r="V12" s="66">
        <f>V11-P10</f>
        <v>4414319.8000000007</v>
      </c>
      <c r="W12" t="s">
        <v>95</v>
      </c>
      <c r="X12" s="151">
        <v>5655.8715596330276</v>
      </c>
      <c r="Y12" s="102">
        <f>'[1]ppto_post mod (2)'!$AU$7</f>
        <v>3698940</v>
      </c>
      <c r="Z12" s="106">
        <f>Y12/654</f>
        <v>5655.8715596330276</v>
      </c>
      <c r="AA12">
        <v>1068</v>
      </c>
    </row>
    <row r="13" spans="1:27">
      <c r="B13" s="18" t="s">
        <v>27</v>
      </c>
      <c r="C13" s="10"/>
      <c r="D13" s="7" t="s">
        <v>28</v>
      </c>
      <c r="E13" s="164">
        <f>H13+AA13</f>
        <v>5146</v>
      </c>
      <c r="F13" s="9" t="s">
        <v>29</v>
      </c>
      <c r="G13" s="10" t="s">
        <v>26</v>
      </c>
      <c r="H13" s="189">
        <f>X13</f>
        <v>0</v>
      </c>
      <c r="I13" s="182">
        <f>H13/E13</f>
        <v>0</v>
      </c>
      <c r="J13" s="182">
        <f t="shared" si="3"/>
        <v>1</v>
      </c>
      <c r="K13" s="11">
        <v>42675</v>
      </c>
      <c r="L13" s="10"/>
      <c r="M13" s="10"/>
      <c r="N13" s="68">
        <f t="shared" ref="N13:N48" si="4">H13*654</f>
        <v>0</v>
      </c>
      <c r="O13" s="71"/>
      <c r="P13" s="68"/>
      <c r="Q13" s="68"/>
      <c r="R13" s="68"/>
      <c r="X13" s="151">
        <v>0</v>
      </c>
      <c r="Z13" s="106">
        <f t="shared" ref="Z13:Z48" si="5">Y13/654</f>
        <v>0</v>
      </c>
      <c r="AA13" s="1">
        <v>5146</v>
      </c>
    </row>
    <row r="14" spans="1:27">
      <c r="B14" s="48"/>
      <c r="C14" s="5"/>
      <c r="D14" s="4" t="s">
        <v>30</v>
      </c>
      <c r="E14" s="165">
        <f>E15+E16+E17</f>
        <v>65228.204954128436</v>
      </c>
      <c r="F14" s="6"/>
      <c r="G14" s="5"/>
      <c r="H14" s="163">
        <f>SUM(H15:H17)</f>
        <v>22052.444954128441</v>
      </c>
      <c r="I14" s="181"/>
      <c r="J14" s="181"/>
      <c r="K14" s="5"/>
      <c r="L14" s="5"/>
      <c r="M14" s="5"/>
      <c r="N14" s="68">
        <f t="shared" si="4"/>
        <v>14422299</v>
      </c>
      <c r="O14" s="71"/>
      <c r="P14" s="68"/>
      <c r="Q14" s="68"/>
      <c r="R14" s="68"/>
      <c r="X14" s="151">
        <v>0</v>
      </c>
      <c r="Z14" s="106">
        <f t="shared" si="5"/>
        <v>0</v>
      </c>
      <c r="AA14" s="1">
        <v>0</v>
      </c>
    </row>
    <row r="15" spans="1:27" ht="36">
      <c r="B15" s="18" t="s">
        <v>31</v>
      </c>
      <c r="C15" s="10"/>
      <c r="D15" s="7" t="s">
        <v>32</v>
      </c>
      <c r="E15" s="166">
        <f>H15+AA15</f>
        <v>18946.039816513759</v>
      </c>
      <c r="F15" s="9" t="s">
        <v>54</v>
      </c>
      <c r="G15" s="10" t="s">
        <v>26</v>
      </c>
      <c r="H15" s="189">
        <f t="shared" ref="H15:H17" si="6">X15</f>
        <v>15154.279816513761</v>
      </c>
      <c r="I15" s="190">
        <f>H15/E15</f>
        <v>0.79986529972902187</v>
      </c>
      <c r="J15" s="182">
        <f t="shared" ref="J15:J17" si="7">100%-I15</f>
        <v>0.20013470027097813</v>
      </c>
      <c r="K15" s="11">
        <v>42675</v>
      </c>
      <c r="L15" s="10"/>
      <c r="M15" s="45"/>
      <c r="N15" s="68">
        <f t="shared" si="4"/>
        <v>9910899</v>
      </c>
      <c r="O15" s="69">
        <v>444742</v>
      </c>
      <c r="P15" s="68">
        <v>1234868</v>
      </c>
      <c r="Q15" s="68" t="e">
        <f>SUM(#REF!)</f>
        <v>#REF!</v>
      </c>
      <c r="R15" s="68" t="e">
        <f>N15-O15-P15-Q15</f>
        <v>#REF!</v>
      </c>
      <c r="X15" s="151">
        <v>15154.279816513761</v>
      </c>
      <c r="Y15" s="102">
        <f>'[1]ppto_post mod (2)'!$AU10</f>
        <v>9910899</v>
      </c>
      <c r="Z15" s="106">
        <f t="shared" si="5"/>
        <v>15154.279816513761</v>
      </c>
      <c r="AA15" s="1">
        <v>3791.76</v>
      </c>
    </row>
    <row r="16" spans="1:27" ht="24">
      <c r="B16" s="18" t="s">
        <v>33</v>
      </c>
      <c r="C16" s="10"/>
      <c r="D16" s="7" t="s">
        <v>34</v>
      </c>
      <c r="E16" s="166">
        <f t="shared" ref="E16:E17" si="8">H16+AA16</f>
        <v>15513.16513761468</v>
      </c>
      <c r="F16" s="9" t="s">
        <v>25</v>
      </c>
      <c r="G16" s="10" t="s">
        <v>26</v>
      </c>
      <c r="H16" s="189">
        <f t="shared" si="6"/>
        <v>6898.1651376146792</v>
      </c>
      <c r="I16" s="190">
        <f t="shared" ref="I16:I17" si="9">H16/E16</f>
        <v>0.44466522959191213</v>
      </c>
      <c r="J16" s="182">
        <f t="shared" si="7"/>
        <v>0.55533477040808787</v>
      </c>
      <c r="K16" s="11">
        <v>42675</v>
      </c>
      <c r="L16" s="10"/>
      <c r="M16" s="45"/>
      <c r="N16" s="68">
        <f t="shared" si="4"/>
        <v>4511400</v>
      </c>
      <c r="O16" s="69">
        <v>1145800</v>
      </c>
      <c r="P16" s="68">
        <v>450000</v>
      </c>
      <c r="Q16" s="68" t="e">
        <f>SUM(#REF!)</f>
        <v>#REF!</v>
      </c>
      <c r="R16" s="68" t="e">
        <f>N16-O16-P16-Q16</f>
        <v>#REF!</v>
      </c>
      <c r="X16" s="151">
        <v>6898.1651376146792</v>
      </c>
      <c r="Y16" s="102">
        <f>'[1]ppto_post mod (2)'!$AU11</f>
        <v>4511400</v>
      </c>
      <c r="Z16" s="106">
        <f t="shared" si="5"/>
        <v>6898.1651376146792</v>
      </c>
      <c r="AA16" s="1">
        <v>8615</v>
      </c>
    </row>
    <row r="17" spans="2:27">
      <c r="B17" s="18" t="s">
        <v>35</v>
      </c>
      <c r="C17" s="10"/>
      <c r="D17" s="7" t="s">
        <v>36</v>
      </c>
      <c r="E17" s="166">
        <f t="shared" si="8"/>
        <v>30769</v>
      </c>
      <c r="F17" s="9" t="s">
        <v>29</v>
      </c>
      <c r="G17" s="10" t="s">
        <v>26</v>
      </c>
      <c r="H17" s="174">
        <f t="shared" si="6"/>
        <v>0</v>
      </c>
      <c r="I17" s="182">
        <f t="shared" si="9"/>
        <v>0</v>
      </c>
      <c r="J17" s="182">
        <f t="shared" si="7"/>
        <v>1</v>
      </c>
      <c r="K17" s="11">
        <v>42795</v>
      </c>
      <c r="L17" s="10"/>
      <c r="M17" s="10"/>
      <c r="N17" s="68">
        <f t="shared" si="4"/>
        <v>0</v>
      </c>
      <c r="O17" s="71"/>
      <c r="P17" s="68"/>
      <c r="Q17" s="68"/>
      <c r="R17" s="68"/>
      <c r="X17" s="151">
        <v>0</v>
      </c>
      <c r="Y17" s="102">
        <f>'[1]ppto_post mod (2)'!$AU12</f>
        <v>0</v>
      </c>
      <c r="Z17" s="106">
        <f t="shared" si="5"/>
        <v>0</v>
      </c>
      <c r="AA17" s="1">
        <v>30769</v>
      </c>
    </row>
    <row r="18" spans="2:27">
      <c r="B18" s="48"/>
      <c r="C18" s="5"/>
      <c r="D18" s="20" t="s">
        <v>37</v>
      </c>
      <c r="E18" s="163">
        <f t="shared" ref="E18:G18" si="10">SUM(E19:E24)</f>
        <v>43530.66948012232</v>
      </c>
      <c r="F18" s="107">
        <f t="shared" si="10"/>
        <v>0</v>
      </c>
      <c r="G18" s="107">
        <f t="shared" si="10"/>
        <v>0</v>
      </c>
      <c r="H18" s="163">
        <f>SUM(H19:H24)</f>
        <v>25530.669480122324</v>
      </c>
      <c r="I18" s="181"/>
      <c r="J18" s="181"/>
      <c r="K18" s="5"/>
      <c r="L18" s="5"/>
      <c r="M18" s="5"/>
      <c r="N18" s="68">
        <f t="shared" si="4"/>
        <v>16697057.84</v>
      </c>
      <c r="O18" s="71"/>
      <c r="P18" s="68"/>
      <c r="Q18" s="68"/>
      <c r="R18" s="68"/>
      <c r="X18" s="151">
        <v>0</v>
      </c>
      <c r="Z18" s="106">
        <f t="shared" si="5"/>
        <v>0</v>
      </c>
      <c r="AA18" s="1">
        <v>0</v>
      </c>
    </row>
    <row r="19" spans="2:27">
      <c r="B19" s="18" t="s">
        <v>38</v>
      </c>
      <c r="C19" s="10"/>
      <c r="D19" s="7" t="s">
        <v>39</v>
      </c>
      <c r="E19" s="167">
        <f>H19+AA19</f>
        <v>14769</v>
      </c>
      <c r="F19" s="9" t="s">
        <v>29</v>
      </c>
      <c r="G19" s="10" t="s">
        <v>26</v>
      </c>
      <c r="H19" s="189">
        <f t="shared" ref="H19:H23" si="11">X19</f>
        <v>0</v>
      </c>
      <c r="I19" s="182">
        <f t="shared" ref="I19:I24" si="12">H19/E19</f>
        <v>0</v>
      </c>
      <c r="J19" s="182">
        <f t="shared" ref="J19:J24" si="13">100%-I19</f>
        <v>1</v>
      </c>
      <c r="K19" s="11">
        <v>42675</v>
      </c>
      <c r="L19" s="10"/>
      <c r="M19" s="45"/>
      <c r="N19" s="68">
        <f t="shared" si="4"/>
        <v>0</v>
      </c>
      <c r="O19" s="71"/>
      <c r="P19" s="68"/>
      <c r="Q19" s="68"/>
      <c r="R19" s="68"/>
      <c r="X19" s="151">
        <v>0</v>
      </c>
      <c r="Y19" s="102">
        <f>'[1]ppto_post mod (2)'!$AU14</f>
        <v>0</v>
      </c>
      <c r="Z19" s="106">
        <f t="shared" si="5"/>
        <v>0</v>
      </c>
      <c r="AA19" s="1">
        <v>14769</v>
      </c>
    </row>
    <row r="20" spans="2:27">
      <c r="B20" s="18">
        <v>1.7</v>
      </c>
      <c r="C20" s="10"/>
      <c r="D20" s="7" t="s">
        <v>40</v>
      </c>
      <c r="E20" s="167">
        <f>H20+AA20</f>
        <v>8312.5458715596324</v>
      </c>
      <c r="F20" s="52" t="s">
        <v>41</v>
      </c>
      <c r="G20" s="10" t="s">
        <v>26</v>
      </c>
      <c r="H20" s="189">
        <f t="shared" si="11"/>
        <v>8312.5458715596324</v>
      </c>
      <c r="I20" s="182">
        <f t="shared" si="12"/>
        <v>1</v>
      </c>
      <c r="J20" s="182">
        <f t="shared" si="13"/>
        <v>0</v>
      </c>
      <c r="K20" s="30">
        <v>42795</v>
      </c>
      <c r="L20" s="29"/>
      <c r="M20" s="161"/>
      <c r="N20" s="68">
        <f t="shared" si="4"/>
        <v>5436405</v>
      </c>
      <c r="O20" s="71"/>
      <c r="P20" s="68">
        <v>1000000</v>
      </c>
      <c r="Q20" s="68" t="e">
        <f>SUM(#REF!)</f>
        <v>#REF!</v>
      </c>
      <c r="R20" s="68" t="e">
        <f>N20-O20-P20-Q20</f>
        <v>#REF!</v>
      </c>
      <c r="X20" s="151">
        <v>8312.5458715596324</v>
      </c>
      <c r="Y20" s="102">
        <f>'[1]ppto_post mod (2)'!$AU15</f>
        <v>5436405</v>
      </c>
      <c r="Z20" s="106">
        <f t="shared" si="5"/>
        <v>8312.5458715596324</v>
      </c>
      <c r="AA20" s="1">
        <v>0</v>
      </c>
    </row>
    <row r="21" spans="2:27">
      <c r="B21" s="18">
        <v>1.8</v>
      </c>
      <c r="C21" s="10"/>
      <c r="D21" s="7" t="s">
        <v>42</v>
      </c>
      <c r="E21" s="167">
        <f>H21+AA21</f>
        <v>2815.8973088685016</v>
      </c>
      <c r="F21" s="52" t="s">
        <v>44</v>
      </c>
      <c r="G21" s="10" t="s">
        <v>26</v>
      </c>
      <c r="H21" s="189">
        <f t="shared" si="11"/>
        <v>2815.8973088685016</v>
      </c>
      <c r="I21" s="182">
        <f t="shared" si="12"/>
        <v>1</v>
      </c>
      <c r="J21" s="182">
        <f t="shared" si="13"/>
        <v>0</v>
      </c>
      <c r="K21" s="30">
        <v>42826</v>
      </c>
      <c r="L21" s="29"/>
      <c r="M21" s="161"/>
      <c r="N21" s="68">
        <f t="shared" si="4"/>
        <v>1841596.84</v>
      </c>
      <c r="O21" s="71"/>
      <c r="P21" s="68">
        <v>0</v>
      </c>
      <c r="Q21" s="68" t="e">
        <f>SUM(#REF!)</f>
        <v>#REF!</v>
      </c>
      <c r="R21" s="68" t="e">
        <f t="shared" ref="R21:R22" si="14">N21-O21-P21-Q21</f>
        <v>#REF!</v>
      </c>
      <c r="X21" s="151">
        <v>2815.8973088685016</v>
      </c>
      <c r="Y21" s="102">
        <f>'[1]ppto_post mod (2)'!$AU16</f>
        <v>1841596.84</v>
      </c>
      <c r="Z21" s="106">
        <f t="shared" si="5"/>
        <v>2815.8973088685016</v>
      </c>
      <c r="AA21" s="1">
        <v>0</v>
      </c>
    </row>
    <row r="22" spans="2:27">
      <c r="B22" s="18">
        <v>1.9</v>
      </c>
      <c r="C22" s="10"/>
      <c r="D22" s="7" t="s">
        <v>43</v>
      </c>
      <c r="E22" s="167">
        <f>H22+AA22</f>
        <v>10187.912844036697</v>
      </c>
      <c r="F22" s="9" t="s">
        <v>44</v>
      </c>
      <c r="G22" s="10" t="s">
        <v>26</v>
      </c>
      <c r="H22" s="189">
        <f t="shared" si="11"/>
        <v>10187.912844036697</v>
      </c>
      <c r="I22" s="182">
        <f t="shared" si="12"/>
        <v>1</v>
      </c>
      <c r="J22" s="182">
        <f t="shared" si="13"/>
        <v>0</v>
      </c>
      <c r="K22" s="30">
        <v>42736</v>
      </c>
      <c r="L22" s="10"/>
      <c r="M22" s="161"/>
      <c r="N22" s="68">
        <f t="shared" si="4"/>
        <v>6662895</v>
      </c>
      <c r="O22" s="69">
        <v>783870</v>
      </c>
      <c r="P22" s="68">
        <v>1567740</v>
      </c>
      <c r="Q22" s="98" t="e">
        <f>SUM(#REF!)</f>
        <v>#REF!</v>
      </c>
      <c r="R22" s="68" t="e">
        <f t="shared" si="14"/>
        <v>#REF!</v>
      </c>
      <c r="X22" s="151">
        <v>10187.912844036697</v>
      </c>
      <c r="Y22" s="102">
        <f>'[1]ppto_post mod (2)'!$AU17</f>
        <v>6662895</v>
      </c>
      <c r="Z22" s="106">
        <f t="shared" si="5"/>
        <v>10187.912844036697</v>
      </c>
      <c r="AA22" s="1">
        <v>0</v>
      </c>
    </row>
    <row r="23" spans="2:27">
      <c r="B23" s="47">
        <v>1.1000000000000001</v>
      </c>
      <c r="C23" s="10"/>
      <c r="D23" s="7" t="s">
        <v>45</v>
      </c>
      <c r="E23" s="167">
        <f>H23+AA23</f>
        <v>4387.2094801223238</v>
      </c>
      <c r="F23" s="9" t="s">
        <v>29</v>
      </c>
      <c r="G23" s="10" t="s">
        <v>26</v>
      </c>
      <c r="H23" s="189">
        <f t="shared" si="11"/>
        <v>1156.2094801223241</v>
      </c>
      <c r="I23" s="182">
        <f t="shared" si="12"/>
        <v>0.26354097869292686</v>
      </c>
      <c r="J23" s="182">
        <f t="shared" si="13"/>
        <v>0.73645902130707319</v>
      </c>
      <c r="K23" s="11">
        <v>42705</v>
      </c>
      <c r="L23" s="10"/>
      <c r="M23" s="161"/>
      <c r="N23" s="68">
        <f t="shared" si="4"/>
        <v>756160.99999999988</v>
      </c>
      <c r="O23" s="68"/>
      <c r="P23" s="68"/>
      <c r="Q23" s="98"/>
      <c r="R23" s="68"/>
      <c r="X23" s="151">
        <v>1156.2094801223241</v>
      </c>
      <c r="Y23" s="102">
        <f>'[1]ppto_post mod (2)'!$AU18</f>
        <v>756161</v>
      </c>
      <c r="Z23" s="106">
        <f t="shared" si="5"/>
        <v>1156.2094801223241</v>
      </c>
      <c r="AA23" s="1">
        <v>3231</v>
      </c>
    </row>
    <row r="24" spans="2:27" s="1" customFormat="1">
      <c r="B24" s="47" t="s">
        <v>123</v>
      </c>
      <c r="C24" s="10"/>
      <c r="D24" s="7" t="s">
        <v>124</v>
      </c>
      <c r="E24" s="167">
        <f>X24</f>
        <v>3058.103975535168</v>
      </c>
      <c r="F24" s="9" t="s">
        <v>25</v>
      </c>
      <c r="G24" s="10" t="s">
        <v>26</v>
      </c>
      <c r="H24" s="189">
        <f>X24</f>
        <v>3058.103975535168</v>
      </c>
      <c r="I24" s="182">
        <f t="shared" si="12"/>
        <v>1</v>
      </c>
      <c r="J24" s="182">
        <f t="shared" si="13"/>
        <v>0</v>
      </c>
      <c r="K24" s="11">
        <v>2018</v>
      </c>
      <c r="L24" s="10"/>
      <c r="M24" s="161"/>
      <c r="N24" s="103">
        <f t="shared" si="4"/>
        <v>2000000</v>
      </c>
      <c r="O24" s="103"/>
      <c r="P24" s="103"/>
      <c r="Q24" s="103"/>
      <c r="R24" s="68"/>
      <c r="X24" s="151">
        <v>3058.103975535168</v>
      </c>
      <c r="Y24" s="102">
        <f>'[1]ppto_post mod (2)'!$AU20</f>
        <v>2000000</v>
      </c>
      <c r="Z24" s="106">
        <f t="shared" si="5"/>
        <v>3058.103975535168</v>
      </c>
    </row>
    <row r="25" spans="2:27">
      <c r="B25" s="50">
        <v>2</v>
      </c>
      <c r="C25" s="21"/>
      <c r="D25" s="21" t="s">
        <v>46</v>
      </c>
      <c r="E25" s="162">
        <f t="shared" ref="E25:G25" si="15">E26+E39</f>
        <v>102979</v>
      </c>
      <c r="F25" s="44">
        <f t="shared" si="15"/>
        <v>0</v>
      </c>
      <c r="G25" s="44">
        <f t="shared" si="15"/>
        <v>0</v>
      </c>
      <c r="H25" s="162">
        <f>H26+H39</f>
        <v>73050</v>
      </c>
      <c r="I25" s="180"/>
      <c r="J25" s="180"/>
      <c r="K25" s="22"/>
      <c r="L25" s="22"/>
      <c r="M25" s="22"/>
      <c r="N25" s="65">
        <f>SUM(N26:N40)</f>
        <v>95549400</v>
      </c>
      <c r="O25" s="65">
        <f>SUM(O26:O40)</f>
        <v>9279678</v>
      </c>
      <c r="P25" s="65">
        <f>SUM(P26:P40)</f>
        <v>6319735</v>
      </c>
      <c r="Q25" s="65" t="e">
        <f>SUM(Q26:Q40)</f>
        <v>#REF!</v>
      </c>
      <c r="R25" s="92" t="e">
        <f>SUM(R26:R40)</f>
        <v>#REF!</v>
      </c>
      <c r="T25" s="1" t="s">
        <v>94</v>
      </c>
      <c r="V25" s="73">
        <v>0.8</v>
      </c>
      <c r="X25" s="151">
        <v>0</v>
      </c>
      <c r="Y25" s="102">
        <f>'[1]ppto_post mod (2)'!$AU21</f>
        <v>34818296.840000004</v>
      </c>
      <c r="Z25" s="106">
        <f t="shared" si="5"/>
        <v>53238.985993883798</v>
      </c>
      <c r="AA25" s="1">
        <v>0</v>
      </c>
    </row>
    <row r="26" spans="2:27">
      <c r="B26" s="51"/>
      <c r="C26" s="6"/>
      <c r="D26" s="20" t="s">
        <v>47</v>
      </c>
      <c r="E26" s="165">
        <f t="shared" ref="E26:G26" si="16">SUM(E27:E38)</f>
        <v>84708.808868501525</v>
      </c>
      <c r="F26" s="108">
        <f t="shared" si="16"/>
        <v>0</v>
      </c>
      <c r="G26" s="108">
        <f t="shared" si="16"/>
        <v>0</v>
      </c>
      <c r="H26" s="165">
        <f>SUM(H27:H38)</f>
        <v>54779.808868501525</v>
      </c>
      <c r="I26" s="183"/>
      <c r="J26" s="183"/>
      <c r="K26" s="6"/>
      <c r="L26" s="6"/>
      <c r="M26" s="40"/>
      <c r="N26" s="83">
        <f t="shared" si="4"/>
        <v>35825995</v>
      </c>
      <c r="O26" s="84"/>
      <c r="P26" s="85"/>
      <c r="Q26" s="99"/>
      <c r="R26" s="85"/>
      <c r="T26" s="79">
        <v>64872</v>
      </c>
      <c r="U26" s="80">
        <f>T26*654</f>
        <v>42426288</v>
      </c>
      <c r="V26" s="80">
        <f>U26*0.8</f>
        <v>33941030.399999999</v>
      </c>
      <c r="X26" s="151">
        <v>0</v>
      </c>
      <c r="Z26" s="106">
        <f t="shared" si="5"/>
        <v>0</v>
      </c>
      <c r="AA26" s="1">
        <v>0</v>
      </c>
    </row>
    <row r="27" spans="2:27">
      <c r="B27" s="18" t="s">
        <v>48</v>
      </c>
      <c r="C27" s="12"/>
      <c r="D27" s="7" t="s">
        <v>49</v>
      </c>
      <c r="E27" s="167">
        <f>H27+AA27</f>
        <v>261.68195718654431</v>
      </c>
      <c r="F27" s="9" t="s">
        <v>25</v>
      </c>
      <c r="G27" s="10" t="s">
        <v>26</v>
      </c>
      <c r="H27" s="189">
        <f>Z27</f>
        <v>151.68195718654434</v>
      </c>
      <c r="I27" s="182">
        <f>H27/E27</f>
        <v>0.57964239803669515</v>
      </c>
      <c r="J27" s="182">
        <f t="shared" ref="J27:J38" si="17">100%-I27</f>
        <v>0.42035760196330485</v>
      </c>
      <c r="K27" s="26">
        <v>2017</v>
      </c>
      <c r="L27" s="10"/>
      <c r="M27" s="161"/>
      <c r="N27" s="83">
        <f t="shared" si="4"/>
        <v>99200</v>
      </c>
      <c r="O27" s="86">
        <v>0</v>
      </c>
      <c r="P27" s="90">
        <v>0</v>
      </c>
      <c r="Q27" s="99" t="e">
        <f>SUM(#REF!)</f>
        <v>#REF!</v>
      </c>
      <c r="R27" s="88" t="e">
        <f>N27-SUM(O27:Q27)</f>
        <v>#REF!</v>
      </c>
      <c r="V27" s="28">
        <f>V26-10000000</f>
        <v>23941030.399999999</v>
      </c>
      <c r="X27" s="151">
        <v>151.68195718654434</v>
      </c>
      <c r="Y27" s="102">
        <f>'[1]ppto_post mod (2)'!$AU24</f>
        <v>99200</v>
      </c>
      <c r="Z27" s="106">
        <f t="shared" si="5"/>
        <v>151.68195718654434</v>
      </c>
      <c r="AA27" s="1">
        <v>110</v>
      </c>
    </row>
    <row r="28" spans="2:27">
      <c r="B28" s="18" t="s">
        <v>50</v>
      </c>
      <c r="C28" s="12"/>
      <c r="D28" s="7" t="s">
        <v>51</v>
      </c>
      <c r="E28" s="167">
        <f t="shared" ref="E28:E38" si="18">H28+AA28</f>
        <v>15144.646788990827</v>
      </c>
      <c r="F28" s="9" t="s">
        <v>25</v>
      </c>
      <c r="G28" s="10" t="s">
        <v>26</v>
      </c>
      <c r="H28" s="189">
        <f t="shared" ref="H28:H35" si="19">Z28</f>
        <v>10803.646788990825</v>
      </c>
      <c r="I28" s="182">
        <f t="shared" ref="I28:I38" si="20">H28/E28</f>
        <v>0.71336406451184942</v>
      </c>
      <c r="J28" s="182">
        <f t="shared" si="17"/>
        <v>0.28663593548815058</v>
      </c>
      <c r="K28" s="26">
        <v>2017</v>
      </c>
      <c r="L28" s="10"/>
      <c r="M28" s="161"/>
      <c r="N28" s="83">
        <f t="shared" si="4"/>
        <v>7065585</v>
      </c>
      <c r="O28" s="86">
        <v>2107692</v>
      </c>
      <c r="P28" s="90">
        <v>990979</v>
      </c>
      <c r="Q28" s="85" t="e">
        <f>SUM(#REF!)</f>
        <v>#REF!</v>
      </c>
      <c r="R28" s="88" t="e">
        <f t="shared" ref="R28:R48" si="21">N28-SUM(O28:Q28)</f>
        <v>#REF!</v>
      </c>
      <c r="V28" s="66" t="e">
        <f>SUM(P25:Q25)</f>
        <v>#REF!</v>
      </c>
      <c r="X28" s="151">
        <v>10803.646788990825</v>
      </c>
      <c r="Y28" s="102">
        <f>'[1]ppto_post mod (2)'!$AU25</f>
        <v>7065585</v>
      </c>
      <c r="Z28" s="106">
        <f t="shared" si="5"/>
        <v>10803.646788990825</v>
      </c>
      <c r="AA28" s="1">
        <v>4341.0000000000009</v>
      </c>
    </row>
    <row r="29" spans="2:27" s="61" customFormat="1">
      <c r="B29" s="57" t="s">
        <v>52</v>
      </c>
      <c r="C29" s="58"/>
      <c r="D29" s="59" t="s">
        <v>53</v>
      </c>
      <c r="E29" s="167">
        <f t="shared" si="18"/>
        <v>0</v>
      </c>
      <c r="F29" s="37" t="s">
        <v>54</v>
      </c>
      <c r="G29" s="60" t="s">
        <v>26</v>
      </c>
      <c r="H29" s="189">
        <f t="shared" si="19"/>
        <v>0</v>
      </c>
      <c r="I29" s="182"/>
      <c r="J29" s="182"/>
      <c r="K29" s="26">
        <v>2017</v>
      </c>
      <c r="L29" s="60"/>
      <c r="M29" s="161"/>
      <c r="N29" s="83">
        <f t="shared" si="4"/>
        <v>0</v>
      </c>
      <c r="O29" s="86"/>
      <c r="P29" s="90">
        <v>0</v>
      </c>
      <c r="Q29" s="89" t="e">
        <f>SUM(#REF!)</f>
        <v>#REF!</v>
      </c>
      <c r="R29" s="88" t="e">
        <f t="shared" si="21"/>
        <v>#REF!</v>
      </c>
      <c r="V29" s="75" t="e">
        <f>V27-V28</f>
        <v>#REF!</v>
      </c>
      <c r="X29" s="152">
        <v>0</v>
      </c>
      <c r="Y29" s="102">
        <f>'[1]ppto_post mod (2)'!$AU26</f>
        <v>0</v>
      </c>
      <c r="Z29" s="106">
        <f t="shared" si="5"/>
        <v>0</v>
      </c>
      <c r="AA29" s="1">
        <v>0</v>
      </c>
    </row>
    <row r="30" spans="2:27">
      <c r="B30" s="18" t="s">
        <v>55</v>
      </c>
      <c r="C30" s="12"/>
      <c r="D30" s="7" t="s">
        <v>56</v>
      </c>
      <c r="E30" s="167">
        <f t="shared" si="18"/>
        <v>20817.746177370031</v>
      </c>
      <c r="F30" s="9" t="s">
        <v>54</v>
      </c>
      <c r="G30" s="10" t="s">
        <v>26</v>
      </c>
      <c r="H30" s="189">
        <f t="shared" si="19"/>
        <v>13627.746177370031</v>
      </c>
      <c r="I30" s="182">
        <f t="shared" si="20"/>
        <v>0.65462159357981309</v>
      </c>
      <c r="J30" s="182">
        <f t="shared" si="17"/>
        <v>0.34537840642018691</v>
      </c>
      <c r="K30" s="26">
        <v>2017</v>
      </c>
      <c r="L30" s="10"/>
      <c r="M30" s="161"/>
      <c r="N30" s="83">
        <f t="shared" si="4"/>
        <v>8912546</v>
      </c>
      <c r="O30" s="90">
        <v>1853983</v>
      </c>
      <c r="P30" s="90">
        <v>2523675</v>
      </c>
      <c r="Q30" s="85" t="e">
        <f>SUM(#REF!)</f>
        <v>#REF!</v>
      </c>
      <c r="R30" s="88" t="e">
        <f t="shared" si="21"/>
        <v>#REF!</v>
      </c>
      <c r="X30" s="151">
        <v>13627.746177370031</v>
      </c>
      <c r="Y30" s="102">
        <f>'[1]ppto_post mod (2)'!$AU27</f>
        <v>8912546</v>
      </c>
      <c r="Z30" s="106">
        <f t="shared" si="5"/>
        <v>13627.746177370031</v>
      </c>
      <c r="AA30" s="1">
        <v>7190</v>
      </c>
    </row>
    <row r="31" spans="2:27">
      <c r="B31" s="18" t="s">
        <v>57</v>
      </c>
      <c r="C31" s="12"/>
      <c r="D31" s="7" t="s">
        <v>58</v>
      </c>
      <c r="E31" s="167">
        <f t="shared" si="18"/>
        <v>18066.24006116208</v>
      </c>
      <c r="F31" s="9" t="s">
        <v>54</v>
      </c>
      <c r="G31" s="10" t="s">
        <v>26</v>
      </c>
      <c r="H31" s="189">
        <f t="shared" si="19"/>
        <v>10119.24006116208</v>
      </c>
      <c r="I31" s="182">
        <f t="shared" si="20"/>
        <v>0.56011876444152475</v>
      </c>
      <c r="J31" s="182">
        <f t="shared" si="17"/>
        <v>0.43988123555847525</v>
      </c>
      <c r="K31" s="26">
        <v>2017</v>
      </c>
      <c r="L31" s="10"/>
      <c r="M31" s="161"/>
      <c r="N31" s="83">
        <f t="shared" si="4"/>
        <v>6617983</v>
      </c>
      <c r="O31" s="86">
        <v>1394364</v>
      </c>
      <c r="P31" s="90">
        <v>2302179</v>
      </c>
      <c r="Q31" s="85" t="e">
        <f>SUM(#REF!)</f>
        <v>#REF!</v>
      </c>
      <c r="R31" s="88" t="e">
        <f t="shared" si="21"/>
        <v>#REF!</v>
      </c>
      <c r="X31" s="151">
        <v>10119.24006116208</v>
      </c>
      <c r="Y31" s="102">
        <f>'[1]ppto_post mod (2)'!$AU28</f>
        <v>6617983</v>
      </c>
      <c r="Z31" s="106">
        <f t="shared" si="5"/>
        <v>10119.24006116208</v>
      </c>
      <c r="AA31" s="1">
        <v>7947</v>
      </c>
    </row>
    <row r="32" spans="2:27" s="61" customFormat="1">
      <c r="B32" s="57" t="s">
        <v>59</v>
      </c>
      <c r="C32" s="58"/>
      <c r="D32" s="59" t="s">
        <v>60</v>
      </c>
      <c r="E32" s="167">
        <f t="shared" si="18"/>
        <v>2622.9281345565751</v>
      </c>
      <c r="F32" s="37" t="s">
        <v>54</v>
      </c>
      <c r="G32" s="60" t="s">
        <v>26</v>
      </c>
      <c r="H32" s="189">
        <f t="shared" si="19"/>
        <v>2622.9281345565751</v>
      </c>
      <c r="I32" s="182">
        <f t="shared" si="20"/>
        <v>1</v>
      </c>
      <c r="J32" s="182">
        <f t="shared" si="17"/>
        <v>0</v>
      </c>
      <c r="K32" s="26">
        <v>2017</v>
      </c>
      <c r="L32" s="60"/>
      <c r="M32" s="161"/>
      <c r="N32" s="83">
        <f t="shared" si="4"/>
        <v>1715395</v>
      </c>
      <c r="O32" s="86">
        <v>318933</v>
      </c>
      <c r="P32" s="87">
        <v>0</v>
      </c>
      <c r="Q32" s="89" t="e">
        <f>SUM(#REF!)</f>
        <v>#REF!</v>
      </c>
      <c r="R32" s="88" t="e">
        <f t="shared" si="21"/>
        <v>#REF!</v>
      </c>
      <c r="X32" s="152">
        <v>2622.9281345565751</v>
      </c>
      <c r="Y32" s="102">
        <f>'[1]ppto_post mod (2)'!$AU29</f>
        <v>1715395</v>
      </c>
      <c r="Z32" s="106">
        <f t="shared" si="5"/>
        <v>2622.9281345565751</v>
      </c>
      <c r="AA32" s="1">
        <v>0</v>
      </c>
    </row>
    <row r="33" spans="2:27">
      <c r="B33" s="18" t="s">
        <v>61</v>
      </c>
      <c r="C33" s="12"/>
      <c r="D33" s="7" t="s">
        <v>62</v>
      </c>
      <c r="E33" s="167">
        <f t="shared" si="18"/>
        <v>4862.1972477064219</v>
      </c>
      <c r="F33" s="9" t="s">
        <v>25</v>
      </c>
      <c r="G33" s="10" t="s">
        <v>26</v>
      </c>
      <c r="H33" s="189">
        <f t="shared" si="19"/>
        <v>2829.1972477064219</v>
      </c>
      <c r="I33" s="182">
        <f t="shared" si="20"/>
        <v>0.58187628012026882</v>
      </c>
      <c r="J33" s="182">
        <f t="shared" si="17"/>
        <v>0.41812371987973118</v>
      </c>
      <c r="K33" s="26">
        <v>2017</v>
      </c>
      <c r="L33" s="10"/>
      <c r="M33" s="161"/>
      <c r="N33" s="83">
        <f t="shared" si="4"/>
        <v>1850295</v>
      </c>
      <c r="O33" s="86">
        <v>1285447</v>
      </c>
      <c r="P33" s="87">
        <v>0</v>
      </c>
      <c r="Q33" s="85" t="e">
        <f>SUM(#REF!)</f>
        <v>#REF!</v>
      </c>
      <c r="R33" s="88" t="e">
        <f t="shared" si="21"/>
        <v>#REF!</v>
      </c>
      <c r="X33" s="151">
        <v>2829.1972477064219</v>
      </c>
      <c r="Y33" s="102">
        <f>'[1]ppto_post mod (2)'!$AU30</f>
        <v>1850295</v>
      </c>
      <c r="Z33" s="106">
        <f t="shared" si="5"/>
        <v>2829.1972477064219</v>
      </c>
      <c r="AA33" s="1">
        <v>2033.0000000000002</v>
      </c>
    </row>
    <row r="34" spans="2:27" ht="24">
      <c r="B34" s="18" t="s">
        <v>63</v>
      </c>
      <c r="C34" s="12"/>
      <c r="D34" s="7" t="s">
        <v>64</v>
      </c>
      <c r="E34" s="167">
        <f t="shared" si="18"/>
        <v>2150.5519877675843</v>
      </c>
      <c r="F34" s="9" t="s">
        <v>54</v>
      </c>
      <c r="G34" s="10" t="s">
        <v>26</v>
      </c>
      <c r="H34" s="189">
        <f t="shared" si="19"/>
        <v>2150.5519877675843</v>
      </c>
      <c r="I34" s="182">
        <f t="shared" si="20"/>
        <v>1</v>
      </c>
      <c r="J34" s="182">
        <f t="shared" si="17"/>
        <v>0</v>
      </c>
      <c r="K34" s="26">
        <v>2017</v>
      </c>
      <c r="L34" s="10"/>
      <c r="M34" s="161"/>
      <c r="N34" s="83">
        <f t="shared" si="4"/>
        <v>1406461</v>
      </c>
      <c r="O34" s="86">
        <v>0</v>
      </c>
      <c r="P34" s="87">
        <v>484520</v>
      </c>
      <c r="Q34" s="85" t="e">
        <f>SUM(#REF!)</f>
        <v>#REF!</v>
      </c>
      <c r="R34" s="88" t="e">
        <f t="shared" si="21"/>
        <v>#REF!</v>
      </c>
      <c r="X34" s="151">
        <v>2150.5519877675843</v>
      </c>
      <c r="Y34" s="102">
        <f>'[1]ppto_post mod (2)'!$AU31</f>
        <v>1406461</v>
      </c>
      <c r="Z34" s="106">
        <f t="shared" si="5"/>
        <v>2150.5519877675843</v>
      </c>
      <c r="AA34" s="1">
        <v>0</v>
      </c>
    </row>
    <row r="35" spans="2:27" ht="14.25" customHeight="1">
      <c r="B35" s="18" t="s">
        <v>65</v>
      </c>
      <c r="C35" s="12"/>
      <c r="D35" s="7" t="s">
        <v>66</v>
      </c>
      <c r="E35" s="167">
        <f t="shared" si="18"/>
        <v>5013.9159021406731</v>
      </c>
      <c r="F35" s="9" t="s">
        <v>25</v>
      </c>
      <c r="G35" s="10" t="s">
        <v>26</v>
      </c>
      <c r="H35" s="189">
        <f t="shared" si="19"/>
        <v>5013.9159021406731</v>
      </c>
      <c r="I35" s="182">
        <f t="shared" si="20"/>
        <v>1</v>
      </c>
      <c r="J35" s="182">
        <f t="shared" si="17"/>
        <v>0</v>
      </c>
      <c r="K35" s="26">
        <v>2017</v>
      </c>
      <c r="L35" s="10"/>
      <c r="M35" s="161"/>
      <c r="N35" s="83">
        <f t="shared" si="4"/>
        <v>3279101</v>
      </c>
      <c r="O35" s="86">
        <v>0</v>
      </c>
      <c r="P35" s="87">
        <v>18382</v>
      </c>
      <c r="Q35" s="85" t="e">
        <f>SUM(#REF!)</f>
        <v>#REF!</v>
      </c>
      <c r="R35" s="88" t="e">
        <f t="shared" si="21"/>
        <v>#REF!</v>
      </c>
      <c r="X35" s="151">
        <v>5013.9159021406731</v>
      </c>
      <c r="Y35" s="102">
        <f>'[1]ppto_post mod (2)'!$AU32</f>
        <v>3279101</v>
      </c>
      <c r="Z35" s="106">
        <f t="shared" si="5"/>
        <v>5013.9159021406731</v>
      </c>
      <c r="AA35" s="1">
        <v>0</v>
      </c>
    </row>
    <row r="36" spans="2:27">
      <c r="B36" s="18" t="s">
        <v>67</v>
      </c>
      <c r="C36" s="10"/>
      <c r="D36" s="7" t="s">
        <v>68</v>
      </c>
      <c r="E36" s="167">
        <f>H36+AA36</f>
        <v>12221.495412844037</v>
      </c>
      <c r="F36" s="9" t="s">
        <v>25</v>
      </c>
      <c r="G36" s="10" t="s">
        <v>26</v>
      </c>
      <c r="H36" s="189">
        <f>Z36</f>
        <v>3913.4954128440368</v>
      </c>
      <c r="I36" s="182">
        <f t="shared" si="20"/>
        <v>0.32021412115666259</v>
      </c>
      <c r="J36" s="182">
        <f t="shared" si="17"/>
        <v>0.67978587884333741</v>
      </c>
      <c r="K36" s="26">
        <v>2017</v>
      </c>
      <c r="L36" s="10"/>
      <c r="M36" s="161"/>
      <c r="N36" s="83">
        <f>H36*654</f>
        <v>2559426</v>
      </c>
      <c r="O36" s="91">
        <v>0</v>
      </c>
      <c r="P36" s="85"/>
      <c r="Q36" s="85" t="e">
        <f>SUM(#REF!)</f>
        <v>#REF!</v>
      </c>
      <c r="R36" s="88" t="e">
        <f>N36-SUM(O36:Q36)</f>
        <v>#REF!</v>
      </c>
      <c r="X36" s="151">
        <v>3913.4954128440368</v>
      </c>
      <c r="Y36" s="102">
        <f>'[1]ppto_post mod (2)'!$AU35</f>
        <v>2559426</v>
      </c>
      <c r="Z36" s="106">
        <f>Y36/654</f>
        <v>3913.4954128440368</v>
      </c>
      <c r="AA36" s="1">
        <v>8308</v>
      </c>
    </row>
    <row r="37" spans="2:27">
      <c r="B37" s="18" t="s">
        <v>69</v>
      </c>
      <c r="C37" s="10"/>
      <c r="D37" s="7" t="s">
        <v>70</v>
      </c>
      <c r="E37" s="167">
        <f>H37+AA37</f>
        <v>1744.059633027523</v>
      </c>
      <c r="F37" s="9" t="s">
        <v>25</v>
      </c>
      <c r="G37" s="10" t="s">
        <v>26</v>
      </c>
      <c r="H37" s="189">
        <f>Z37</f>
        <v>1744.059633027523</v>
      </c>
      <c r="I37" s="182">
        <f t="shared" si="20"/>
        <v>1</v>
      </c>
      <c r="J37" s="182">
        <f t="shared" si="17"/>
        <v>0</v>
      </c>
      <c r="K37" s="26">
        <v>2017</v>
      </c>
      <c r="L37" s="10"/>
      <c r="M37" s="161"/>
      <c r="N37" s="83">
        <f>H37*654</f>
        <v>1140615</v>
      </c>
      <c r="O37" s="91">
        <v>0</v>
      </c>
      <c r="P37" s="85"/>
      <c r="Q37" s="85"/>
      <c r="R37" s="88">
        <f>N37-SUM(O37:Q37)</f>
        <v>1140615</v>
      </c>
      <c r="X37" s="151">
        <v>1744.059633027523</v>
      </c>
      <c r="Y37" s="102">
        <f>'[1]ppto_post mod (2)'!$AU36</f>
        <v>1140615</v>
      </c>
      <c r="Z37" s="106">
        <f>Y37/654</f>
        <v>1744.059633027523</v>
      </c>
      <c r="AA37" s="1">
        <v>0</v>
      </c>
    </row>
    <row r="38" spans="2:27">
      <c r="B38" s="104" t="s">
        <v>98</v>
      </c>
      <c r="D38" s="105" t="s">
        <v>99</v>
      </c>
      <c r="E38" s="167">
        <f t="shared" si="18"/>
        <v>1803.3455657492354</v>
      </c>
      <c r="H38" s="191">
        <f>Z38</f>
        <v>1803.3455657492354</v>
      </c>
      <c r="I38" s="182">
        <f t="shared" si="20"/>
        <v>1</v>
      </c>
      <c r="J38" s="182">
        <f t="shared" si="17"/>
        <v>0</v>
      </c>
      <c r="K38" s="160">
        <v>2018</v>
      </c>
      <c r="M38" s="161"/>
      <c r="N38" s="111">
        <f t="shared" si="4"/>
        <v>1179388</v>
      </c>
      <c r="X38" s="151">
        <v>1803.3455657492354</v>
      </c>
      <c r="Y38" s="102">
        <f>'[1]ppto_post mod (2)'!$AU33</f>
        <v>1179388</v>
      </c>
      <c r="Z38" s="106">
        <f t="shared" si="5"/>
        <v>1803.3455657492354</v>
      </c>
      <c r="AA38" s="1">
        <v>0</v>
      </c>
    </row>
    <row r="39" spans="2:27">
      <c r="B39" s="48"/>
      <c r="C39" s="4"/>
      <c r="D39" s="20" t="s">
        <v>37</v>
      </c>
      <c r="E39" s="163">
        <f t="shared" ref="E39:G39" si="22">SUM(E40)</f>
        <v>18270.191131498472</v>
      </c>
      <c r="F39" s="100">
        <f t="shared" si="22"/>
        <v>0</v>
      </c>
      <c r="G39" s="100">
        <f t="shared" si="22"/>
        <v>0</v>
      </c>
      <c r="H39" s="163">
        <f>SUM(H40)</f>
        <v>18270.191131498472</v>
      </c>
      <c r="I39" s="184"/>
      <c r="J39" s="187"/>
      <c r="K39" s="46"/>
      <c r="L39" s="5"/>
      <c r="M39" s="5"/>
      <c r="N39" s="83">
        <f t="shared" si="4"/>
        <v>11948705</v>
      </c>
      <c r="O39" s="89"/>
      <c r="P39" s="85"/>
      <c r="Q39" s="85"/>
      <c r="R39" s="88">
        <f t="shared" si="21"/>
        <v>11948705</v>
      </c>
      <c r="X39" s="151">
        <v>0</v>
      </c>
      <c r="Z39" s="106">
        <f t="shared" si="5"/>
        <v>0</v>
      </c>
      <c r="AA39" s="1">
        <v>0</v>
      </c>
    </row>
    <row r="40" spans="2:27">
      <c r="B40" s="18" t="s">
        <v>71</v>
      </c>
      <c r="C40" s="12"/>
      <c r="D40" s="7" t="s">
        <v>72</v>
      </c>
      <c r="E40" s="167">
        <f t="shared" ref="E40" si="23">H40+AA40</f>
        <v>18270.191131498472</v>
      </c>
      <c r="F40" s="9" t="s">
        <v>44</v>
      </c>
      <c r="G40" s="10" t="s">
        <v>26</v>
      </c>
      <c r="H40" s="189">
        <f t="shared" ref="H40" si="24">Z40</f>
        <v>18270.191131498472</v>
      </c>
      <c r="I40" s="182">
        <f>H40/E40</f>
        <v>1</v>
      </c>
      <c r="J40" s="182">
        <v>0</v>
      </c>
      <c r="K40" s="27">
        <v>42675</v>
      </c>
      <c r="L40" s="10"/>
      <c r="M40" s="161"/>
      <c r="N40" s="83">
        <f t="shared" si="4"/>
        <v>11948705</v>
      </c>
      <c r="O40" s="91">
        <v>2319259</v>
      </c>
      <c r="P40" s="85"/>
      <c r="Q40" s="85"/>
      <c r="R40" s="88">
        <f t="shared" si="21"/>
        <v>9629446</v>
      </c>
      <c r="X40" s="151">
        <v>18270.191131498472</v>
      </c>
      <c r="Y40" s="102">
        <f>'[1]ppto_post mod (2)'!$AU37</f>
        <v>11948705</v>
      </c>
      <c r="Z40" s="106">
        <f t="shared" si="5"/>
        <v>18270.191131498472</v>
      </c>
      <c r="AA40" s="1">
        <v>0</v>
      </c>
    </row>
    <row r="41" spans="2:27">
      <c r="B41" s="50">
        <v>3</v>
      </c>
      <c r="C41" s="22"/>
      <c r="D41" s="21" t="s">
        <v>73</v>
      </c>
      <c r="E41" s="162">
        <f t="shared" ref="E41:G41" si="25">SUM(E42:E44)</f>
        <v>3846</v>
      </c>
      <c r="F41" s="44">
        <f t="shared" si="25"/>
        <v>0</v>
      </c>
      <c r="G41" s="44">
        <f t="shared" si="25"/>
        <v>0</v>
      </c>
      <c r="H41" s="162">
        <f>SUM(H42:H44)</f>
        <v>3846</v>
      </c>
      <c r="I41" s="180"/>
      <c r="J41" s="180"/>
      <c r="K41" s="22"/>
      <c r="L41" s="22"/>
      <c r="M41" s="22"/>
      <c r="N41" s="92">
        <f>SUM(N42:N44)</f>
        <v>2515284</v>
      </c>
      <c r="O41" s="92">
        <f t="shared" ref="O41:Q41" si="26">SUM(O42:O44)</f>
        <v>0</v>
      </c>
      <c r="P41" s="92">
        <f t="shared" si="26"/>
        <v>0</v>
      </c>
      <c r="Q41" s="92">
        <f t="shared" si="26"/>
        <v>0</v>
      </c>
      <c r="R41" s="93">
        <f t="shared" si="21"/>
        <v>2515284</v>
      </c>
      <c r="X41" s="151">
        <v>0</v>
      </c>
      <c r="Z41" s="106">
        <f t="shared" si="5"/>
        <v>0</v>
      </c>
      <c r="AA41" s="1">
        <v>0</v>
      </c>
    </row>
    <row r="42" spans="2:27">
      <c r="B42" s="18">
        <v>3.1</v>
      </c>
      <c r="C42" s="10"/>
      <c r="D42" s="10" t="s">
        <v>74</v>
      </c>
      <c r="E42" s="167">
        <f>H42+AA42</f>
        <v>769</v>
      </c>
      <c r="F42" s="9" t="s">
        <v>25</v>
      </c>
      <c r="G42" s="10" t="s">
        <v>26</v>
      </c>
      <c r="H42" s="174">
        <f>Z42</f>
        <v>769</v>
      </c>
      <c r="I42" s="182">
        <f t="shared" ref="I42:I43" si="27">H42/E42</f>
        <v>1</v>
      </c>
      <c r="J42" s="182">
        <f t="shared" ref="J42:J43" si="28">100%-I42</f>
        <v>0</v>
      </c>
      <c r="K42" s="11">
        <v>43160</v>
      </c>
      <c r="L42" s="10"/>
      <c r="M42" s="10"/>
      <c r="N42" s="67">
        <f t="shared" si="4"/>
        <v>502926</v>
      </c>
      <c r="O42" s="82"/>
      <c r="P42" s="82"/>
      <c r="Q42" s="82"/>
      <c r="R42" s="81">
        <f t="shared" si="21"/>
        <v>502926</v>
      </c>
      <c r="X42" s="151">
        <v>769</v>
      </c>
      <c r="Y42" s="102">
        <f>'[1]ppto_post mod (2)'!$AU40</f>
        <v>502926</v>
      </c>
      <c r="Z42" s="106">
        <f t="shared" si="5"/>
        <v>769</v>
      </c>
      <c r="AA42" s="1">
        <v>0</v>
      </c>
    </row>
    <row r="43" spans="2:27">
      <c r="B43" s="18">
        <v>3.2</v>
      </c>
      <c r="C43" s="10"/>
      <c r="D43" s="10" t="s">
        <v>75</v>
      </c>
      <c r="E43" s="167">
        <f>H43+AA43</f>
        <v>3077</v>
      </c>
      <c r="F43" s="9" t="s">
        <v>25</v>
      </c>
      <c r="G43" s="10" t="s">
        <v>26</v>
      </c>
      <c r="H43" s="174">
        <f>Z43</f>
        <v>3077</v>
      </c>
      <c r="I43" s="182">
        <f t="shared" si="27"/>
        <v>1</v>
      </c>
      <c r="J43" s="182">
        <f t="shared" si="28"/>
        <v>0</v>
      </c>
      <c r="K43" s="11">
        <v>43160</v>
      </c>
      <c r="L43" s="10"/>
      <c r="M43" s="10"/>
      <c r="N43" s="67">
        <f t="shared" si="4"/>
        <v>2012358</v>
      </c>
      <c r="O43" s="82"/>
      <c r="P43" s="82"/>
      <c r="Q43" s="82"/>
      <c r="R43" s="81">
        <f t="shared" si="21"/>
        <v>2012358</v>
      </c>
      <c r="X43" s="151">
        <v>3077</v>
      </c>
      <c r="Y43" s="102">
        <f>'[1]ppto_post mod (2)'!$AU41</f>
        <v>2012358</v>
      </c>
      <c r="Z43" s="106">
        <f t="shared" si="5"/>
        <v>3077</v>
      </c>
      <c r="AA43" s="1">
        <v>0</v>
      </c>
    </row>
    <row r="44" spans="2:27">
      <c r="B44" s="17"/>
      <c r="C44" s="10"/>
      <c r="D44" s="10"/>
      <c r="E44" s="168"/>
      <c r="F44" s="13"/>
      <c r="G44" s="10"/>
      <c r="H44" s="174"/>
      <c r="I44" s="182"/>
      <c r="J44" s="185"/>
      <c r="K44" s="10"/>
      <c r="L44" s="10"/>
      <c r="M44" s="10"/>
      <c r="N44" s="67">
        <f t="shared" si="4"/>
        <v>0</v>
      </c>
      <c r="O44" s="82"/>
      <c r="P44" s="82"/>
      <c r="Q44" s="82"/>
      <c r="R44" s="81">
        <f t="shared" si="21"/>
        <v>0</v>
      </c>
      <c r="T44" s="61"/>
      <c r="U44" s="61"/>
      <c r="V44" s="61"/>
      <c r="X44" s="151">
        <v>0</v>
      </c>
      <c r="Z44" s="106">
        <f t="shared" si="5"/>
        <v>0</v>
      </c>
      <c r="AA44" s="1">
        <v>0</v>
      </c>
    </row>
    <row r="45" spans="2:27">
      <c r="B45" s="50">
        <v>4</v>
      </c>
      <c r="C45" s="22"/>
      <c r="D45" s="21" t="s">
        <v>76</v>
      </c>
      <c r="E45" s="162">
        <f>SUM(E46:E49)</f>
        <v>22405.908899082569</v>
      </c>
      <c r="F45" s="44">
        <f t="shared" ref="F45:G45" si="29">SUM(F46:F48)</f>
        <v>0</v>
      </c>
      <c r="G45" s="44">
        <f t="shared" si="29"/>
        <v>0</v>
      </c>
      <c r="H45" s="162">
        <f>SUM(H46:H49)</f>
        <v>15525.169724770642</v>
      </c>
      <c r="I45" s="180"/>
      <c r="J45" s="180"/>
      <c r="K45" s="22"/>
      <c r="L45" s="22"/>
      <c r="M45" s="22"/>
      <c r="N45" s="92">
        <f>SUM(N46:N50)</f>
        <v>16106934</v>
      </c>
      <c r="O45" s="92">
        <f t="shared" ref="O45:Q45" si="30">SUM(O46:O50)</f>
        <v>821204</v>
      </c>
      <c r="P45" s="92">
        <f t="shared" si="30"/>
        <v>4180152</v>
      </c>
      <c r="Q45" s="92" t="e">
        <f t="shared" si="30"/>
        <v>#REF!</v>
      </c>
      <c r="R45" s="93" t="e">
        <f t="shared" si="21"/>
        <v>#REF!</v>
      </c>
      <c r="T45" s="61" t="s">
        <v>94</v>
      </c>
      <c r="U45" s="61"/>
      <c r="V45" s="76">
        <v>0.8</v>
      </c>
      <c r="X45" s="151">
        <v>0</v>
      </c>
      <c r="Z45" s="106">
        <f t="shared" si="5"/>
        <v>0</v>
      </c>
      <c r="AA45" s="1">
        <v>0</v>
      </c>
    </row>
    <row r="46" spans="2:27">
      <c r="B46" s="18">
        <v>4.0999999999999996</v>
      </c>
      <c r="C46" s="10"/>
      <c r="D46" s="10" t="s">
        <v>77</v>
      </c>
      <c r="E46" s="166">
        <f>H46+AA46+6880.73</f>
        <v>13472.115321100917</v>
      </c>
      <c r="F46" s="37" t="s">
        <v>41</v>
      </c>
      <c r="G46" s="60" t="s">
        <v>26</v>
      </c>
      <c r="H46" s="189">
        <f>Z46-3211</f>
        <v>6591.3853211009173</v>
      </c>
      <c r="I46" s="182">
        <f>H46/E46</f>
        <v>0.48926134938713406</v>
      </c>
      <c r="J46" s="182">
        <f t="shared" ref="J46:J48" si="31">100%-I46</f>
        <v>0.51073865061286594</v>
      </c>
      <c r="K46" s="30">
        <v>42767</v>
      </c>
      <c r="L46" s="10"/>
      <c r="M46" s="10"/>
      <c r="N46" s="67">
        <f t="shared" si="4"/>
        <v>4310766</v>
      </c>
      <c r="O46" s="94">
        <v>380760</v>
      </c>
      <c r="P46" s="82">
        <v>2000000</v>
      </c>
      <c r="Q46" s="82" t="e">
        <f>SUM(#REF!)</f>
        <v>#REF!</v>
      </c>
      <c r="R46" s="81" t="e">
        <f t="shared" si="21"/>
        <v>#REF!</v>
      </c>
      <c r="T46" s="77">
        <v>6174</v>
      </c>
      <c r="U46" s="78">
        <f>T46*654</f>
        <v>4037796</v>
      </c>
      <c r="V46" s="78">
        <f>U46*0.8</f>
        <v>3230236.8000000003</v>
      </c>
      <c r="X46" s="151">
        <v>9802.3853211009173</v>
      </c>
      <c r="Y46" s="102">
        <f>'[1]ppto_post mod (2)'!$AU44</f>
        <v>6410760</v>
      </c>
      <c r="Z46" s="106">
        <f t="shared" si="5"/>
        <v>9802.3853211009173</v>
      </c>
      <c r="AA46" s="1">
        <v>0</v>
      </c>
    </row>
    <row r="47" spans="2:27">
      <c r="B47" s="18">
        <v>4.2</v>
      </c>
      <c r="C47" s="10"/>
      <c r="D47" s="10" t="s">
        <v>78</v>
      </c>
      <c r="E47" s="166">
        <f t="shared" ref="E47:E48" si="32">H47+AA47</f>
        <v>1563.7629969418961</v>
      </c>
      <c r="F47" s="37" t="s">
        <v>54</v>
      </c>
      <c r="G47" s="60" t="s">
        <v>26</v>
      </c>
      <c r="H47" s="189">
        <f t="shared" ref="H47:H48" si="33">Z47</f>
        <v>1563.7629969418961</v>
      </c>
      <c r="I47" s="182">
        <f t="shared" ref="I47:I48" si="34">H47/E47</f>
        <v>1</v>
      </c>
      <c r="J47" s="182">
        <f t="shared" si="31"/>
        <v>0</v>
      </c>
      <c r="K47" s="30">
        <v>42767</v>
      </c>
      <c r="L47" s="10"/>
      <c r="M47" s="161"/>
      <c r="N47" s="67">
        <f t="shared" si="4"/>
        <v>1022701</v>
      </c>
      <c r="O47" s="94">
        <v>29842</v>
      </c>
      <c r="P47" s="82">
        <v>90076</v>
      </c>
      <c r="Q47" s="82" t="e">
        <f>SUM(#REF!)</f>
        <v>#REF!</v>
      </c>
      <c r="R47" s="81" t="e">
        <f t="shared" si="21"/>
        <v>#REF!</v>
      </c>
      <c r="T47" s="61"/>
      <c r="U47" s="61"/>
      <c r="V47" s="61"/>
      <c r="X47" s="151">
        <v>1563.7629969418961</v>
      </c>
      <c r="Y47" s="102">
        <f>'[1]ppto_post mod (2)'!$AU45</f>
        <v>1022701</v>
      </c>
      <c r="Z47" s="106">
        <f t="shared" si="5"/>
        <v>1563.7629969418961</v>
      </c>
      <c r="AA47" s="1">
        <v>0</v>
      </c>
    </row>
    <row r="48" spans="2:27">
      <c r="B48" s="18">
        <v>4.3</v>
      </c>
      <c r="C48" s="10"/>
      <c r="D48" s="10" t="s">
        <v>87</v>
      </c>
      <c r="E48" s="166">
        <f t="shared" si="32"/>
        <v>4159.0214067278284</v>
      </c>
      <c r="F48" s="213" t="s">
        <v>25</v>
      </c>
      <c r="G48" s="60" t="s">
        <v>26</v>
      </c>
      <c r="H48" s="189">
        <f t="shared" si="33"/>
        <v>4159.0214067278284</v>
      </c>
      <c r="I48" s="182">
        <f t="shared" si="34"/>
        <v>1</v>
      </c>
      <c r="J48" s="182">
        <f t="shared" si="31"/>
        <v>0</v>
      </c>
      <c r="K48" s="30">
        <v>42767</v>
      </c>
      <c r="L48" s="10"/>
      <c r="M48" s="161"/>
      <c r="N48" s="67">
        <f t="shared" si="4"/>
        <v>2720000</v>
      </c>
      <c r="O48" s="94">
        <v>0</v>
      </c>
      <c r="P48" s="82"/>
      <c r="Q48" s="82"/>
      <c r="R48" s="81">
        <f t="shared" si="21"/>
        <v>2720000</v>
      </c>
      <c r="X48" s="151">
        <v>4159.0214067278284</v>
      </c>
      <c r="Y48" s="102">
        <f>'[1]ppto_post mod (2)'!$AU46</f>
        <v>2720000</v>
      </c>
      <c r="Z48" s="106">
        <f t="shared" si="5"/>
        <v>4159.0214067278284</v>
      </c>
      <c r="AA48" s="1">
        <v>0</v>
      </c>
    </row>
    <row r="49" spans="2:26" s="1" customFormat="1">
      <c r="B49" s="18" t="s">
        <v>127</v>
      </c>
      <c r="C49" s="10"/>
      <c r="D49" s="10" t="s">
        <v>128</v>
      </c>
      <c r="E49" s="214">
        <f>6*350000/654</f>
        <v>3211.0091743119265</v>
      </c>
      <c r="F49" s="213" t="s">
        <v>44</v>
      </c>
      <c r="G49" s="60" t="s">
        <v>26</v>
      </c>
      <c r="H49" s="189">
        <v>3211</v>
      </c>
      <c r="I49" s="182">
        <v>1</v>
      </c>
      <c r="J49" s="182"/>
      <c r="K49" s="30">
        <v>42736</v>
      </c>
      <c r="L49" s="10"/>
      <c r="M49" s="161" t="s">
        <v>129</v>
      </c>
      <c r="N49" s="67"/>
      <c r="O49" s="94"/>
      <c r="P49" s="82"/>
      <c r="Q49" s="82"/>
      <c r="R49" s="81"/>
      <c r="X49" s="151"/>
      <c r="Y49" s="102"/>
      <c r="Z49" s="106"/>
    </row>
    <row r="50" spans="2:26">
      <c r="B50" s="18"/>
      <c r="C50" s="9"/>
      <c r="D50" s="10"/>
      <c r="E50" s="188">
        <f>E45+E41+E25+E10</f>
        <v>249859.65489296635</v>
      </c>
      <c r="F50" s="118"/>
      <c r="G50" s="118"/>
      <c r="H50" s="169">
        <f>H45+H41+H25+H10</f>
        <v>145660.15571865445</v>
      </c>
      <c r="I50" s="185"/>
      <c r="J50" s="185"/>
      <c r="K50" s="10"/>
      <c r="L50" s="10"/>
      <c r="M50" s="10"/>
      <c r="N50" s="81">
        <f>SUM(N46:N48)</f>
        <v>8053467</v>
      </c>
      <c r="O50" s="95">
        <f t="shared" ref="O50:R50" si="35">SUM(O46:O48)</f>
        <v>410602</v>
      </c>
      <c r="P50" s="81">
        <f t="shared" si="35"/>
        <v>2090076</v>
      </c>
      <c r="Q50" s="81" t="e">
        <f t="shared" si="35"/>
        <v>#REF!</v>
      </c>
      <c r="R50" s="81" t="e">
        <f t="shared" si="35"/>
        <v>#REF!</v>
      </c>
      <c r="X50" s="116"/>
    </row>
    <row r="51" spans="2:26">
      <c r="B51" s="202" t="s">
        <v>79</v>
      </c>
      <c r="C51" s="202"/>
      <c r="D51" s="202"/>
      <c r="E51" s="15"/>
      <c r="F51" s="212" t="s">
        <v>126</v>
      </c>
      <c r="G51" s="212"/>
      <c r="H51" s="212"/>
      <c r="I51" s="212"/>
      <c r="J51" s="212" t="s">
        <v>130</v>
      </c>
      <c r="K51" s="212"/>
      <c r="L51" s="212"/>
      <c r="M51" s="10"/>
      <c r="N51" s="64"/>
      <c r="O51" s="74">
        <f>O45+O41+O25+O10</f>
        <v>12970490</v>
      </c>
      <c r="P51" s="28"/>
      <c r="Q51" s="28"/>
      <c r="X51" s="116">
        <v>238392</v>
      </c>
      <c r="Y51" s="102">
        <v>238392</v>
      </c>
    </row>
    <row r="52" spans="2:26" ht="41.25" customHeight="1" thickBot="1">
      <c r="B52" s="194" t="s">
        <v>80</v>
      </c>
      <c r="C52" s="195"/>
      <c r="D52" s="195"/>
      <c r="E52" s="195"/>
      <c r="F52" s="195"/>
      <c r="G52" s="195"/>
      <c r="H52" s="195"/>
      <c r="I52" s="195"/>
      <c r="J52" s="195"/>
      <c r="K52" s="195"/>
      <c r="L52" s="195"/>
      <c r="M52" s="195"/>
    </row>
    <row r="53" spans="2:26" ht="21.75" customHeight="1" thickBot="1">
      <c r="B53" s="196" t="s">
        <v>81</v>
      </c>
      <c r="C53" s="197"/>
      <c r="D53" s="197"/>
      <c r="E53" s="197"/>
      <c r="F53" s="197"/>
      <c r="G53" s="197"/>
      <c r="H53" s="197"/>
      <c r="I53" s="197"/>
      <c r="J53" s="197"/>
      <c r="K53" s="197"/>
      <c r="L53" s="197"/>
      <c r="M53" s="197"/>
    </row>
    <row r="54" spans="2:26" ht="21.75" customHeight="1" thickBot="1">
      <c r="B54" s="192" t="s">
        <v>82</v>
      </c>
      <c r="C54" s="193"/>
      <c r="D54" s="193"/>
      <c r="E54" s="193"/>
      <c r="F54" s="193"/>
      <c r="G54" s="193"/>
      <c r="H54" s="193"/>
      <c r="I54" s="193"/>
      <c r="J54" s="193"/>
      <c r="K54" s="193"/>
      <c r="L54" s="193"/>
      <c r="M54" s="193"/>
    </row>
    <row r="55" spans="2:26" ht="21.75" customHeight="1" thickBot="1">
      <c r="B55" s="196" t="s">
        <v>83</v>
      </c>
      <c r="C55" s="197"/>
      <c r="D55" s="197"/>
      <c r="E55" s="197"/>
      <c r="F55" s="197"/>
      <c r="G55" s="197"/>
      <c r="H55" s="197"/>
      <c r="I55" s="197"/>
      <c r="J55" s="197"/>
      <c r="K55" s="197"/>
      <c r="L55" s="197"/>
      <c r="M55" s="197"/>
    </row>
    <row r="56" spans="2:26" ht="21.75" customHeight="1" thickBot="1">
      <c r="B56" s="196" t="s">
        <v>84</v>
      </c>
      <c r="C56" s="197"/>
      <c r="D56" s="197"/>
      <c r="E56" s="197"/>
      <c r="F56" s="197"/>
      <c r="G56" s="197"/>
      <c r="H56" s="197"/>
      <c r="I56" s="197"/>
      <c r="J56" s="197"/>
      <c r="K56" s="197"/>
      <c r="L56" s="197"/>
      <c r="M56" s="197"/>
    </row>
    <row r="57" spans="2:26" ht="21.75" customHeight="1" thickBot="1">
      <c r="B57" s="192" t="s">
        <v>85</v>
      </c>
      <c r="C57" s="193"/>
      <c r="D57" s="193"/>
      <c r="E57" s="193"/>
      <c r="F57" s="193"/>
      <c r="G57" s="193"/>
      <c r="H57" s="193"/>
      <c r="I57" s="193"/>
      <c r="J57" s="193"/>
      <c r="K57" s="193"/>
      <c r="L57" s="193"/>
      <c r="M57" s="193"/>
    </row>
    <row r="58" spans="2:26" ht="21.75" customHeight="1" thickBot="1">
      <c r="B58" s="192" t="s">
        <v>86</v>
      </c>
      <c r="C58" s="193"/>
      <c r="D58" s="193"/>
      <c r="E58" s="193"/>
      <c r="F58" s="193"/>
      <c r="G58" s="193"/>
      <c r="H58" s="193"/>
      <c r="I58" s="193"/>
      <c r="J58" s="193"/>
      <c r="K58" s="193"/>
      <c r="L58" s="193"/>
      <c r="M58" s="193"/>
    </row>
    <row r="59" spans="2:26">
      <c r="B59" s="19" t="s">
        <v>100</v>
      </c>
      <c r="C59" s="3"/>
      <c r="D59" s="3"/>
      <c r="E59" s="3"/>
      <c r="F59" s="3"/>
      <c r="G59" s="3"/>
      <c r="H59" s="175"/>
      <c r="I59" s="186"/>
      <c r="J59" s="186"/>
      <c r="K59" s="3"/>
      <c r="L59" s="3"/>
      <c r="M59" s="41"/>
    </row>
    <row r="60" spans="2:26" hidden="1"/>
    <row r="61" spans="2:26" hidden="1"/>
    <row r="62" spans="2:26" hidden="1">
      <c r="B62" t="s">
        <v>101</v>
      </c>
      <c r="C62" s="102">
        <v>3000000</v>
      </c>
      <c r="H62" s="170">
        <v>500000</v>
      </c>
    </row>
    <row r="63" spans="2:26" hidden="1">
      <c r="B63" t="s">
        <v>103</v>
      </c>
      <c r="H63" s="170">
        <f>H62/654</f>
        <v>764.52599388379201</v>
      </c>
      <c r="I63" s="176">
        <v>9</v>
      </c>
      <c r="J63" s="176">
        <f>H63*I63</f>
        <v>6880.7339449541278</v>
      </c>
    </row>
    <row r="64" spans="2:26" hidden="1">
      <c r="B64" t="s">
        <v>104</v>
      </c>
    </row>
  </sheetData>
  <mergeCells count="21">
    <mergeCell ref="B55:M55"/>
    <mergeCell ref="B56:M56"/>
    <mergeCell ref="B57:M57"/>
    <mergeCell ref="B58:M58"/>
    <mergeCell ref="B51:D51"/>
    <mergeCell ref="F51:I51"/>
    <mergeCell ref="J51:L51"/>
    <mergeCell ref="B52:M52"/>
    <mergeCell ref="B53:M53"/>
    <mergeCell ref="B54:M54"/>
    <mergeCell ref="B5:M5"/>
    <mergeCell ref="B6:D6"/>
    <mergeCell ref="E6:G6"/>
    <mergeCell ref="J6:L6"/>
    <mergeCell ref="I8:J8"/>
    <mergeCell ref="B2:M2"/>
    <mergeCell ref="B3:F3"/>
    <mergeCell ref="G3:K3"/>
    <mergeCell ref="L3:M3"/>
    <mergeCell ref="B4:F4"/>
    <mergeCell ref="G4:M4"/>
  </mergeCells>
  <pageMargins left="0.7" right="0.7" top="0.75" bottom="0.75" header="0.3" footer="0.3"/>
  <pageSetup scale="7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D10"/>
  <sheetViews>
    <sheetView workbookViewId="0">
      <selection activeCell="D11" sqref="D11"/>
    </sheetView>
  </sheetViews>
  <sheetFormatPr defaultColWidth="11.42578125" defaultRowHeight="15"/>
  <cols>
    <col min="2" max="2" width="17" bestFit="1" customWidth="1"/>
  </cols>
  <sheetData>
    <row r="2" spans="2:4">
      <c r="B2" s="1"/>
      <c r="C2" s="1"/>
      <c r="D2" s="1"/>
    </row>
    <row r="3" spans="2:4">
      <c r="B3" s="1"/>
      <c r="C3" s="1"/>
      <c r="D3" s="1"/>
    </row>
    <row r="4" spans="2:4">
      <c r="B4" s="1"/>
      <c r="C4" s="1"/>
      <c r="D4" s="1"/>
    </row>
    <row r="5" spans="2:4">
      <c r="B5" s="1"/>
      <c r="C5" s="1"/>
      <c r="D5" s="1"/>
    </row>
    <row r="6" spans="2:4">
      <c r="B6" s="1"/>
      <c r="C6" s="1"/>
      <c r="D6" s="1"/>
    </row>
    <row r="7" spans="2:4">
      <c r="B7" s="1"/>
      <c r="C7" s="1"/>
      <c r="D7" s="1"/>
    </row>
    <row r="8" spans="2:4">
      <c r="B8" s="1"/>
      <c r="C8" s="1"/>
      <c r="D8" s="1"/>
    </row>
    <row r="9" spans="2:4">
      <c r="B9" s="1"/>
      <c r="C9" s="1"/>
      <c r="D9" s="1"/>
    </row>
    <row r="10" spans="2:4">
      <c r="B10" s="1"/>
      <c r="C10" s="1"/>
      <c r="D10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ColWidth="11.42578125"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ColWidth="11.425781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Explicación</vt:lpstr>
      <vt:lpstr>Hoja1</vt:lpstr>
      <vt:lpstr>Hoja4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Carrasco, Carolina E.</cp:lastModifiedBy>
  <cp:lastPrinted>2017-07-10T17:28:47Z</cp:lastPrinted>
  <dcterms:created xsi:type="dcterms:W3CDTF">2017-07-03T20:17:52Z</dcterms:created>
  <dcterms:modified xsi:type="dcterms:W3CDTF">2018-03-05T20:35:05Z</dcterms:modified>
</cp:coreProperties>
</file>