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9.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8.xml" ContentType="application/vnd.openxmlformats-officedocument.spreadsheetml.worksheet+xml"/>
  <Override PartName="/xl/comments2.xml" ContentType="application/vnd.openxmlformats-officedocument.spreadsheetml.comments+xml"/>
  <Override PartName="/docProps/app.xml" ContentType="application/vnd.openxmlformats-officedocument.extended-properties+xml"/>
  <Override PartName="/xl/calcChain.xml" ContentType="application/vnd.openxmlformats-officedocument.spreadsheetml.calcChain+xml"/>
  <Override PartName="/xl/comments3.xml" ContentType="application/vnd.openxmlformats-officedocument.spreadsheetml.comments+xml"/>
  <Override PartName="/xl/comments1.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docProps/core.xml" ContentType="application/vnd.openxmlformats-package.core-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autoCompressPictures="0" defaultThemeVersion="124226"/>
  <bookViews>
    <workbookView xWindow="-15" yWindow="-15" windowWidth="19440" windowHeight="10140"/>
  </bookViews>
  <sheets>
    <sheet name="Cuadro de Costos" sheetId="3" r:id="rId1"/>
    <sheet name="Compilado" sheetId="9" r:id="rId2"/>
    <sheet name="Componente_1_MR" sheetId="7" r:id="rId3"/>
    <sheet name="Componente_2" sheetId="5" r:id="rId4"/>
    <sheet name="Administracion" sheetId="2" r:id="rId5"/>
    <sheet name="Evaluación y Auditoria " sheetId="6" r:id="rId6"/>
    <sheet name="Componente_1_¨Por División" sheetId="4" r:id="rId7"/>
    <sheet name="Hoja1" sheetId="1" r:id="rId8"/>
    <sheet name="Hoja3" sheetId="8" r:id="rId9"/>
  </sheets>
  <calcPr calcId="145621"/>
  <extLst>
    <ext xmlns:mx="http://schemas.microsoft.com/office/mac/excel/2008/main" uri="{7523E5D3-25F3-A5E0-1632-64F254C22452}">
      <mx:ArchID Flags="2"/>
    </ext>
  </extLst>
</workbook>
</file>

<file path=xl/calcChain.xml><?xml version="1.0" encoding="utf-8"?>
<calcChain xmlns="http://schemas.openxmlformats.org/spreadsheetml/2006/main">
  <c r="O47" i="7" l="1"/>
  <c r="P47" i="7" s="1"/>
  <c r="K47" i="7"/>
  <c r="L47" i="7" s="1"/>
  <c r="I47" i="7"/>
  <c r="P44" i="7"/>
  <c r="O44" i="7"/>
  <c r="K44" i="7"/>
  <c r="L44" i="7" s="1"/>
  <c r="I44" i="7"/>
  <c r="R38" i="7"/>
  <c r="Q38" i="7"/>
  <c r="K38" i="7"/>
  <c r="L38" i="7" s="1"/>
  <c r="I38" i="7"/>
  <c r="Q35" i="7"/>
  <c r="R35" i="7" s="1"/>
  <c r="L35" i="7"/>
  <c r="K35" i="7"/>
  <c r="I35" i="7"/>
  <c r="K27" i="7"/>
  <c r="L27" i="7" s="1"/>
  <c r="Q27" i="7"/>
  <c r="R27" i="7" s="1"/>
  <c r="I27" i="7"/>
  <c r="Q50" i="7"/>
  <c r="R50" i="7" s="1"/>
  <c r="L50" i="7"/>
  <c r="K50" i="7"/>
  <c r="I50" i="7"/>
  <c r="K63" i="7"/>
  <c r="L63" i="7" s="1"/>
  <c r="Q63" i="7"/>
  <c r="R63" i="7" s="1"/>
  <c r="I63" i="7"/>
  <c r="Q23" i="7"/>
  <c r="R23" i="7" s="1"/>
  <c r="M23" i="7"/>
  <c r="O23" i="7" s="1"/>
  <c r="K23" i="7"/>
  <c r="L23" i="7" s="1"/>
  <c r="N23" i="7" s="1"/>
  <c r="P23" i="7" s="1"/>
  <c r="I23" i="7"/>
  <c r="J23" i="7" s="1"/>
  <c r="Q16" i="7"/>
  <c r="R16" i="7" s="1"/>
  <c r="K16" i="7"/>
  <c r="L16" i="7" s="1"/>
  <c r="N16" i="7" s="1"/>
  <c r="P16" i="7" s="1"/>
  <c r="I16" i="7"/>
  <c r="J16" i="7" s="1"/>
  <c r="M16" i="7"/>
  <c r="O16" i="7" s="1"/>
  <c r="L12" i="7"/>
  <c r="K12" i="7"/>
  <c r="Q12" i="7"/>
  <c r="R12" i="7" s="1"/>
  <c r="I12" i="7"/>
  <c r="Q12" i="9" l="1"/>
  <c r="P9" i="5"/>
  <c r="O9" i="5"/>
  <c r="O13" i="9" s="1"/>
  <c r="N9" i="5"/>
  <c r="M9" i="5"/>
  <c r="M13" i="9" s="1"/>
  <c r="L9" i="5"/>
  <c r="L13" i="9" s="1"/>
  <c r="K9" i="5"/>
  <c r="J9" i="5"/>
  <c r="I9" i="5"/>
  <c r="I13" i="9" s="1"/>
  <c r="W10" i="5"/>
  <c r="W9" i="5" s="1"/>
  <c r="F9" i="5"/>
  <c r="F13" i="9" s="1"/>
  <c r="E10" i="5"/>
  <c r="F10" i="5" s="1"/>
  <c r="S10" i="5" s="1"/>
  <c r="S9" i="5" s="1"/>
  <c r="S13" i="9" s="1"/>
  <c r="AB12" i="5"/>
  <c r="AA12" i="5"/>
  <c r="J12" i="5"/>
  <c r="I12" i="5"/>
  <c r="V51" i="7"/>
  <c r="T51" i="7"/>
  <c r="Y16" i="9"/>
  <c r="AA16" i="9"/>
  <c r="U16" i="9"/>
  <c r="W16" i="9"/>
  <c r="Q16" i="9"/>
  <c r="S16" i="9"/>
  <c r="O16" i="9"/>
  <c r="I6" i="7"/>
  <c r="I16" i="9"/>
  <c r="K13" i="9"/>
  <c r="Q8" i="7"/>
  <c r="Q7" i="7"/>
  <c r="L5" i="6"/>
  <c r="L19" i="5"/>
  <c r="L16" i="9" s="1"/>
  <c r="N19" i="5"/>
  <c r="N13" i="9"/>
  <c r="N16" i="9"/>
  <c r="O6" i="5"/>
  <c r="O12" i="9" s="1"/>
  <c r="P6" i="5"/>
  <c r="P13" i="9"/>
  <c r="P16" i="9"/>
  <c r="Q6" i="5"/>
  <c r="R6" i="5"/>
  <c r="R12" i="9" s="1"/>
  <c r="R16" i="9"/>
  <c r="T16" i="9"/>
  <c r="V16" i="9"/>
  <c r="X16" i="9"/>
  <c r="Z16" i="9"/>
  <c r="AB16" i="9"/>
  <c r="J13" i="9"/>
  <c r="J16" i="9"/>
  <c r="J6" i="7"/>
  <c r="G16" i="9"/>
  <c r="V17" i="2"/>
  <c r="R17" i="2"/>
  <c r="N17" i="2"/>
  <c r="J17" i="2"/>
  <c r="AB7" i="6"/>
  <c r="AA8" i="6"/>
  <c r="AA5" i="6"/>
  <c r="Z5" i="6"/>
  <c r="Y8" i="6"/>
  <c r="Y5" i="6"/>
  <c r="X7" i="6"/>
  <c r="W7" i="6"/>
  <c r="W10" i="6" s="1"/>
  <c r="W5" i="6"/>
  <c r="V7" i="6"/>
  <c r="V5" i="6"/>
  <c r="U7" i="6"/>
  <c r="U10" i="6" s="1"/>
  <c r="U5" i="6"/>
  <c r="S5" i="6"/>
  <c r="R7" i="6"/>
  <c r="R5" i="6"/>
  <c r="R10" i="6" s="1"/>
  <c r="R18" i="9" s="1"/>
  <c r="Q7" i="6"/>
  <c r="Q5" i="6"/>
  <c r="P7" i="6"/>
  <c r="O7" i="6"/>
  <c r="O10" i="6" s="1"/>
  <c r="O5" i="6"/>
  <c r="N7" i="6"/>
  <c r="N10" i="6" s="1"/>
  <c r="N5" i="6"/>
  <c r="M7" i="6"/>
  <c r="M10" i="6" s="1"/>
  <c r="M5" i="6"/>
  <c r="L7" i="6"/>
  <c r="L10" i="6" s="1"/>
  <c r="L18" i="9" s="1"/>
  <c r="K7" i="6"/>
  <c r="K5" i="6"/>
  <c r="K10" i="6" s="1"/>
  <c r="J7" i="6"/>
  <c r="J5" i="6"/>
  <c r="I7" i="6"/>
  <c r="I10" i="6" s="1"/>
  <c r="I5" i="6"/>
  <c r="AA12" i="2"/>
  <c r="AA14" i="2" s="1"/>
  <c r="AA6" i="2"/>
  <c r="Y12" i="2"/>
  <c r="Y6" i="2"/>
  <c r="Y14" i="2"/>
  <c r="W12" i="2"/>
  <c r="W14" i="2" s="1"/>
  <c r="W17" i="9" s="1"/>
  <c r="W6" i="2"/>
  <c r="U12" i="2"/>
  <c r="U6" i="2"/>
  <c r="U14" i="2"/>
  <c r="S12" i="2"/>
  <c r="S14" i="2" s="1"/>
  <c r="S17" i="9" s="1"/>
  <c r="S6" i="2"/>
  <c r="Q12" i="2"/>
  <c r="Q6" i="2"/>
  <c r="Q14" i="2"/>
  <c r="O12" i="2"/>
  <c r="O14" i="2" s="1"/>
  <c r="O17" i="9" s="1"/>
  <c r="O6" i="2"/>
  <c r="M12" i="2"/>
  <c r="M6" i="2"/>
  <c r="M14" i="2"/>
  <c r="K12" i="2"/>
  <c r="K14" i="2" s="1"/>
  <c r="K17" i="9" s="1"/>
  <c r="K6" i="2"/>
  <c r="I12" i="2"/>
  <c r="I6" i="2"/>
  <c r="I14" i="2"/>
  <c r="E16" i="9"/>
  <c r="E15" i="9"/>
  <c r="E14" i="9" s="1"/>
  <c r="E13" i="9"/>
  <c r="E19" i="5"/>
  <c r="F19" i="5" s="1"/>
  <c r="E17" i="5"/>
  <c r="F17" i="5" s="1"/>
  <c r="E16" i="5"/>
  <c r="F16" i="5" s="1"/>
  <c r="Y16" i="5" s="1"/>
  <c r="E15" i="5"/>
  <c r="F15" i="5" s="1"/>
  <c r="W15" i="5" s="1"/>
  <c r="E18" i="5"/>
  <c r="F18" i="5" s="1"/>
  <c r="E14" i="5"/>
  <c r="F14" i="5"/>
  <c r="E13" i="5"/>
  <c r="F13" i="5"/>
  <c r="I15" i="9"/>
  <c r="J15" i="9"/>
  <c r="AA11" i="5"/>
  <c r="AB15" i="9"/>
  <c r="AB14" i="9" s="1"/>
  <c r="E8" i="5"/>
  <c r="F8" i="5" s="1"/>
  <c r="E7" i="5"/>
  <c r="F7" i="5" s="1"/>
  <c r="G7" i="5" s="1"/>
  <c r="E9" i="9"/>
  <c r="E8" i="9"/>
  <c r="E7" i="9"/>
  <c r="E6" i="9"/>
  <c r="E5" i="9"/>
  <c r="Z62" i="7"/>
  <c r="Z61" i="7" s="1"/>
  <c r="Z9" i="9" s="1"/>
  <c r="Z49" i="7"/>
  <c r="Z53" i="7"/>
  <c r="Z48" i="7"/>
  <c r="Z8" i="9" s="1"/>
  <c r="Z34" i="7"/>
  <c r="Z33" i="7" s="1"/>
  <c r="Z37" i="7"/>
  <c r="Z40" i="7"/>
  <c r="Z32" i="7" s="1"/>
  <c r="Z43" i="7"/>
  <c r="Z42" i="7" s="1"/>
  <c r="Z46" i="7"/>
  <c r="Z26" i="7"/>
  <c r="Z24" i="7" s="1"/>
  <c r="Z6" i="9" s="1"/>
  <c r="Z6" i="7"/>
  <c r="Z11" i="7"/>
  <c r="Z10" i="7" s="1"/>
  <c r="Z15" i="7"/>
  <c r="E20" i="7"/>
  <c r="F20" i="7"/>
  <c r="Z22" i="7"/>
  <c r="Z21" i="7" s="1"/>
  <c r="D63" i="7"/>
  <c r="E63" i="7" s="1"/>
  <c r="F63" i="7" s="1"/>
  <c r="G63" i="7" s="1"/>
  <c r="D64" i="7"/>
  <c r="E64" i="7" s="1"/>
  <c r="F64" i="7" s="1"/>
  <c r="G64" i="7" s="1"/>
  <c r="H64" i="7" s="1"/>
  <c r="E66" i="7"/>
  <c r="F66" i="7" s="1"/>
  <c r="G66" i="7" s="1"/>
  <c r="G65" i="7"/>
  <c r="D50" i="7"/>
  <c r="E50" i="7" s="1"/>
  <c r="F50" i="7" s="1"/>
  <c r="E54" i="7"/>
  <c r="F54" i="7"/>
  <c r="G54" i="7" s="1"/>
  <c r="G53" i="7" s="1"/>
  <c r="E56" i="7"/>
  <c r="F56" i="7"/>
  <c r="G56" i="7"/>
  <c r="E57" i="7"/>
  <c r="F57" i="7"/>
  <c r="E59" i="7"/>
  <c r="F59" i="7" s="1"/>
  <c r="G59" i="7" s="1"/>
  <c r="E60" i="7"/>
  <c r="F60" i="7"/>
  <c r="G60" i="7" s="1"/>
  <c r="E58" i="7"/>
  <c r="F58" i="7"/>
  <c r="G58" i="7"/>
  <c r="D35" i="7"/>
  <c r="E35" i="7"/>
  <c r="F35" i="7"/>
  <c r="G35" i="7"/>
  <c r="D36" i="7"/>
  <c r="E36" i="7" s="1"/>
  <c r="F36" i="7" s="1"/>
  <c r="G36" i="7"/>
  <c r="D38" i="7"/>
  <c r="E38" i="7"/>
  <c r="F38" i="7"/>
  <c r="G38" i="7" s="1"/>
  <c r="G37" i="7" s="1"/>
  <c r="D39" i="7"/>
  <c r="E39" i="7"/>
  <c r="F39" i="7"/>
  <c r="G39" i="7" s="1"/>
  <c r="E41" i="7"/>
  <c r="F41" i="7" s="1"/>
  <c r="G41" i="7" s="1"/>
  <c r="G40" i="7" s="1"/>
  <c r="D44" i="7"/>
  <c r="E44" i="7" s="1"/>
  <c r="F44" i="7" s="1"/>
  <c r="G44" i="7" s="1"/>
  <c r="G43" i="7" s="1"/>
  <c r="D47" i="7"/>
  <c r="E47" i="7" s="1"/>
  <c r="F47" i="7" s="1"/>
  <c r="G47" i="7"/>
  <c r="G46" i="7" s="1"/>
  <c r="G29" i="7"/>
  <c r="E30" i="7"/>
  <c r="F30" i="7" s="1"/>
  <c r="E31" i="7"/>
  <c r="F31" i="7"/>
  <c r="G31" i="7" s="1"/>
  <c r="E25" i="7"/>
  <c r="F25" i="7"/>
  <c r="G25" i="7"/>
  <c r="D27" i="7"/>
  <c r="E27" i="7" s="1"/>
  <c r="F27" i="7" s="1"/>
  <c r="F26" i="7" s="1"/>
  <c r="F24" i="7" s="1"/>
  <c r="F6" i="9" s="1"/>
  <c r="G27" i="7"/>
  <c r="G26" i="7" s="1"/>
  <c r="D28" i="7"/>
  <c r="E28" i="7" s="1"/>
  <c r="F28" i="7" s="1"/>
  <c r="G28" i="7"/>
  <c r="E7" i="7"/>
  <c r="F7" i="7"/>
  <c r="E8" i="7"/>
  <c r="F8" i="7"/>
  <c r="G8" i="7"/>
  <c r="E9" i="7"/>
  <c r="F9" i="7" s="1"/>
  <c r="D12" i="7"/>
  <c r="E12" i="7" s="1"/>
  <c r="F12" i="7" s="1"/>
  <c r="G12" i="7"/>
  <c r="G11" i="7" s="1"/>
  <c r="G10" i="7" s="1"/>
  <c r="E13" i="7"/>
  <c r="F13" i="7"/>
  <c r="G13" i="7"/>
  <c r="D16" i="7"/>
  <c r="E16" i="7"/>
  <c r="F16" i="7"/>
  <c r="G16" i="7" s="1"/>
  <c r="D17" i="7"/>
  <c r="E17" i="7"/>
  <c r="F17" i="7"/>
  <c r="E18" i="7"/>
  <c r="F18" i="7"/>
  <c r="G18" i="7"/>
  <c r="E19" i="7"/>
  <c r="F19" i="7"/>
  <c r="G19" i="7"/>
  <c r="D23" i="7"/>
  <c r="E23" i="7"/>
  <c r="F23" i="7"/>
  <c r="F22" i="7" s="1"/>
  <c r="F21" i="7" s="1"/>
  <c r="G23" i="7"/>
  <c r="G22" i="7" s="1"/>
  <c r="G21" i="7" s="1"/>
  <c r="AB62" i="7"/>
  <c r="AB61" i="7" s="1"/>
  <c r="AB49" i="7"/>
  <c r="AB53" i="7"/>
  <c r="AB48" i="7"/>
  <c r="AB8" i="9" s="1"/>
  <c r="AB34" i="7"/>
  <c r="AB37" i="7"/>
  <c r="AB33" i="7"/>
  <c r="AB40" i="7"/>
  <c r="AB43" i="7"/>
  <c r="AB46" i="7"/>
  <c r="AB42" i="7"/>
  <c r="AB32" i="7"/>
  <c r="AB7" i="9" s="1"/>
  <c r="AB26" i="7"/>
  <c r="AB24" i="7"/>
  <c r="AB6" i="9" s="1"/>
  <c r="AB6" i="7"/>
  <c r="AB11" i="7"/>
  <c r="AB10" i="7" s="1"/>
  <c r="AB15" i="7"/>
  <c r="AB14" i="7"/>
  <c r="AB22" i="7"/>
  <c r="AB21" i="7" s="1"/>
  <c r="Y62" i="7"/>
  <c r="Y61" i="7" s="1"/>
  <c r="Y49" i="7"/>
  <c r="Y53" i="7"/>
  <c r="Y48" i="7"/>
  <c r="Y8" i="9" s="1"/>
  <c r="Y34" i="7"/>
  <c r="Y37" i="7"/>
  <c r="Y33" i="7"/>
  <c r="Y40" i="7"/>
  <c r="Y43" i="7"/>
  <c r="Y46" i="7"/>
  <c r="Y42" i="7"/>
  <c r="Y32" i="7"/>
  <c r="Y7" i="9" s="1"/>
  <c r="Y26" i="7"/>
  <c r="Y24" i="7"/>
  <c r="Y6" i="9" s="1"/>
  <c r="Y6" i="7"/>
  <c r="Y11" i="7"/>
  <c r="Y10" i="7" s="1"/>
  <c r="Y15" i="7"/>
  <c r="Y22" i="7"/>
  <c r="Y21" i="7"/>
  <c r="E51" i="7"/>
  <c r="F51" i="7"/>
  <c r="E52" i="7"/>
  <c r="F52" i="7"/>
  <c r="E55" i="7"/>
  <c r="F55" i="7" s="1"/>
  <c r="F34" i="7"/>
  <c r="F40" i="7"/>
  <c r="F43" i="7"/>
  <c r="E45" i="7"/>
  <c r="F45" i="7"/>
  <c r="F46" i="7"/>
  <c r="F42" i="7"/>
  <c r="F6" i="7"/>
  <c r="F11" i="7"/>
  <c r="F10" i="7"/>
  <c r="AA62" i="7"/>
  <c r="AA61" i="7"/>
  <c r="AA9" i="9" s="1"/>
  <c r="AA49" i="7"/>
  <c r="AA48" i="7" s="1"/>
  <c r="AA8" i="9" s="1"/>
  <c r="AA53" i="7"/>
  <c r="AA34" i="7"/>
  <c r="AA37" i="7"/>
  <c r="AA33" i="7"/>
  <c r="AA40" i="7"/>
  <c r="AA43" i="7"/>
  <c r="AA46" i="7"/>
  <c r="AA42" i="7"/>
  <c r="AA26" i="7"/>
  <c r="AA24" i="7"/>
  <c r="AA6" i="9" s="1"/>
  <c r="AA6" i="7"/>
  <c r="AA11" i="7"/>
  <c r="AA10" i="7"/>
  <c r="AA15" i="7"/>
  <c r="AA14" i="7"/>
  <c r="AA22" i="7"/>
  <c r="AA21" i="7"/>
  <c r="V62" i="7"/>
  <c r="V61" i="7"/>
  <c r="V9" i="9" s="1"/>
  <c r="V54" i="7"/>
  <c r="V53" i="7" s="1"/>
  <c r="V55" i="7"/>
  <c r="V56" i="7"/>
  <c r="V57" i="7"/>
  <c r="V59" i="7"/>
  <c r="V58" i="7"/>
  <c r="V34" i="7"/>
  <c r="V33" i="7" s="1"/>
  <c r="V37" i="7"/>
  <c r="V40" i="7"/>
  <c r="V43" i="7"/>
  <c r="V46" i="7"/>
  <c r="V26" i="7"/>
  <c r="V6" i="7"/>
  <c r="V11" i="7"/>
  <c r="U17" i="7"/>
  <c r="V22" i="7"/>
  <c r="V21" i="7"/>
  <c r="X62" i="7"/>
  <c r="X61" i="7"/>
  <c r="X9" i="9" s="1"/>
  <c r="X49" i="7"/>
  <c r="X48" i="7" s="1"/>
  <c r="X8" i="9" s="1"/>
  <c r="X53" i="7"/>
  <c r="X34" i="7"/>
  <c r="X37" i="7"/>
  <c r="X33" i="7"/>
  <c r="X40" i="7"/>
  <c r="X43" i="7"/>
  <c r="X46" i="7"/>
  <c r="X26" i="7"/>
  <c r="X6" i="7"/>
  <c r="X11" i="7"/>
  <c r="X15" i="7"/>
  <c r="X22" i="7"/>
  <c r="X21" i="7"/>
  <c r="U62" i="7"/>
  <c r="U61" i="7" s="1"/>
  <c r="U52" i="7"/>
  <c r="U54" i="7"/>
  <c r="U56" i="7"/>
  <c r="U57" i="7"/>
  <c r="U59" i="7"/>
  <c r="U58" i="7"/>
  <c r="U34" i="7"/>
  <c r="U37" i="7"/>
  <c r="U33" i="7"/>
  <c r="U40" i="7"/>
  <c r="U43" i="7"/>
  <c r="U46" i="7"/>
  <c r="U42" i="7"/>
  <c r="U32" i="7"/>
  <c r="U7" i="9" s="1"/>
  <c r="U30" i="7"/>
  <c r="U26" i="7"/>
  <c r="U24" i="7"/>
  <c r="U6" i="9" s="1"/>
  <c r="U6" i="7"/>
  <c r="U11" i="7"/>
  <c r="U22" i="7"/>
  <c r="U21" i="7"/>
  <c r="W62" i="7"/>
  <c r="W61" i="7"/>
  <c r="W9" i="9" s="1"/>
  <c r="W49" i="7"/>
  <c r="W53" i="7"/>
  <c r="W34" i="7"/>
  <c r="W37" i="7"/>
  <c r="W33" i="7"/>
  <c r="W40" i="7"/>
  <c r="W43" i="7"/>
  <c r="W46" i="7"/>
  <c r="W26" i="7"/>
  <c r="W6" i="7"/>
  <c r="W11" i="7"/>
  <c r="W15" i="7"/>
  <c r="W20" i="7"/>
  <c r="W22" i="7"/>
  <c r="W21" i="7"/>
  <c r="R62" i="7"/>
  <c r="R61" i="7" s="1"/>
  <c r="R9" i="9" s="1"/>
  <c r="R66" i="7"/>
  <c r="R65" i="7"/>
  <c r="R49" i="7"/>
  <c r="R54" i="7"/>
  <c r="R55" i="7"/>
  <c r="R56" i="7"/>
  <c r="R53" i="7"/>
  <c r="R57" i="7"/>
  <c r="R59" i="7"/>
  <c r="R60" i="7"/>
  <c r="R58" i="7"/>
  <c r="Q36" i="7"/>
  <c r="R36" i="7"/>
  <c r="R34" i="7"/>
  <c r="K39" i="7"/>
  <c r="R40" i="7"/>
  <c r="R43" i="7"/>
  <c r="R42" i="7" s="1"/>
  <c r="R46" i="7"/>
  <c r="R25" i="7"/>
  <c r="K28" i="7"/>
  <c r="R11" i="7"/>
  <c r="K17" i="7"/>
  <c r="M17" i="7" s="1"/>
  <c r="O17" i="7" s="1"/>
  <c r="L17" i="7"/>
  <c r="N17" i="7" s="1"/>
  <c r="P17" i="7" s="1"/>
  <c r="R17" i="7" s="1"/>
  <c r="T17" i="7" s="1"/>
  <c r="T15" i="7" s="1"/>
  <c r="R15" i="7"/>
  <c r="R22" i="7"/>
  <c r="R21" i="7" s="1"/>
  <c r="T62" i="7"/>
  <c r="T61" i="7" s="1"/>
  <c r="T9" i="9" s="1"/>
  <c r="T49" i="7"/>
  <c r="T54" i="7"/>
  <c r="T53" i="7" s="1"/>
  <c r="T55" i="7"/>
  <c r="T56" i="7"/>
  <c r="T57" i="7"/>
  <c r="T59" i="7"/>
  <c r="T60" i="7"/>
  <c r="T58" i="7"/>
  <c r="T34" i="7"/>
  <c r="T37" i="7"/>
  <c r="T40" i="7"/>
  <c r="T43" i="7"/>
  <c r="T46" i="7"/>
  <c r="T25" i="7"/>
  <c r="T26" i="7"/>
  <c r="T11" i="7"/>
  <c r="T13" i="7"/>
  <c r="T22" i="7"/>
  <c r="T21" i="7" s="1"/>
  <c r="Q62" i="7"/>
  <c r="Q66" i="7"/>
  <c r="Q65" i="7"/>
  <c r="Q49" i="7"/>
  <c r="Q54" i="7"/>
  <c r="Q56" i="7"/>
  <c r="Q57" i="7"/>
  <c r="Q59" i="7"/>
  <c r="Q60" i="7"/>
  <c r="AC60" i="7" s="1"/>
  <c r="Q58" i="7"/>
  <c r="Q34" i="7"/>
  <c r="Q40" i="7"/>
  <c r="Q43" i="7"/>
  <c r="Q42" i="7" s="1"/>
  <c r="Q46" i="7"/>
  <c r="Q30" i="7"/>
  <c r="Q25" i="7"/>
  <c r="Q11" i="7"/>
  <c r="Q17" i="7"/>
  <c r="Q20" i="7"/>
  <c r="Q22" i="7"/>
  <c r="Q21" i="7" s="1"/>
  <c r="S62" i="7"/>
  <c r="S61" i="7" s="1"/>
  <c r="S9" i="9" s="1"/>
  <c r="S52" i="7"/>
  <c r="S54" i="7"/>
  <c r="S56" i="7"/>
  <c r="S57" i="7"/>
  <c r="S59" i="7"/>
  <c r="S60" i="7"/>
  <c r="S58" i="7"/>
  <c r="S34" i="7"/>
  <c r="S37" i="7"/>
  <c r="S33" i="7"/>
  <c r="S40" i="7"/>
  <c r="S43" i="7"/>
  <c r="S46" i="7"/>
  <c r="S25" i="7"/>
  <c r="S26" i="7"/>
  <c r="S11" i="7"/>
  <c r="S13" i="7"/>
  <c r="S10" i="7"/>
  <c r="S22" i="7"/>
  <c r="S21" i="7"/>
  <c r="J63" i="7"/>
  <c r="K64" i="7"/>
  <c r="L64" i="7"/>
  <c r="N64" i="7"/>
  <c r="J50" i="7"/>
  <c r="J49" i="7" s="1"/>
  <c r="N54" i="7"/>
  <c r="N53" i="7" s="1"/>
  <c r="N55" i="7"/>
  <c r="N56" i="7"/>
  <c r="N57" i="7"/>
  <c r="N59" i="7"/>
  <c r="N58" i="7"/>
  <c r="AC58" i="7" s="1"/>
  <c r="J35" i="7"/>
  <c r="M36" i="7"/>
  <c r="N36" i="7"/>
  <c r="J38" i="7"/>
  <c r="J37" i="7" s="1"/>
  <c r="N41" i="7"/>
  <c r="N40" i="7"/>
  <c r="J44" i="7"/>
  <c r="J43" i="7" s="1"/>
  <c r="N44" i="7"/>
  <c r="J47" i="7"/>
  <c r="N47" i="7"/>
  <c r="N46" i="7" s="1"/>
  <c r="N29" i="7"/>
  <c r="N31" i="7"/>
  <c r="AC31" i="7" s="1"/>
  <c r="N25" i="7"/>
  <c r="J27" i="7"/>
  <c r="J12" i="7"/>
  <c r="J11" i="7" s="1"/>
  <c r="J10" i="7" s="1"/>
  <c r="N19" i="7"/>
  <c r="J22" i="7"/>
  <c r="J21" i="7" s="1"/>
  <c r="O64" i="7"/>
  <c r="P64" i="7"/>
  <c r="P66" i="7"/>
  <c r="P65" i="7"/>
  <c r="P54" i="7"/>
  <c r="P55" i="7"/>
  <c r="P56" i="7"/>
  <c r="P53" i="7"/>
  <c r="P57" i="7"/>
  <c r="P59" i="7"/>
  <c r="P58" i="7"/>
  <c r="O36" i="7"/>
  <c r="P36" i="7" s="1"/>
  <c r="P40" i="7"/>
  <c r="P43" i="7"/>
  <c r="P46" i="7"/>
  <c r="P29" i="7"/>
  <c r="P31" i="7"/>
  <c r="P25" i="7"/>
  <c r="AC25" i="7" s="1"/>
  <c r="M63" i="7"/>
  <c r="M64" i="7"/>
  <c r="M50" i="7"/>
  <c r="M54" i="7"/>
  <c r="M56" i="7"/>
  <c r="AC56" i="7" s="1"/>
  <c r="M57" i="7"/>
  <c r="M59" i="7"/>
  <c r="M58" i="7"/>
  <c r="M35" i="7"/>
  <c r="M38" i="7"/>
  <c r="M41" i="7"/>
  <c r="M40" i="7"/>
  <c r="M44" i="7"/>
  <c r="M43" i="7" s="1"/>
  <c r="M47" i="7"/>
  <c r="M29" i="7"/>
  <c r="M31" i="7"/>
  <c r="M25" i="7"/>
  <c r="M27" i="7"/>
  <c r="M12" i="7"/>
  <c r="M18" i="7"/>
  <c r="M19" i="7"/>
  <c r="M20" i="7"/>
  <c r="K22" i="7"/>
  <c r="K21" i="7" s="1"/>
  <c r="O66" i="7"/>
  <c r="AC66" i="7" s="1"/>
  <c r="O65" i="7"/>
  <c r="O54" i="7"/>
  <c r="O56" i="7"/>
  <c r="O57" i="7"/>
  <c r="O59" i="7"/>
  <c r="O58" i="7"/>
  <c r="O40" i="7"/>
  <c r="O43" i="7"/>
  <c r="O46" i="7"/>
  <c r="O29" i="7"/>
  <c r="O30" i="7"/>
  <c r="O31" i="7"/>
  <c r="O25" i="7"/>
  <c r="O9" i="7"/>
  <c r="J62" i="7"/>
  <c r="J61" i="7" s="1"/>
  <c r="J9" i="9" s="1"/>
  <c r="J53" i="7"/>
  <c r="J34" i="7"/>
  <c r="J40" i="7"/>
  <c r="J46" i="7"/>
  <c r="J26" i="7"/>
  <c r="J24" i="7" s="1"/>
  <c r="J6" i="9" s="1"/>
  <c r="J15" i="7"/>
  <c r="J14" i="7" s="1"/>
  <c r="L53" i="7"/>
  <c r="K36" i="7"/>
  <c r="L36" i="7" s="1"/>
  <c r="L41" i="7"/>
  <c r="L40" i="7"/>
  <c r="L43" i="7"/>
  <c r="L29" i="7"/>
  <c r="L31" i="7"/>
  <c r="L19" i="7"/>
  <c r="I62" i="7"/>
  <c r="I61" i="7" s="1"/>
  <c r="I9" i="9" s="1"/>
  <c r="I49" i="7"/>
  <c r="I53" i="7"/>
  <c r="I48" i="7"/>
  <c r="I8" i="9" s="1"/>
  <c r="I34" i="7"/>
  <c r="I37" i="7"/>
  <c r="I40" i="7"/>
  <c r="I43" i="7"/>
  <c r="I42" i="7" s="1"/>
  <c r="I46" i="7"/>
  <c r="I26" i="7"/>
  <c r="I24" i="7" s="1"/>
  <c r="I6" i="9" s="1"/>
  <c r="I11" i="7"/>
  <c r="I10" i="7" s="1"/>
  <c r="I15" i="7"/>
  <c r="I14" i="7" s="1"/>
  <c r="I22" i="7"/>
  <c r="I21" i="7" s="1"/>
  <c r="K62" i="7"/>
  <c r="K61" i="7" s="1"/>
  <c r="K9" i="9" s="1"/>
  <c r="K53" i="7"/>
  <c r="K41" i="7"/>
  <c r="K43" i="7"/>
  <c r="K46" i="7"/>
  <c r="K29" i="7"/>
  <c r="K31" i="7"/>
  <c r="K9" i="7"/>
  <c r="K6" i="7"/>
  <c r="K15" i="7"/>
  <c r="K18" i="7"/>
  <c r="K19" i="7"/>
  <c r="AC19" i="7" s="1"/>
  <c r="AC64" i="7"/>
  <c r="AC52" i="7"/>
  <c r="AC54" i="7"/>
  <c r="AC57" i="7"/>
  <c r="AC29" i="7"/>
  <c r="E6" i="6"/>
  <c r="G6" i="6" s="1"/>
  <c r="E13" i="2"/>
  <c r="G13" i="2" s="1"/>
  <c r="D7" i="2"/>
  <c r="E7" i="2"/>
  <c r="G7" i="2" s="1"/>
  <c r="D8" i="2"/>
  <c r="E8" i="2"/>
  <c r="G8" i="2"/>
  <c r="J8" i="2" s="1"/>
  <c r="D9" i="2"/>
  <c r="E9" i="2" s="1"/>
  <c r="G9" i="2" s="1"/>
  <c r="D10" i="2"/>
  <c r="E10" i="2" s="1"/>
  <c r="G10" i="2" s="1"/>
  <c r="D11" i="2"/>
  <c r="E11" i="2"/>
  <c r="G11" i="2" s="1"/>
  <c r="H43" i="7"/>
  <c r="H46" i="7"/>
  <c r="H26" i="7"/>
  <c r="H8" i="7"/>
  <c r="H13" i="7"/>
  <c r="H12" i="7"/>
  <c r="E65" i="7"/>
  <c r="E62" i="7"/>
  <c r="H63" i="7"/>
  <c r="H51" i="7"/>
  <c r="E49" i="7"/>
  <c r="E48" i="7" s="1"/>
  <c r="H52" i="7"/>
  <c r="E26" i="7"/>
  <c r="H28" i="7"/>
  <c r="H27" i="7"/>
  <c r="E15" i="7"/>
  <c r="H16" i="7"/>
  <c r="E22" i="7"/>
  <c r="E21" i="7" s="1"/>
  <c r="E46" i="7"/>
  <c r="E43" i="7"/>
  <c r="E42" i="7" s="1"/>
  <c r="H44" i="7"/>
  <c r="H47" i="7"/>
  <c r="E29" i="7"/>
  <c r="E24" i="7" s="1"/>
  <c r="E11" i="7"/>
  <c r="E37" i="7"/>
  <c r="H39" i="7"/>
  <c r="H38" i="7"/>
  <c r="E34" i="7"/>
  <c r="H36" i="7"/>
  <c r="H35" i="7"/>
  <c r="E33" i="7"/>
  <c r="E32" i="7" s="1"/>
  <c r="E40" i="7"/>
  <c r="E53" i="7"/>
  <c r="E61" i="7"/>
  <c r="E6" i="7"/>
  <c r="E10" i="7"/>
  <c r="E5" i="7" s="1"/>
  <c r="E14" i="7"/>
  <c r="H58" i="7"/>
  <c r="H60" i="7"/>
  <c r="H59" i="7"/>
  <c r="H57" i="7"/>
  <c r="H65" i="7"/>
  <c r="H40" i="7"/>
  <c r="E6" i="5"/>
  <c r="H56" i="7"/>
  <c r="H55" i="7"/>
  <c r="H54" i="7"/>
  <c r="H41" i="7"/>
  <c r="H66" i="7"/>
  <c r="H21" i="7"/>
  <c r="H19" i="7"/>
  <c r="H18" i="7"/>
  <c r="H10" i="7"/>
  <c r="H31" i="7"/>
  <c r="H29" i="7"/>
  <c r="H11" i="7"/>
  <c r="H25" i="7"/>
  <c r="F18" i="8"/>
  <c r="F17" i="8"/>
  <c r="F13" i="8"/>
  <c r="F10" i="8"/>
  <c r="F4" i="8"/>
  <c r="F6" i="8" s="1"/>
  <c r="D48" i="4"/>
  <c r="E48" i="4"/>
  <c r="D46" i="4"/>
  <c r="E46" i="4" s="1"/>
  <c r="E45" i="4" s="1"/>
  <c r="E44" i="4" s="1"/>
  <c r="D38" i="4"/>
  <c r="E38" i="4" s="1"/>
  <c r="H42" i="4"/>
  <c r="D42" i="4"/>
  <c r="E42" i="4"/>
  <c r="D40" i="4"/>
  <c r="E40" i="4" s="1"/>
  <c r="E39" i="4" s="1"/>
  <c r="D37" i="4"/>
  <c r="E37" i="4"/>
  <c r="F37" i="4" s="1"/>
  <c r="D32" i="4"/>
  <c r="E32" i="4" s="1"/>
  <c r="D24" i="4"/>
  <c r="E24" i="4" s="1"/>
  <c r="E23" i="4" s="1"/>
  <c r="D20" i="4"/>
  <c r="E20" i="4"/>
  <c r="F20" i="4"/>
  <c r="F19" i="4" s="1"/>
  <c r="G39" i="4"/>
  <c r="G41" i="4"/>
  <c r="G36" i="4"/>
  <c r="G15" i="4"/>
  <c r="G23" i="4"/>
  <c r="H23" i="4" s="1"/>
  <c r="G45" i="4"/>
  <c r="G49" i="4"/>
  <c r="H63" i="4"/>
  <c r="F65" i="4"/>
  <c r="F64" i="4" s="1"/>
  <c r="G66" i="4"/>
  <c r="G64" i="4"/>
  <c r="G62" i="4"/>
  <c r="H62" i="4" s="1"/>
  <c r="F62" i="4"/>
  <c r="H60" i="4"/>
  <c r="H56" i="4"/>
  <c r="F56" i="4"/>
  <c r="F55" i="4"/>
  <c r="H55" i="4" s="1"/>
  <c r="E54" i="4"/>
  <c r="F54" i="4" s="1"/>
  <c r="G59" i="4"/>
  <c r="H59" i="4" s="1"/>
  <c r="F59" i="4"/>
  <c r="G57" i="4"/>
  <c r="G55" i="4"/>
  <c r="G53" i="4"/>
  <c r="F50" i="4"/>
  <c r="H50" i="4" s="1"/>
  <c r="H45" i="4"/>
  <c r="H48" i="4"/>
  <c r="E47" i="4"/>
  <c r="H51" i="4"/>
  <c r="H46" i="4"/>
  <c r="G47" i="4"/>
  <c r="G44" i="4" s="1"/>
  <c r="F47" i="4"/>
  <c r="F45" i="4"/>
  <c r="H39" i="4"/>
  <c r="F39" i="4"/>
  <c r="F43" i="4"/>
  <c r="H43" i="4" s="1"/>
  <c r="H40" i="4"/>
  <c r="F33" i="4"/>
  <c r="H33" i="4" s="1"/>
  <c r="G34" i="4"/>
  <c r="G31" i="4"/>
  <c r="G30" i="4" s="1"/>
  <c r="G19" i="4"/>
  <c r="G18" i="4" s="1"/>
  <c r="G21" i="4"/>
  <c r="F23" i="4"/>
  <c r="G25" i="4"/>
  <c r="G27" i="4"/>
  <c r="H27" i="4" s="1"/>
  <c r="F29" i="4"/>
  <c r="H29" i="4" s="1"/>
  <c r="F28" i="4"/>
  <c r="F27" i="4" s="1"/>
  <c r="H24" i="4"/>
  <c r="G11" i="4"/>
  <c r="G13" i="4"/>
  <c r="F11" i="4"/>
  <c r="H11" i="4" s="1"/>
  <c r="G8" i="4"/>
  <c r="G6" i="4"/>
  <c r="F17" i="4"/>
  <c r="F15" i="4" s="1"/>
  <c r="H15" i="4" s="1"/>
  <c r="H17" i="4"/>
  <c r="F12" i="4"/>
  <c r="H12" i="4"/>
  <c r="E67" i="4"/>
  <c r="F67" i="4" s="1"/>
  <c r="E66" i="4"/>
  <c r="E65" i="4"/>
  <c r="E64" i="4" s="1"/>
  <c r="E63" i="4"/>
  <c r="E62" i="4"/>
  <c r="E61" i="4" s="1"/>
  <c r="E60" i="4"/>
  <c r="E59" i="4"/>
  <c r="E58" i="4"/>
  <c r="E57" i="4" s="1"/>
  <c r="E56" i="4"/>
  <c r="E55" i="4"/>
  <c r="E53" i="4"/>
  <c r="E50" i="4"/>
  <c r="E51" i="4"/>
  <c r="E43" i="4"/>
  <c r="E35" i="4"/>
  <c r="F6" i="2"/>
  <c r="E19" i="4"/>
  <c r="E52" i="4"/>
  <c r="E49" i="4"/>
  <c r="E41" i="4"/>
  <c r="E9" i="6"/>
  <c r="F9" i="6" s="1"/>
  <c r="E8" i="6"/>
  <c r="F8" i="6"/>
  <c r="F5" i="6"/>
  <c r="C11" i="3"/>
  <c r="H6" i="6"/>
  <c r="H5" i="6" s="1"/>
  <c r="E22" i="4"/>
  <c r="E26" i="4"/>
  <c r="F26" i="4" s="1"/>
  <c r="E25" i="4"/>
  <c r="E28" i="4"/>
  <c r="E29" i="4"/>
  <c r="E7" i="4"/>
  <c r="E6" i="4" s="1"/>
  <c r="E9" i="4"/>
  <c r="F9" i="4" s="1"/>
  <c r="E10" i="4"/>
  <c r="F10" i="4" s="1"/>
  <c r="H10" i="4" s="1"/>
  <c r="E12" i="4"/>
  <c r="E11" i="4"/>
  <c r="E14" i="4"/>
  <c r="E16" i="4"/>
  <c r="E17" i="4"/>
  <c r="E33" i="4"/>
  <c r="H69" i="4"/>
  <c r="C4" i="3"/>
  <c r="H16" i="4"/>
  <c r="E15" i="4"/>
  <c r="E27" i="4"/>
  <c r="E8" i="4"/>
  <c r="F12" i="2"/>
  <c r="F14" i="2" s="1"/>
  <c r="H19" i="4" l="1"/>
  <c r="E6" i="2"/>
  <c r="E14" i="2" s="1"/>
  <c r="F14" i="4"/>
  <c r="E13" i="4"/>
  <c r="E5" i="4" s="1"/>
  <c r="H9" i="4"/>
  <c r="F8" i="4"/>
  <c r="H8" i="4" s="1"/>
  <c r="G9" i="6"/>
  <c r="Z9" i="6" s="1"/>
  <c r="Z7" i="6" s="1"/>
  <c r="Z10" i="6" s="1"/>
  <c r="Z18" i="9" s="1"/>
  <c r="Y9" i="6"/>
  <c r="AA9" i="6"/>
  <c r="AA7" i="6" s="1"/>
  <c r="AA10" i="6" s="1"/>
  <c r="F35" i="4"/>
  <c r="E34" i="4"/>
  <c r="H53" i="4"/>
  <c r="H64" i="4"/>
  <c r="H37" i="4"/>
  <c r="J11" i="2"/>
  <c r="H11" i="2"/>
  <c r="J7" i="2"/>
  <c r="H7" i="2"/>
  <c r="G6" i="2"/>
  <c r="H6" i="2" s="1"/>
  <c r="F17" i="9"/>
  <c r="F25" i="4"/>
  <c r="H25" i="4" s="1"/>
  <c r="H26" i="4"/>
  <c r="H54" i="4"/>
  <c r="F53" i="4"/>
  <c r="H66" i="4"/>
  <c r="E67" i="7"/>
  <c r="J13" i="2"/>
  <c r="G12" i="2"/>
  <c r="H13" i="2"/>
  <c r="H12" i="2" s="1"/>
  <c r="E31" i="4"/>
  <c r="F32" i="4"/>
  <c r="J9" i="2"/>
  <c r="H9" i="2"/>
  <c r="E21" i="4"/>
  <c r="F22" i="4"/>
  <c r="S8" i="6"/>
  <c r="S7" i="6" s="1"/>
  <c r="S10" i="6" s="1"/>
  <c r="G8" i="6"/>
  <c r="F7" i="6"/>
  <c r="H8" i="6"/>
  <c r="E18" i="4"/>
  <c r="H67" i="4"/>
  <c r="F66" i="4"/>
  <c r="F61" i="4" s="1"/>
  <c r="F38" i="4"/>
  <c r="H38" i="4" s="1"/>
  <c r="E36" i="4"/>
  <c r="J10" i="2"/>
  <c r="H10" i="2"/>
  <c r="P6" i="6"/>
  <c r="G5" i="6"/>
  <c r="H47" i="4"/>
  <c r="F41" i="4"/>
  <c r="H41" i="4" s="1"/>
  <c r="Q15" i="7"/>
  <c r="Q14" i="7" s="1"/>
  <c r="S17" i="7"/>
  <c r="U9" i="9"/>
  <c r="AA5" i="7"/>
  <c r="AB9" i="9"/>
  <c r="F15" i="7"/>
  <c r="F14" i="7" s="1"/>
  <c r="G17" i="7"/>
  <c r="H17" i="7" s="1"/>
  <c r="M14" i="5"/>
  <c r="O14" i="5"/>
  <c r="K14" i="5"/>
  <c r="AA17" i="9"/>
  <c r="G61" i="4"/>
  <c r="H20" i="4"/>
  <c r="H28" i="4"/>
  <c r="H65" i="4"/>
  <c r="G5" i="4"/>
  <c r="J42" i="7"/>
  <c r="T33" i="7"/>
  <c r="L28" i="7"/>
  <c r="N28" i="7" s="1"/>
  <c r="P28" i="7" s="1"/>
  <c r="R28" i="7" s="1"/>
  <c r="R26" i="7" s="1"/>
  <c r="M28" i="7"/>
  <c r="O28" i="7" s="1"/>
  <c r="Q28" i="7" s="1"/>
  <c r="Q26" i="7" s="1"/>
  <c r="Q24" i="7" s="1"/>
  <c r="Q6" i="9" s="1"/>
  <c r="K26" i="7"/>
  <c r="K24" i="7" s="1"/>
  <c r="K6" i="9" s="1"/>
  <c r="W48" i="7"/>
  <c r="V42" i="7"/>
  <c r="V32" i="7" s="1"/>
  <c r="V7" i="9" s="1"/>
  <c r="U51" i="7"/>
  <c r="U49" i="7" s="1"/>
  <c r="S51" i="7"/>
  <c r="S49" i="7" s="1"/>
  <c r="Y9" i="9"/>
  <c r="N18" i="7"/>
  <c r="L18" i="7"/>
  <c r="G50" i="7"/>
  <c r="F49" i="7"/>
  <c r="G62" i="7"/>
  <c r="O18" i="9"/>
  <c r="H8" i="2"/>
  <c r="F7" i="4"/>
  <c r="F49" i="4"/>
  <c r="F58" i="4"/>
  <c r="H23" i="7"/>
  <c r="H22" i="7"/>
  <c r="AC28" i="7"/>
  <c r="AC36" i="7"/>
  <c r="K40" i="7"/>
  <c r="AC41" i="7"/>
  <c r="AC40" i="7" s="1"/>
  <c r="O53" i="7"/>
  <c r="T10" i="7"/>
  <c r="W14" i="7"/>
  <c r="F5" i="7"/>
  <c r="Q55" i="7"/>
  <c r="Q53" i="7" s="1"/>
  <c r="Q48" i="7" s="1"/>
  <c r="Q8" i="9" s="1"/>
  <c r="O55" i="7"/>
  <c r="U55" i="7"/>
  <c r="U53" i="7" s="1"/>
  <c r="S55" i="7"/>
  <c r="S53" i="7" s="1"/>
  <c r="M55" i="7"/>
  <c r="AB5" i="7"/>
  <c r="AB67" i="7" s="1"/>
  <c r="L8" i="2"/>
  <c r="N8" i="2" s="1"/>
  <c r="P8" i="2" s="1"/>
  <c r="R8" i="2" s="1"/>
  <c r="T8" i="2" s="1"/>
  <c r="V8" i="2" s="1"/>
  <c r="X8" i="2" s="1"/>
  <c r="Z8" i="2" s="1"/>
  <c r="AB8" i="2" s="1"/>
  <c r="AC8" i="2"/>
  <c r="V17" i="7"/>
  <c r="V15" i="7" s="1"/>
  <c r="U15" i="7"/>
  <c r="E7" i="6"/>
  <c r="E5" i="6"/>
  <c r="G52" i="4"/>
  <c r="K34" i="7"/>
  <c r="J33" i="7"/>
  <c r="AC59" i="7"/>
  <c r="AC65" i="7"/>
  <c r="M39" i="7"/>
  <c r="O39" i="7" s="1"/>
  <c r="Q39" i="7" s="1"/>
  <c r="Q37" i="7" s="1"/>
  <c r="Q33" i="7" s="1"/>
  <c r="Q32" i="7" s="1"/>
  <c r="Q7" i="9" s="1"/>
  <c r="L39" i="7"/>
  <c r="N39" i="7" s="1"/>
  <c r="P39" i="7" s="1"/>
  <c r="R39" i="7" s="1"/>
  <c r="R37" i="7" s="1"/>
  <c r="AA32" i="7"/>
  <c r="S9" i="7"/>
  <c r="S6" i="7" s="1"/>
  <c r="Q9" i="7"/>
  <c r="M9" i="7"/>
  <c r="G9" i="7"/>
  <c r="O7" i="7"/>
  <c r="G7" i="7"/>
  <c r="M7" i="7"/>
  <c r="Z7" i="9"/>
  <c r="S42" i="7"/>
  <c r="S32" i="7" s="1"/>
  <c r="S7" i="9" s="1"/>
  <c r="Q61" i="7"/>
  <c r="Q9" i="9" s="1"/>
  <c r="G45" i="7"/>
  <c r="O45" i="7"/>
  <c r="O42" i="7" s="1"/>
  <c r="W45" i="7"/>
  <c r="W42" i="7" s="1"/>
  <c r="W32" i="7" s="1"/>
  <c r="W7" i="9" s="1"/>
  <c r="S45" i="7"/>
  <c r="F53" i="7"/>
  <c r="H53" i="7" s="1"/>
  <c r="V13" i="7"/>
  <c r="V10" i="7" s="1"/>
  <c r="P13" i="7"/>
  <c r="X13" i="7"/>
  <c r="X10" i="7" s="1"/>
  <c r="R13" i="7"/>
  <c r="R10" i="7" s="1"/>
  <c r="G34" i="7"/>
  <c r="K14" i="7"/>
  <c r="I33" i="7"/>
  <c r="J48" i="7"/>
  <c r="J8" i="9" s="1"/>
  <c r="Q10" i="7"/>
  <c r="Q5" i="7" s="1"/>
  <c r="Q5" i="9" s="1"/>
  <c r="F37" i="7"/>
  <c r="H37" i="7" s="1"/>
  <c r="F62" i="7"/>
  <c r="F61" i="7" s="1"/>
  <c r="M30" i="7"/>
  <c r="S30" i="7"/>
  <c r="S24" i="7" s="1"/>
  <c r="S6" i="9" s="1"/>
  <c r="G30" i="7"/>
  <c r="W30" i="7"/>
  <c r="W24" i="7" s="1"/>
  <c r="W6" i="9" s="1"/>
  <c r="S20" i="7"/>
  <c r="U20" i="7"/>
  <c r="O20" i="7"/>
  <c r="Y20" i="7"/>
  <c r="Y14" i="7" s="1"/>
  <c r="Y5" i="7" s="1"/>
  <c r="G20" i="7"/>
  <c r="I19" i="2"/>
  <c r="I17" i="9"/>
  <c r="Q17" i="9"/>
  <c r="Q19" i="2"/>
  <c r="Y17" i="9"/>
  <c r="Y19" i="2"/>
  <c r="Y7" i="6"/>
  <c r="Y10" i="6" s="1"/>
  <c r="R33" i="7"/>
  <c r="R32" i="7" s="1"/>
  <c r="R7" i="9" s="1"/>
  <c r="P8" i="7"/>
  <c r="N8" i="7"/>
  <c r="R8" i="7"/>
  <c r="M17" i="9"/>
  <c r="M19" i="2"/>
  <c r="U17" i="9"/>
  <c r="U19" i="2"/>
  <c r="I18" i="9"/>
  <c r="I15" i="6"/>
  <c r="AC51" i="7"/>
  <c r="W13" i="7"/>
  <c r="W10" i="7" s="1"/>
  <c r="W5" i="7" s="1"/>
  <c r="Q13" i="7"/>
  <c r="O8" i="7"/>
  <c r="M8" i="7"/>
  <c r="AC8" i="7" s="1"/>
  <c r="N18" i="9"/>
  <c r="P5" i="5"/>
  <c r="P12" i="9"/>
  <c r="G13" i="5"/>
  <c r="O13" i="5"/>
  <c r="K13" i="5"/>
  <c r="M13" i="5"/>
  <c r="F12" i="5"/>
  <c r="O18" i="5"/>
  <c r="K18" i="5"/>
  <c r="M18" i="5"/>
  <c r="G17" i="5"/>
  <c r="U17" i="5"/>
  <c r="S17" i="5"/>
  <c r="S12" i="5" s="1"/>
  <c r="O17" i="5"/>
  <c r="Q17" i="5"/>
  <c r="J10" i="6"/>
  <c r="Q10" i="6"/>
  <c r="Q6" i="7"/>
  <c r="O13" i="7"/>
  <c r="E12" i="5"/>
  <c r="E11" i="5" s="1"/>
  <c r="E20" i="5" s="1"/>
  <c r="M18" i="9"/>
  <c r="M15" i="6"/>
  <c r="V10" i="6"/>
  <c r="V18" i="9" s="1"/>
  <c r="K18" i="9"/>
  <c r="U13" i="7"/>
  <c r="U10" i="7" s="1"/>
  <c r="Y10" i="5"/>
  <c r="Y9" i="5" s="1"/>
  <c r="U10" i="5"/>
  <c r="U9" i="5" s="1"/>
  <c r="U13" i="9" s="1"/>
  <c r="Q10" i="5"/>
  <c r="Q9" i="5" s="1"/>
  <c r="AA10" i="5"/>
  <c r="AA9" i="5" s="1"/>
  <c r="AA13" i="9" s="1"/>
  <c r="E9" i="5"/>
  <c r="K42" i="7"/>
  <c r="M46" i="7"/>
  <c r="AC47" i="7"/>
  <c r="AC46" i="7" s="1"/>
  <c r="L46" i="7"/>
  <c r="L42" i="7" s="1"/>
  <c r="M42" i="7"/>
  <c r="N43" i="7"/>
  <c r="N42" i="7" s="1"/>
  <c r="AC44" i="7"/>
  <c r="AC43" i="7" s="1"/>
  <c r="I32" i="7"/>
  <c r="I7" i="9" s="1"/>
  <c r="J32" i="7"/>
  <c r="J7" i="9" s="1"/>
  <c r="O38" i="7"/>
  <c r="L37" i="7"/>
  <c r="N38" i="7"/>
  <c r="K37" i="7"/>
  <c r="K33" i="7" s="1"/>
  <c r="K32" i="7" s="1"/>
  <c r="K7" i="9" s="1"/>
  <c r="O35" i="7"/>
  <c r="O34" i="7" s="1"/>
  <c r="M34" i="7"/>
  <c r="N35" i="7"/>
  <c r="L34" i="7"/>
  <c r="M26" i="7"/>
  <c r="M24" i="7" s="1"/>
  <c r="M6" i="9" s="1"/>
  <c r="O27" i="7"/>
  <c r="N27" i="7"/>
  <c r="L26" i="7"/>
  <c r="L24" i="7" s="1"/>
  <c r="L6" i="9" s="1"/>
  <c r="R48" i="7"/>
  <c r="R8" i="9" s="1"/>
  <c r="M49" i="7"/>
  <c r="O50" i="7"/>
  <c r="O49" i="7" s="1"/>
  <c r="K49" i="7"/>
  <c r="K48" i="7" s="1"/>
  <c r="K8" i="9" s="1"/>
  <c r="O63" i="7"/>
  <c r="O62" i="7" s="1"/>
  <c r="O61" i="7" s="1"/>
  <c r="O9" i="9" s="1"/>
  <c r="M62" i="7"/>
  <c r="M61" i="7" s="1"/>
  <c r="M9" i="9" s="1"/>
  <c r="L62" i="7"/>
  <c r="L61" i="7" s="1"/>
  <c r="L9" i="9" s="1"/>
  <c r="N63" i="7"/>
  <c r="M15" i="7"/>
  <c r="M14" i="7" s="1"/>
  <c r="O15" i="7"/>
  <c r="O14" i="7" s="1"/>
  <c r="L15" i="7"/>
  <c r="L14" i="7" s="1"/>
  <c r="I5" i="7"/>
  <c r="I67" i="7" s="1"/>
  <c r="J5" i="7"/>
  <c r="J67" i="7" s="1"/>
  <c r="M11" i="7"/>
  <c r="M10" i="7" s="1"/>
  <c r="O12" i="7"/>
  <c r="O11" i="7" s="1"/>
  <c r="O10" i="7" s="1"/>
  <c r="L11" i="7"/>
  <c r="L10" i="7" s="1"/>
  <c r="N12" i="7"/>
  <c r="I5" i="9"/>
  <c r="K11" i="7"/>
  <c r="K10" i="7" s="1"/>
  <c r="K5" i="7" s="1"/>
  <c r="T48" i="7"/>
  <c r="T8" i="9" s="1"/>
  <c r="W18" i="9"/>
  <c r="U15" i="6"/>
  <c r="U18" i="9"/>
  <c r="O5" i="5"/>
  <c r="G10" i="5"/>
  <c r="AA8" i="5"/>
  <c r="AA6" i="5" s="1"/>
  <c r="F6" i="5"/>
  <c r="J11" i="5"/>
  <c r="O11" i="9"/>
  <c r="P11" i="9"/>
  <c r="F11" i="5"/>
  <c r="F15" i="9"/>
  <c r="H13" i="5"/>
  <c r="H17" i="5"/>
  <c r="N7" i="5"/>
  <c r="N6" i="5" s="1"/>
  <c r="J7" i="5"/>
  <c r="J6" i="5" s="1"/>
  <c r="H7" i="5"/>
  <c r="L7" i="5"/>
  <c r="L6" i="5" s="1"/>
  <c r="I14" i="9"/>
  <c r="M19" i="5"/>
  <c r="M16" i="9" s="1"/>
  <c r="H19" i="5"/>
  <c r="K19" i="5"/>
  <c r="F16" i="9"/>
  <c r="H16" i="9" s="1"/>
  <c r="I11" i="5"/>
  <c r="AB11" i="5"/>
  <c r="M7" i="5"/>
  <c r="M6" i="5" s="1"/>
  <c r="Y8" i="5"/>
  <c r="Y6" i="5" s="1"/>
  <c r="W16" i="5"/>
  <c r="W12" i="5" s="1"/>
  <c r="Q18" i="5"/>
  <c r="Y13" i="9"/>
  <c r="G8" i="5"/>
  <c r="G14" i="5"/>
  <c r="G15" i="5"/>
  <c r="W13" i="9"/>
  <c r="K7" i="5"/>
  <c r="K6" i="5" s="1"/>
  <c r="J14" i="9"/>
  <c r="W8" i="5"/>
  <c r="W6" i="5" s="1"/>
  <c r="U16" i="5"/>
  <c r="I7" i="5"/>
  <c r="U15" i="5"/>
  <c r="U8" i="5"/>
  <c r="U6" i="5" s="1"/>
  <c r="Y15" i="5"/>
  <c r="Y12" i="5" s="1"/>
  <c r="AA15" i="9"/>
  <c r="AA14" i="9" s="1"/>
  <c r="G18" i="5"/>
  <c r="G16" i="5"/>
  <c r="S8" i="5"/>
  <c r="V49" i="7"/>
  <c r="V48" i="7" s="1"/>
  <c r="W5" i="9" l="1"/>
  <c r="W4" i="9" s="1"/>
  <c r="W4" i="7"/>
  <c r="Q4" i="9"/>
  <c r="Y5" i="9"/>
  <c r="Y4" i="9" s="1"/>
  <c r="Y4" i="7"/>
  <c r="Y67" i="7"/>
  <c r="U5" i="7"/>
  <c r="K5" i="5"/>
  <c r="K12" i="9"/>
  <c r="K11" i="9" s="1"/>
  <c r="G33" i="7"/>
  <c r="H33" i="7" s="1"/>
  <c r="H34" i="7"/>
  <c r="AA7" i="9"/>
  <c r="AA67" i="7"/>
  <c r="AA5" i="9"/>
  <c r="AA4" i="7"/>
  <c r="F34" i="4"/>
  <c r="H34" i="4" s="1"/>
  <c r="H35" i="4"/>
  <c r="L5" i="5"/>
  <c r="L12" i="9"/>
  <c r="L11" i="9" s="1"/>
  <c r="O37" i="7"/>
  <c r="AC13" i="7"/>
  <c r="Q18" i="9"/>
  <c r="Q15" i="6"/>
  <c r="K12" i="5"/>
  <c r="K15" i="9" s="1"/>
  <c r="G15" i="7"/>
  <c r="M6" i="7"/>
  <c r="AC7" i="7"/>
  <c r="E10" i="6"/>
  <c r="F5" i="9"/>
  <c r="F6" i="4"/>
  <c r="H7" i="4"/>
  <c r="AC18" i="7"/>
  <c r="S48" i="7"/>
  <c r="W8" i="9"/>
  <c r="W67" i="7"/>
  <c r="L10" i="2"/>
  <c r="N10" i="2" s="1"/>
  <c r="P10" i="2" s="1"/>
  <c r="R10" i="2" s="1"/>
  <c r="T10" i="2" s="1"/>
  <c r="V10" i="2" s="1"/>
  <c r="X10" i="2" s="1"/>
  <c r="Z10" i="2" s="1"/>
  <c r="AB10" i="2" s="1"/>
  <c r="H61" i="4"/>
  <c r="H22" i="4"/>
  <c r="F21" i="4"/>
  <c r="F31" i="4"/>
  <c r="H32" i="4"/>
  <c r="G14" i="2"/>
  <c r="L11" i="2"/>
  <c r="N11" i="2" s="1"/>
  <c r="P11" i="2" s="1"/>
  <c r="R11" i="2" s="1"/>
  <c r="T11" i="2" s="1"/>
  <c r="V11" i="2" s="1"/>
  <c r="X11" i="2" s="1"/>
  <c r="Z11" i="2" s="1"/>
  <c r="AB11" i="2" s="1"/>
  <c r="AC11" i="2"/>
  <c r="H9" i="6"/>
  <c r="N5" i="5"/>
  <c r="N12" i="9"/>
  <c r="N11" i="9" s="1"/>
  <c r="M12" i="5"/>
  <c r="Z20" i="7"/>
  <c r="Z14" i="7" s="1"/>
  <c r="Z5" i="7" s="1"/>
  <c r="V20" i="7"/>
  <c r="V14" i="7" s="1"/>
  <c r="V5" i="7" s="1"/>
  <c r="P20" i="7"/>
  <c r="N20" i="7"/>
  <c r="R20" i="7"/>
  <c r="R14" i="7" s="1"/>
  <c r="X20" i="7"/>
  <c r="X14" i="7" s="1"/>
  <c r="X5" i="7" s="1"/>
  <c r="H20" i="7"/>
  <c r="T20" i="7"/>
  <c r="T14" i="7" s="1"/>
  <c r="AC55" i="7"/>
  <c r="AC53" i="7" s="1"/>
  <c r="M53" i="7"/>
  <c r="M48" i="7" s="1"/>
  <c r="M8" i="9" s="1"/>
  <c r="H49" i="4"/>
  <c r="F44" i="4"/>
  <c r="H44" i="4" s="1"/>
  <c r="G49" i="7"/>
  <c r="H50" i="7"/>
  <c r="N14" i="5"/>
  <c r="P14" i="5"/>
  <c r="L14" i="5"/>
  <c r="F5" i="5"/>
  <c r="F12" i="9"/>
  <c r="F11" i="9" s="1"/>
  <c r="U12" i="5"/>
  <c r="W5" i="5"/>
  <c r="W12" i="9"/>
  <c r="W11" i="9" s="1"/>
  <c r="Y5" i="5"/>
  <c r="Y12" i="9"/>
  <c r="Y11" i="9" s="1"/>
  <c r="AA5" i="5"/>
  <c r="AA20" i="5" s="1"/>
  <c r="AA12" i="9"/>
  <c r="AA11" i="9" s="1"/>
  <c r="AB10" i="5"/>
  <c r="AB9" i="5" s="1"/>
  <c r="X10" i="5"/>
  <c r="X9" i="5" s="1"/>
  <c r="X13" i="9" s="1"/>
  <c r="T10" i="5"/>
  <c r="T9" i="5" s="1"/>
  <c r="T13" i="9" s="1"/>
  <c r="G9" i="5"/>
  <c r="Z10" i="5"/>
  <c r="Z9" i="5" s="1"/>
  <c r="Z13" i="9" s="1"/>
  <c r="V10" i="5"/>
  <c r="V9" i="5" s="1"/>
  <c r="V13" i="9" s="1"/>
  <c r="R10" i="5"/>
  <c r="R9" i="5" s="1"/>
  <c r="R5" i="5" s="1"/>
  <c r="O48" i="7"/>
  <c r="O8" i="9" s="1"/>
  <c r="M37" i="7"/>
  <c r="J15" i="6"/>
  <c r="J18" i="9"/>
  <c r="O12" i="5"/>
  <c r="X30" i="7"/>
  <c r="X24" i="7" s="1"/>
  <c r="X6" i="9" s="1"/>
  <c r="T30" i="7"/>
  <c r="T24" i="7" s="1"/>
  <c r="T6" i="9" s="1"/>
  <c r="N30" i="7"/>
  <c r="G24" i="7"/>
  <c r="V30" i="7"/>
  <c r="V24" i="7" s="1"/>
  <c r="V6" i="9" s="1"/>
  <c r="R30" i="7"/>
  <c r="AC30" i="7" s="1"/>
  <c r="P30" i="7"/>
  <c r="H30" i="7"/>
  <c r="F9" i="9"/>
  <c r="F67" i="7"/>
  <c r="C7" i="3" s="1"/>
  <c r="T45" i="7"/>
  <c r="T42" i="7" s="1"/>
  <c r="T32" i="7" s="1"/>
  <c r="P45" i="7"/>
  <c r="X45" i="7"/>
  <c r="X42" i="7" s="1"/>
  <c r="X32" i="7" s="1"/>
  <c r="H45" i="7"/>
  <c r="R7" i="7"/>
  <c r="P7" i="7"/>
  <c r="N7" i="7"/>
  <c r="G6" i="7"/>
  <c r="H7" i="7"/>
  <c r="AC39" i="7"/>
  <c r="U14" i="7"/>
  <c r="G42" i="7"/>
  <c r="G61" i="7"/>
  <c r="H62" i="7"/>
  <c r="U48" i="7"/>
  <c r="G4" i="4"/>
  <c r="G68" i="4"/>
  <c r="S15" i="7"/>
  <c r="S14" i="7" s="1"/>
  <c r="S5" i="7" s="1"/>
  <c r="AC17" i="7"/>
  <c r="C10" i="3"/>
  <c r="F10" i="6"/>
  <c r="E30" i="4"/>
  <c r="E68" i="4" s="1"/>
  <c r="L13" i="2"/>
  <c r="J12" i="2"/>
  <c r="J14" i="2" s="1"/>
  <c r="L7" i="2"/>
  <c r="J6" i="2"/>
  <c r="AA18" i="9"/>
  <c r="AA11" i="6"/>
  <c r="N9" i="7"/>
  <c r="T9" i="7"/>
  <c r="T6" i="7" s="1"/>
  <c r="T5" i="7" s="1"/>
  <c r="R9" i="7"/>
  <c r="P9" i="7"/>
  <c r="L9" i="7"/>
  <c r="H9" i="7"/>
  <c r="S18" i="9"/>
  <c r="L9" i="2"/>
  <c r="N9" i="2" s="1"/>
  <c r="P9" i="2" s="1"/>
  <c r="R9" i="2" s="1"/>
  <c r="T9" i="2" s="1"/>
  <c r="V9" i="2" s="1"/>
  <c r="X9" i="2" s="1"/>
  <c r="Z9" i="2" s="1"/>
  <c r="AB9" i="2" s="1"/>
  <c r="AC9" i="2"/>
  <c r="P18" i="5"/>
  <c r="L18" i="5"/>
  <c r="N18" i="5"/>
  <c r="U5" i="5"/>
  <c r="U12" i="9"/>
  <c r="U11" i="9" s="1"/>
  <c r="M5" i="5"/>
  <c r="M12" i="9"/>
  <c r="M11" i="9" s="1"/>
  <c r="J5" i="5"/>
  <c r="J20" i="5" s="1"/>
  <c r="J12" i="9"/>
  <c r="J11" i="9" s="1"/>
  <c r="O26" i="7"/>
  <c r="O24" i="7" s="1"/>
  <c r="O6" i="9" s="1"/>
  <c r="M33" i="7"/>
  <c r="Q5" i="5"/>
  <c r="Q13" i="9"/>
  <c r="Q11" i="9" s="1"/>
  <c r="Q12" i="5"/>
  <c r="Q15" i="9" s="1"/>
  <c r="Q14" i="9" s="1"/>
  <c r="Q10" i="9" s="1"/>
  <c r="Q19" i="9" s="1"/>
  <c r="P17" i="5"/>
  <c r="V17" i="5"/>
  <c r="R17" i="5"/>
  <c r="T17" i="5"/>
  <c r="T12" i="5" s="1"/>
  <c r="L13" i="5"/>
  <c r="L12" i="5" s="1"/>
  <c r="P13" i="5"/>
  <c r="N13" i="5"/>
  <c r="N12" i="5" s="1"/>
  <c r="G12" i="5"/>
  <c r="Y15" i="6"/>
  <c r="Y11" i="6"/>
  <c r="Y18" i="9"/>
  <c r="O6" i="7"/>
  <c r="AB5" i="9"/>
  <c r="AB4" i="9" s="1"/>
  <c r="AB4" i="7"/>
  <c r="F57" i="4"/>
  <c r="H57" i="4" s="1"/>
  <c r="H58" i="4"/>
  <c r="F48" i="7"/>
  <c r="F8" i="9" s="1"/>
  <c r="F33" i="7"/>
  <c r="F32" i="7" s="1"/>
  <c r="F7" i="9" s="1"/>
  <c r="P5" i="6"/>
  <c r="P10" i="6" s="1"/>
  <c r="T6" i="6"/>
  <c r="T8" i="6"/>
  <c r="T7" i="6" s="1"/>
  <c r="G7" i="6"/>
  <c r="F36" i="4"/>
  <c r="H36" i="4" s="1"/>
  <c r="AC9" i="6"/>
  <c r="H14" i="4"/>
  <c r="F13" i="4"/>
  <c r="H13" i="4" s="1"/>
  <c r="M32" i="7"/>
  <c r="M7" i="9" s="1"/>
  <c r="L33" i="7"/>
  <c r="L32" i="7" s="1"/>
  <c r="L7" i="9" s="1"/>
  <c r="O33" i="7"/>
  <c r="O32" i="7" s="1"/>
  <c r="O7" i="9" s="1"/>
  <c r="P38" i="7"/>
  <c r="P37" i="7" s="1"/>
  <c r="N37" i="7"/>
  <c r="N34" i="7"/>
  <c r="P35" i="7"/>
  <c r="N26" i="7"/>
  <c r="N24" i="7" s="1"/>
  <c r="N6" i="9" s="1"/>
  <c r="P27" i="7"/>
  <c r="P26" i="7" s="1"/>
  <c r="P24" i="7" s="1"/>
  <c r="P6" i="9" s="1"/>
  <c r="N50" i="7"/>
  <c r="L49" i="7"/>
  <c r="L48" i="7" s="1"/>
  <c r="L8" i="9" s="1"/>
  <c r="N62" i="7"/>
  <c r="N61" i="7" s="1"/>
  <c r="N9" i="9" s="1"/>
  <c r="P63" i="7"/>
  <c r="P62" i="7" s="1"/>
  <c r="P61" i="7" s="1"/>
  <c r="P9" i="9" s="1"/>
  <c r="AC9" i="9" s="1"/>
  <c r="Q4" i="7"/>
  <c r="O22" i="7"/>
  <c r="O21" i="7" s="1"/>
  <c r="M22" i="7"/>
  <c r="M21" i="7" s="1"/>
  <c r="M5" i="7" s="1"/>
  <c r="L22" i="7"/>
  <c r="L21" i="7" s="1"/>
  <c r="J4" i="7"/>
  <c r="Q67" i="7"/>
  <c r="J5" i="9"/>
  <c r="J4" i="9" s="1"/>
  <c r="O5" i="7"/>
  <c r="O5" i="9" s="1"/>
  <c r="I4" i="7"/>
  <c r="N15" i="7"/>
  <c r="N14" i="7" s="1"/>
  <c r="I4" i="9"/>
  <c r="P12" i="7"/>
  <c r="N11" i="7"/>
  <c r="N10" i="7" s="1"/>
  <c r="K5" i="9"/>
  <c r="K4" i="9" s="1"/>
  <c r="K67" i="7"/>
  <c r="K68" i="7" s="1"/>
  <c r="K4" i="7"/>
  <c r="AA10" i="9"/>
  <c r="H10" i="5"/>
  <c r="AC10" i="5"/>
  <c r="J10" i="9"/>
  <c r="AA4" i="5"/>
  <c r="F14" i="9"/>
  <c r="F10" i="9" s="1"/>
  <c r="AB8" i="5"/>
  <c r="AB6" i="5" s="1"/>
  <c r="T8" i="5"/>
  <c r="T6" i="5" s="1"/>
  <c r="V8" i="5"/>
  <c r="V6" i="5" s="1"/>
  <c r="X8" i="5"/>
  <c r="X6" i="5" s="1"/>
  <c r="Z8" i="5"/>
  <c r="Z6" i="5" s="1"/>
  <c r="H8" i="5"/>
  <c r="H14" i="5"/>
  <c r="X15" i="5"/>
  <c r="X12" i="5" s="1"/>
  <c r="Z15" i="5"/>
  <c r="V15" i="5"/>
  <c r="H15" i="5"/>
  <c r="S6" i="5"/>
  <c r="R13" i="9"/>
  <c r="F4" i="5"/>
  <c r="F20" i="5"/>
  <c r="Q11" i="5"/>
  <c r="Y11" i="5"/>
  <c r="Y15" i="9"/>
  <c r="Y14" i="9" s="1"/>
  <c r="K16" i="9"/>
  <c r="AC16" i="9" s="1"/>
  <c r="AC19" i="5"/>
  <c r="AB13" i="9"/>
  <c r="AC13" i="5"/>
  <c r="N11" i="5"/>
  <c r="N15" i="9"/>
  <c r="N14" i="9" s="1"/>
  <c r="N10" i="9" s="1"/>
  <c r="G6" i="5"/>
  <c r="G12" i="9" s="1"/>
  <c r="W11" i="5"/>
  <c r="W15" i="9"/>
  <c r="W14" i="9" s="1"/>
  <c r="O11" i="5"/>
  <c r="O15" i="9"/>
  <c r="O14" i="9" s="1"/>
  <c r="O10" i="9" s="1"/>
  <c r="H18" i="5"/>
  <c r="R18" i="5"/>
  <c r="S11" i="5"/>
  <c r="S15" i="9"/>
  <c r="S14" i="9" s="1"/>
  <c r="Z16" i="5"/>
  <c r="V16" i="5"/>
  <c r="X16" i="5"/>
  <c r="H16" i="5"/>
  <c r="AC7" i="5"/>
  <c r="I6" i="5"/>
  <c r="I12" i="9" s="1"/>
  <c r="V8" i="9"/>
  <c r="V5" i="9" l="1"/>
  <c r="V4" i="9" s="1"/>
  <c r="V4" i="7"/>
  <c r="V67" i="7"/>
  <c r="Z5" i="5"/>
  <c r="Z12" i="9"/>
  <c r="H7" i="6"/>
  <c r="H10" i="6" s="1"/>
  <c r="G10" i="6"/>
  <c r="F5" i="4"/>
  <c r="H6" i="4"/>
  <c r="W10" i="9"/>
  <c r="W19" i="9" s="1"/>
  <c r="X5" i="5"/>
  <c r="X12" i="9"/>
  <c r="X11" i="9" s="1"/>
  <c r="R12" i="5"/>
  <c r="T5" i="9"/>
  <c r="T4" i="7"/>
  <c r="S4" i="7"/>
  <c r="S5" i="9"/>
  <c r="U8" i="9"/>
  <c r="U67" i="7"/>
  <c r="N6" i="7"/>
  <c r="X67" i="7"/>
  <c r="X7" i="9"/>
  <c r="Z11" i="9"/>
  <c r="G48" i="7"/>
  <c r="H49" i="7"/>
  <c r="Z5" i="9"/>
  <c r="Z4" i="9" s="1"/>
  <c r="Z4" i="7"/>
  <c r="Z67" i="7"/>
  <c r="G17" i="9"/>
  <c r="H17" i="9" s="1"/>
  <c r="D5" i="3"/>
  <c r="H14" i="2"/>
  <c r="F15" i="2" s="1"/>
  <c r="AC10" i="2"/>
  <c r="S8" i="9"/>
  <c r="S67" i="7"/>
  <c r="S68" i="7" s="1"/>
  <c r="F4" i="7"/>
  <c r="AA68" i="7"/>
  <c r="K11" i="5"/>
  <c r="Y72" i="7"/>
  <c r="Y68" i="7"/>
  <c r="Z12" i="5"/>
  <c r="L6" i="2"/>
  <c r="N7" i="2"/>
  <c r="G32" i="7"/>
  <c r="H42" i="7"/>
  <c r="H6" i="7"/>
  <c r="X5" i="9"/>
  <c r="X4" i="7"/>
  <c r="F52" i="4"/>
  <c r="H21" i="4"/>
  <c r="F18" i="4"/>
  <c r="H18" i="4" s="1"/>
  <c r="U5" i="9"/>
  <c r="U4" i="9" s="1"/>
  <c r="U4" i="7"/>
  <c r="S10" i="9"/>
  <c r="S5" i="5"/>
  <c r="S12" i="9"/>
  <c r="S11" i="9" s="1"/>
  <c r="Y10" i="9"/>
  <c r="Y19" i="9" s="1"/>
  <c r="V5" i="5"/>
  <c r="V12" i="9"/>
  <c r="V11" i="9" s="1"/>
  <c r="J4" i="5"/>
  <c r="I68" i="7"/>
  <c r="T5" i="6"/>
  <c r="T10" i="6" s="1"/>
  <c r="X6" i="6"/>
  <c r="Z13" i="6"/>
  <c r="P12" i="5"/>
  <c r="L6" i="7"/>
  <c r="L5" i="7" s="1"/>
  <c r="L5" i="9" s="1"/>
  <c r="L4" i="9" s="1"/>
  <c r="AC9" i="7"/>
  <c r="J17" i="9"/>
  <c r="J19" i="2"/>
  <c r="J15" i="2"/>
  <c r="F18" i="9"/>
  <c r="K11" i="6"/>
  <c r="W11" i="6"/>
  <c r="U11" i="6"/>
  <c r="F11" i="6"/>
  <c r="M11" i="6"/>
  <c r="O11" i="6"/>
  <c r="I11" i="6"/>
  <c r="J13" i="6" s="1"/>
  <c r="P6" i="7"/>
  <c r="P42" i="7"/>
  <c r="AC45" i="7"/>
  <c r="AC42" i="7" s="1"/>
  <c r="G6" i="9"/>
  <c r="H6" i="9" s="1"/>
  <c r="H24" i="7"/>
  <c r="H9" i="5"/>
  <c r="G13" i="9"/>
  <c r="H13" i="9" s="1"/>
  <c r="AC20" i="7"/>
  <c r="R24" i="7"/>
  <c r="F4" i="9"/>
  <c r="F19" i="9" s="1"/>
  <c r="H15" i="7"/>
  <c r="G14" i="7"/>
  <c r="H14" i="7" s="1"/>
  <c r="Q11" i="6"/>
  <c r="AC8" i="6"/>
  <c r="AC7" i="6" s="1"/>
  <c r="AA4" i="9"/>
  <c r="AA19" i="9" s="1"/>
  <c r="AB5" i="5"/>
  <c r="AB4" i="5" s="1"/>
  <c r="AB12" i="9"/>
  <c r="P18" i="9"/>
  <c r="N15" i="6"/>
  <c r="P11" i="6"/>
  <c r="AC6" i="7"/>
  <c r="AC18" i="5"/>
  <c r="I11" i="9"/>
  <c r="I10" i="9" s="1"/>
  <c r="I19" i="9" s="1"/>
  <c r="I20" i="9" s="1"/>
  <c r="AC16" i="5"/>
  <c r="H12" i="9"/>
  <c r="G11" i="9"/>
  <c r="H11" i="9" s="1"/>
  <c r="AB11" i="9"/>
  <c r="AB10" i="9" s="1"/>
  <c r="V12" i="5"/>
  <c r="T5" i="5"/>
  <c r="T12" i="9"/>
  <c r="T11" i="9" s="1"/>
  <c r="AC17" i="5"/>
  <c r="AC9" i="5"/>
  <c r="L11" i="5"/>
  <c r="L15" i="9"/>
  <c r="L14" i="9" s="1"/>
  <c r="L10" i="9" s="1"/>
  <c r="S11" i="6"/>
  <c r="N13" i="2"/>
  <c r="L12" i="2"/>
  <c r="L14" i="2" s="1"/>
  <c r="E10" i="3"/>
  <c r="C9" i="3"/>
  <c r="G9" i="9"/>
  <c r="H9" i="9" s="1"/>
  <c r="H61" i="7"/>
  <c r="R6" i="7"/>
  <c r="R5" i="7" s="1"/>
  <c r="T7" i="9"/>
  <c r="T67" i="7"/>
  <c r="F30" i="4"/>
  <c r="H30" i="4" s="1"/>
  <c r="H31" i="4"/>
  <c r="W68" i="7"/>
  <c r="O4" i="9"/>
  <c r="AC38" i="7"/>
  <c r="AC37" i="7" s="1"/>
  <c r="N33" i="7"/>
  <c r="N32" i="7" s="1"/>
  <c r="N7" i="9" s="1"/>
  <c r="P34" i="7"/>
  <c r="P33" i="7" s="1"/>
  <c r="AC35" i="7"/>
  <c r="AC34" i="7" s="1"/>
  <c r="AC27" i="7"/>
  <c r="AC26" i="7" s="1"/>
  <c r="AC24" i="7" s="1"/>
  <c r="P50" i="7"/>
  <c r="N49" i="7"/>
  <c r="N48" i="7" s="1"/>
  <c r="N8" i="9" s="1"/>
  <c r="L67" i="7"/>
  <c r="J72" i="7" s="1"/>
  <c r="Q68" i="7"/>
  <c r="AC63" i="7"/>
  <c r="AC62" i="7" s="1"/>
  <c r="AC61" i="7" s="1"/>
  <c r="M4" i="7"/>
  <c r="M5" i="9"/>
  <c r="M4" i="9" s="1"/>
  <c r="M67" i="7"/>
  <c r="M68" i="7" s="1"/>
  <c r="N22" i="7"/>
  <c r="N21" i="7" s="1"/>
  <c r="P22" i="7"/>
  <c r="P21" i="7" s="1"/>
  <c r="J19" i="9"/>
  <c r="O67" i="7"/>
  <c r="O68" i="7" s="1"/>
  <c r="O4" i="7"/>
  <c r="N5" i="7"/>
  <c r="N5" i="9" s="1"/>
  <c r="P15" i="7"/>
  <c r="P14" i="7" s="1"/>
  <c r="AC16" i="7"/>
  <c r="AC15" i="7" s="1"/>
  <c r="AC14" i="7" s="1"/>
  <c r="L4" i="7"/>
  <c r="O19" i="9"/>
  <c r="I72" i="7"/>
  <c r="J70" i="7"/>
  <c r="P11" i="7"/>
  <c r="P10" i="7" s="1"/>
  <c r="AC12" i="7"/>
  <c r="AC11" i="7" s="1"/>
  <c r="AC10" i="7" s="1"/>
  <c r="K14" i="9"/>
  <c r="K10" i="9" s="1"/>
  <c r="K19" i="9" s="1"/>
  <c r="AC8" i="5"/>
  <c r="AC6" i="5"/>
  <c r="I5" i="5"/>
  <c r="AC5" i="5" s="1"/>
  <c r="H6" i="5"/>
  <c r="G5" i="5"/>
  <c r="H5" i="5" s="1"/>
  <c r="AC15" i="5"/>
  <c r="O20" i="5"/>
  <c r="O21" i="5" s="1"/>
  <c r="O4" i="5"/>
  <c r="Y20" i="5"/>
  <c r="Y4" i="5"/>
  <c r="AC14" i="5"/>
  <c r="W20" i="5"/>
  <c r="W21" i="5" s="1"/>
  <c r="W4" i="5"/>
  <c r="AB20" i="5"/>
  <c r="Q4" i="5"/>
  <c r="Q20" i="5"/>
  <c r="R11" i="9"/>
  <c r="AC13" i="9"/>
  <c r="N20" i="5"/>
  <c r="N4" i="5"/>
  <c r="U15" i="9"/>
  <c r="U14" i="9" s="1"/>
  <c r="U10" i="9" s="1"/>
  <c r="U19" i="9" s="1"/>
  <c r="U11" i="5"/>
  <c r="S4" i="5"/>
  <c r="S20" i="5"/>
  <c r="S21" i="5" s="1"/>
  <c r="R15" i="9"/>
  <c r="R14" i="9" s="1"/>
  <c r="R11" i="5"/>
  <c r="R20" i="5" s="1"/>
  <c r="C8" i="3"/>
  <c r="C6" i="3" s="1"/>
  <c r="C12" i="3" s="1"/>
  <c r="AA21" i="5"/>
  <c r="V72" i="7"/>
  <c r="T18" i="9" l="1"/>
  <c r="R15" i="6"/>
  <c r="T11" i="6"/>
  <c r="AA20" i="9"/>
  <c r="Y24" i="9"/>
  <c r="Y26" i="9" s="1"/>
  <c r="W20" i="9"/>
  <c r="Q20" i="9"/>
  <c r="Y20" i="9"/>
  <c r="L19" i="9"/>
  <c r="D4" i="3"/>
  <c r="E4" i="3" s="1"/>
  <c r="E5" i="3"/>
  <c r="F4" i="4"/>
  <c r="H4" i="4" s="1"/>
  <c r="H5" i="4"/>
  <c r="L17" i="9"/>
  <c r="L15" i="2"/>
  <c r="L17" i="2" s="1"/>
  <c r="L20" i="5"/>
  <c r="J25" i="5" s="1"/>
  <c r="L4" i="5"/>
  <c r="AC12" i="9"/>
  <c r="R13" i="6"/>
  <c r="R6" i="9"/>
  <c r="AC6" i="9" s="1"/>
  <c r="R67" i="7"/>
  <c r="N13" i="6"/>
  <c r="P11" i="5"/>
  <c r="P15" i="9"/>
  <c r="P14" i="9" s="1"/>
  <c r="P10" i="9" s="1"/>
  <c r="Q72" i="7"/>
  <c r="G5" i="7"/>
  <c r="K4" i="5"/>
  <c r="K20" i="5"/>
  <c r="K21" i="5" s="1"/>
  <c r="G15" i="2"/>
  <c r="X4" i="9"/>
  <c r="T4" i="9"/>
  <c r="H52" i="4"/>
  <c r="F68" i="4"/>
  <c r="H68" i="4" s="1"/>
  <c r="P7" i="2"/>
  <c r="N6" i="2"/>
  <c r="U72" i="7"/>
  <c r="U68" i="7"/>
  <c r="V70" i="7" s="1"/>
  <c r="AC11" i="9"/>
  <c r="P32" i="7"/>
  <c r="P7" i="9" s="1"/>
  <c r="P13" i="2"/>
  <c r="N12" i="2"/>
  <c r="P13" i="6"/>
  <c r="S4" i="9"/>
  <c r="S19" i="9" s="1"/>
  <c r="G18" i="9"/>
  <c r="H18" i="9" s="1"/>
  <c r="D11" i="3"/>
  <c r="L11" i="6"/>
  <c r="L13" i="6" s="1"/>
  <c r="V11" i="6"/>
  <c r="N11" i="6"/>
  <c r="R11" i="6"/>
  <c r="G11" i="6"/>
  <c r="H11" i="6" s="1"/>
  <c r="Z11" i="6"/>
  <c r="J11" i="6"/>
  <c r="O20" i="9"/>
  <c r="R70" i="7"/>
  <c r="R4" i="7"/>
  <c r="R5" i="9"/>
  <c r="V13" i="6"/>
  <c r="X5" i="6"/>
  <c r="X10" i="6" s="1"/>
  <c r="AB6" i="6"/>
  <c r="G7" i="9"/>
  <c r="H7" i="9" s="1"/>
  <c r="H32" i="7"/>
  <c r="Z70" i="7"/>
  <c r="H15" i="2"/>
  <c r="Z72" i="7"/>
  <c r="H48" i="7"/>
  <c r="G8" i="9"/>
  <c r="H8" i="9" s="1"/>
  <c r="AC7" i="9"/>
  <c r="AC33" i="7"/>
  <c r="AC32" i="7" s="1"/>
  <c r="N4" i="9"/>
  <c r="P49" i="7"/>
  <c r="P48" i="7" s="1"/>
  <c r="P8" i="9" s="1"/>
  <c r="AC8" i="9" s="1"/>
  <c r="AC50" i="7"/>
  <c r="AC49" i="7" s="1"/>
  <c r="AC48" i="7" s="1"/>
  <c r="N70" i="7"/>
  <c r="M72" i="7"/>
  <c r="AC23" i="7"/>
  <c r="AC22" i="7" s="1"/>
  <c r="AC21" i="7" s="1"/>
  <c r="J24" i="9"/>
  <c r="P5" i="7"/>
  <c r="AC5" i="7" s="1"/>
  <c r="N67" i="7"/>
  <c r="I24" i="9"/>
  <c r="I26" i="9" s="1"/>
  <c r="N4" i="7"/>
  <c r="K20" i="9"/>
  <c r="J22" i="9" s="1"/>
  <c r="Z22" i="9"/>
  <c r="I20" i="5"/>
  <c r="I4" i="5"/>
  <c r="U24" i="9"/>
  <c r="U26" i="9" s="1"/>
  <c r="U20" i="9"/>
  <c r="Z11" i="5"/>
  <c r="Z15" i="9"/>
  <c r="Z14" i="9" s="1"/>
  <c r="Z10" i="9" s="1"/>
  <c r="H12" i="5"/>
  <c r="G11" i="5"/>
  <c r="G15" i="9"/>
  <c r="Y21" i="5"/>
  <c r="Z23" i="5" s="1"/>
  <c r="Y25" i="5"/>
  <c r="V15" i="9"/>
  <c r="V14" i="9" s="1"/>
  <c r="V10" i="9" s="1"/>
  <c r="V11" i="5"/>
  <c r="U20" i="5"/>
  <c r="U4" i="5"/>
  <c r="M11" i="5"/>
  <c r="M15" i="9"/>
  <c r="AC12" i="5"/>
  <c r="AC11" i="5" s="1"/>
  <c r="R4" i="5"/>
  <c r="T11" i="5"/>
  <c r="T15" i="9"/>
  <c r="T14" i="9" s="1"/>
  <c r="T10" i="9" s="1"/>
  <c r="X15" i="9"/>
  <c r="X14" i="9" s="1"/>
  <c r="X10" i="9" s="1"/>
  <c r="X11" i="5"/>
  <c r="Q25" i="5"/>
  <c r="Q21" i="5"/>
  <c r="R23" i="5" s="1"/>
  <c r="R10" i="9"/>
  <c r="Q24" i="9" l="1"/>
  <c r="Q26" i="9" s="1"/>
  <c r="S20" i="9"/>
  <c r="R22" i="9" s="1"/>
  <c r="AB5" i="6"/>
  <c r="AB10" i="6" s="1"/>
  <c r="AC6" i="6"/>
  <c r="AC5" i="6" s="1"/>
  <c r="AC10" i="6" s="1"/>
  <c r="AC11" i="6" s="1"/>
  <c r="D9" i="3"/>
  <c r="E9" i="3" s="1"/>
  <c r="E11" i="3"/>
  <c r="N14" i="2"/>
  <c r="P20" i="5"/>
  <c r="N25" i="5" s="1"/>
  <c r="P4" i="5"/>
  <c r="R4" i="9"/>
  <c r="V22" i="9"/>
  <c r="X18" i="9"/>
  <c r="X11" i="6"/>
  <c r="X13" i="6" s="1"/>
  <c r="V15" i="6"/>
  <c r="P12" i="2"/>
  <c r="R13" i="2"/>
  <c r="R72" i="7"/>
  <c r="T13" i="6"/>
  <c r="R7" i="2"/>
  <c r="P6" i="2"/>
  <c r="G5" i="9"/>
  <c r="H5" i="7"/>
  <c r="G4" i="7"/>
  <c r="H4" i="7" s="1"/>
  <c r="G67" i="7"/>
  <c r="P5" i="9"/>
  <c r="P4" i="9" s="1"/>
  <c r="P4" i="7"/>
  <c r="P67" i="7"/>
  <c r="AC4" i="7"/>
  <c r="AC67" i="7"/>
  <c r="I21" i="5"/>
  <c r="J23" i="5" s="1"/>
  <c r="I25" i="5"/>
  <c r="G20" i="5"/>
  <c r="G4" i="5"/>
  <c r="H11" i="5"/>
  <c r="G14" i="9"/>
  <c r="H15" i="9"/>
  <c r="AC20" i="5"/>
  <c r="AC4" i="5"/>
  <c r="T20" i="5"/>
  <c r="T4" i="5"/>
  <c r="Z20" i="5"/>
  <c r="Z4" i="5"/>
  <c r="U25" i="5"/>
  <c r="U21" i="5"/>
  <c r="V23" i="5" s="1"/>
  <c r="X20" i="5"/>
  <c r="X4" i="5"/>
  <c r="M20" i="5"/>
  <c r="M4" i="5"/>
  <c r="M14" i="9"/>
  <c r="M10" i="9" s="1"/>
  <c r="AC15" i="9"/>
  <c r="AC14" i="9" s="1"/>
  <c r="V20" i="5"/>
  <c r="V4" i="5"/>
  <c r="D7" i="3" l="1"/>
  <c r="E7" i="3" s="1"/>
  <c r="AB68" i="7"/>
  <c r="H67" i="7"/>
  <c r="F68" i="7" s="1"/>
  <c r="J68" i="7"/>
  <c r="G68" i="7"/>
  <c r="H68" i="7" s="1"/>
  <c r="V68" i="7"/>
  <c r="X70" i="7" s="1"/>
  <c r="X68" i="7"/>
  <c r="T68" i="7"/>
  <c r="T70" i="7" s="1"/>
  <c r="Z68" i="7"/>
  <c r="L68" i="7"/>
  <c r="R68" i="7"/>
  <c r="N15" i="2"/>
  <c r="N17" i="9"/>
  <c r="AB18" i="9"/>
  <c r="AB11" i="6"/>
  <c r="AB13" i="6" s="1"/>
  <c r="Z15" i="6"/>
  <c r="P68" i="7"/>
  <c r="T7" i="2"/>
  <c r="R6" i="2"/>
  <c r="T13" i="2"/>
  <c r="R12" i="2"/>
  <c r="AC18" i="9"/>
  <c r="P14" i="2"/>
  <c r="AC68" i="7"/>
  <c r="H5" i="9"/>
  <c r="G4" i="9"/>
  <c r="H4" i="9" s="1"/>
  <c r="N68" i="7"/>
  <c r="AC5" i="9"/>
  <c r="AC4" i="9"/>
  <c r="N72" i="7"/>
  <c r="M19" i="9"/>
  <c r="AC10" i="9"/>
  <c r="X21" i="5"/>
  <c r="M25" i="5"/>
  <c r="M21" i="5"/>
  <c r="N23" i="5" s="1"/>
  <c r="H14" i="9"/>
  <c r="G10" i="9"/>
  <c r="H20" i="5"/>
  <c r="F21" i="5" s="1"/>
  <c r="J21" i="5"/>
  <c r="L21" i="5"/>
  <c r="R21" i="5"/>
  <c r="N21" i="5"/>
  <c r="P21" i="5"/>
  <c r="AB21" i="5"/>
  <c r="V21" i="5"/>
  <c r="X23" i="5" s="1"/>
  <c r="V25" i="5"/>
  <c r="T21" i="5"/>
  <c r="R25" i="5"/>
  <c r="Z21" i="5"/>
  <c r="Z25" i="5"/>
  <c r="D8" i="3"/>
  <c r="H4" i="5"/>
  <c r="P17" i="9" l="1"/>
  <c r="P19" i="9" s="1"/>
  <c r="P15" i="2"/>
  <c r="P17" i="2" s="1"/>
  <c r="T6" i="2"/>
  <c r="V7" i="2"/>
  <c r="V13" i="2"/>
  <c r="T12" i="2"/>
  <c r="T14" i="2" s="1"/>
  <c r="N19" i="2"/>
  <c r="R14" i="2"/>
  <c r="P70" i="7"/>
  <c r="N19" i="9"/>
  <c r="L70" i="7"/>
  <c r="AB70" i="7"/>
  <c r="M20" i="9"/>
  <c r="N22" i="9" s="1"/>
  <c r="M24" i="9"/>
  <c r="M26" i="9" s="1"/>
  <c r="P23" i="5"/>
  <c r="AB23" i="5"/>
  <c r="T23" i="5"/>
  <c r="L23" i="5"/>
  <c r="H10" i="9"/>
  <c r="G19" i="9"/>
  <c r="E8" i="3"/>
  <c r="D6" i="3"/>
  <c r="AC21" i="5"/>
  <c r="G21" i="5"/>
  <c r="X7" i="2" l="1"/>
  <c r="V6" i="2"/>
  <c r="T17" i="9"/>
  <c r="T19" i="9" s="1"/>
  <c r="T15" i="2"/>
  <c r="T17" i="2" s="1"/>
  <c r="R17" i="9"/>
  <c r="R19" i="9" s="1"/>
  <c r="R24" i="9" s="1"/>
  <c r="R19" i="2"/>
  <c r="R15" i="2"/>
  <c r="X13" i="2"/>
  <c r="V12" i="2"/>
  <c r="V14" i="2" s="1"/>
  <c r="N24" i="9"/>
  <c r="P20" i="9"/>
  <c r="H19" i="9"/>
  <c r="L20" i="9"/>
  <c r="J20" i="9"/>
  <c r="N20" i="9"/>
  <c r="T20" i="9"/>
  <c r="R20" i="9"/>
  <c r="D12" i="3"/>
  <c r="E6" i="3"/>
  <c r="X12" i="2" l="1"/>
  <c r="X14" i="2" s="1"/>
  <c r="Z13" i="2"/>
  <c r="V15" i="2"/>
  <c r="V17" i="9"/>
  <c r="V19" i="9" s="1"/>
  <c r="Z7" i="2"/>
  <c r="X6" i="2"/>
  <c r="T22" i="9"/>
  <c r="L22" i="9"/>
  <c r="F20" i="9"/>
  <c r="E12" i="3"/>
  <c r="F6" i="3" s="1"/>
  <c r="G20" i="9"/>
  <c r="P22" i="9"/>
  <c r="X17" i="9" l="1"/>
  <c r="X19" i="9" s="1"/>
  <c r="X20" i="9" s="1"/>
  <c r="X22" i="9" s="1"/>
  <c r="X15" i="2"/>
  <c r="X17" i="2" s="1"/>
  <c r="AB7" i="2"/>
  <c r="Z6" i="2"/>
  <c r="Z12" i="2"/>
  <c r="Z14" i="2" s="1"/>
  <c r="AB13" i="2"/>
  <c r="V20" i="9"/>
  <c r="V19" i="2"/>
  <c r="F4" i="3"/>
  <c r="F9" i="3"/>
  <c r="Z17" i="9" l="1"/>
  <c r="Z19" i="9" s="1"/>
  <c r="Z19" i="2"/>
  <c r="Z15" i="2"/>
  <c r="AB12" i="2"/>
  <c r="AB14" i="2" s="1"/>
  <c r="AC13" i="2"/>
  <c r="AC12" i="2" s="1"/>
  <c r="AC14" i="2" s="1"/>
  <c r="V24" i="9"/>
  <c r="AB6" i="2"/>
  <c r="AC7" i="2"/>
  <c r="AC6" i="2" s="1"/>
  <c r="AB17" i="9" l="1"/>
  <c r="AB15" i="2"/>
  <c r="AB17" i="2" s="1"/>
  <c r="AC15" i="2"/>
  <c r="AA15" i="2"/>
  <c r="Z17" i="2" s="1"/>
  <c r="Z20" i="9"/>
  <c r="AB19" i="9" l="1"/>
  <c r="AC17" i="9"/>
  <c r="AB20" i="9" l="1"/>
  <c r="AB22" i="9" s="1"/>
  <c r="AC19" i="9"/>
  <c r="AC20" i="9" s="1"/>
  <c r="Z24" i="9"/>
</calcChain>
</file>

<file path=xl/comments1.xml><?xml version="1.0" encoding="utf-8"?>
<comments xmlns="http://schemas.openxmlformats.org/spreadsheetml/2006/main">
  <authors>
    <author>Patricia</author>
  </authors>
  <commentList>
    <comment ref="D15" authorId="0">
      <text>
        <r>
          <rPr>
            <sz val="9"/>
            <color indexed="81"/>
            <rFont val="Tahoma"/>
            <family val="2"/>
          </rPr>
          <t>Consultoria de 30 días consultor
Año 1</t>
        </r>
      </text>
    </comment>
  </commentList>
</comments>
</file>

<file path=xl/comments2.xml><?xml version="1.0" encoding="utf-8"?>
<comments xmlns="http://schemas.openxmlformats.org/spreadsheetml/2006/main">
  <authors>
    <author>Patricia</author>
  </authors>
  <commentList>
    <comment ref="D12" authorId="0">
      <text>
        <r>
          <rPr>
            <sz val="9"/>
            <color indexed="81"/>
            <rFont val="Tahoma"/>
            <family val="2"/>
          </rPr>
          <t xml:space="preserve">1 persona x 24 meses
</t>
        </r>
      </text>
    </comment>
    <comment ref="D16" authorId="0">
      <text>
        <r>
          <rPr>
            <sz val="9"/>
            <color indexed="81"/>
            <rFont val="Tahoma"/>
            <family val="2"/>
          </rPr>
          <t xml:space="preserve">2 personas x 24 meses
</t>
        </r>
      </text>
    </comment>
    <comment ref="D17" authorId="0">
      <text>
        <r>
          <rPr>
            <sz val="9"/>
            <color indexed="81"/>
            <rFont val="Tahoma"/>
            <family val="2"/>
          </rPr>
          <t>1 persona x 24 meses
1 persona x 10 meses</t>
        </r>
      </text>
    </comment>
    <comment ref="D23" authorId="0">
      <text>
        <r>
          <rPr>
            <sz val="9"/>
            <color indexed="81"/>
            <rFont val="Tahoma"/>
            <family val="2"/>
          </rPr>
          <t xml:space="preserve">1 persona x 24 meses
</t>
        </r>
      </text>
    </comment>
    <comment ref="D27" authorId="0">
      <text>
        <r>
          <rPr>
            <sz val="9"/>
            <color indexed="81"/>
            <rFont val="Tahoma"/>
            <family val="2"/>
          </rPr>
          <t xml:space="preserve">2 personas x 24 meses
</t>
        </r>
      </text>
    </comment>
    <comment ref="D28" authorId="0">
      <text>
        <r>
          <rPr>
            <sz val="9"/>
            <color indexed="81"/>
            <rFont val="Tahoma"/>
            <family val="2"/>
          </rPr>
          <t xml:space="preserve">3 personas x 24 meses
</t>
        </r>
      </text>
    </comment>
    <comment ref="D35" authorId="0">
      <text>
        <r>
          <rPr>
            <sz val="9"/>
            <color indexed="81"/>
            <rFont val="Tahoma"/>
            <family val="2"/>
          </rPr>
          <t xml:space="preserve">2 personas x 24 meses
</t>
        </r>
      </text>
    </comment>
    <comment ref="D36" authorId="0">
      <text>
        <r>
          <rPr>
            <sz val="9"/>
            <color indexed="81"/>
            <rFont val="Tahoma"/>
            <family val="2"/>
          </rPr>
          <t>1 persona x 24 meses
1 persona x 11,6 meses</t>
        </r>
      </text>
    </comment>
    <comment ref="D38" authorId="0">
      <text>
        <r>
          <rPr>
            <sz val="9"/>
            <color indexed="81"/>
            <rFont val="Tahoma"/>
            <family val="2"/>
          </rPr>
          <t xml:space="preserve">2 personas x 24 meses
</t>
        </r>
      </text>
    </comment>
    <comment ref="D39" authorId="0">
      <text>
        <r>
          <rPr>
            <sz val="9"/>
            <color indexed="81"/>
            <rFont val="Tahoma"/>
            <family val="2"/>
          </rPr>
          <t xml:space="preserve">2 personas x 24 meses
</t>
        </r>
      </text>
    </comment>
    <comment ref="D44" authorId="0">
      <text>
        <r>
          <rPr>
            <sz val="9"/>
            <color indexed="81"/>
            <rFont val="Tahoma"/>
            <family val="2"/>
          </rPr>
          <t xml:space="preserve">2 persona x 18 meses
</t>
        </r>
      </text>
    </comment>
    <comment ref="D47" authorId="0">
      <text>
        <r>
          <rPr>
            <sz val="9"/>
            <color indexed="81"/>
            <rFont val="Tahoma"/>
            <family val="2"/>
          </rPr>
          <t xml:space="preserve">2 persona x 18 meses
</t>
        </r>
      </text>
    </comment>
    <comment ref="D50" authorId="0">
      <text>
        <r>
          <rPr>
            <sz val="9"/>
            <color indexed="81"/>
            <rFont val="Tahoma"/>
            <family val="2"/>
          </rPr>
          <t xml:space="preserve">2 personas x 24 meses
</t>
        </r>
      </text>
    </comment>
    <comment ref="D63" authorId="0">
      <text>
        <r>
          <rPr>
            <sz val="9"/>
            <color indexed="81"/>
            <rFont val="Tahoma"/>
            <family val="2"/>
          </rPr>
          <t xml:space="preserve">2 personas x 24 meses
</t>
        </r>
      </text>
    </comment>
    <comment ref="D64" authorId="0">
      <text>
        <r>
          <rPr>
            <sz val="9"/>
            <color indexed="81"/>
            <rFont val="Tahoma"/>
            <family val="2"/>
          </rPr>
          <t xml:space="preserve">1 persona x 16 meses
</t>
        </r>
      </text>
    </comment>
  </commentList>
</comments>
</file>

<file path=xl/comments3.xml><?xml version="1.0" encoding="utf-8"?>
<comments xmlns="http://schemas.openxmlformats.org/spreadsheetml/2006/main">
  <authors>
    <author>Patricia</author>
  </authors>
  <commentList>
    <comment ref="D12" authorId="0">
      <text>
        <r>
          <rPr>
            <sz val="9"/>
            <color indexed="81"/>
            <rFont val="Tahoma"/>
            <family val="2"/>
          </rPr>
          <t>Consultoria de 30 días consultor
Año 1</t>
        </r>
      </text>
    </comment>
  </commentList>
</comments>
</file>

<file path=xl/comments4.xml><?xml version="1.0" encoding="utf-8"?>
<comments xmlns="http://schemas.openxmlformats.org/spreadsheetml/2006/main">
  <authors>
    <author>Patricia</author>
  </authors>
  <commentList>
    <comment ref="D7" authorId="0">
      <text>
        <r>
          <rPr>
            <sz val="9"/>
            <color indexed="81"/>
            <rFont val="Tahoma"/>
            <family val="2"/>
          </rPr>
          <t>1 persona x 5 años x 12 meses</t>
        </r>
        <r>
          <rPr>
            <sz val="9"/>
            <color indexed="81"/>
            <rFont val="Tahoma"/>
            <family val="2"/>
          </rPr>
          <t xml:space="preserve">
</t>
        </r>
      </text>
    </comment>
    <comment ref="D8" authorId="0">
      <text>
        <r>
          <rPr>
            <sz val="9"/>
            <color indexed="81"/>
            <rFont val="Tahoma"/>
            <family val="2"/>
          </rPr>
          <t>1 persona x 5 años x 12 meses</t>
        </r>
        <r>
          <rPr>
            <sz val="9"/>
            <color indexed="81"/>
            <rFont val="Tahoma"/>
            <family val="2"/>
          </rPr>
          <t xml:space="preserve">
</t>
        </r>
      </text>
    </comment>
    <comment ref="D9" authorId="0">
      <text>
        <r>
          <rPr>
            <sz val="9"/>
            <color indexed="81"/>
            <rFont val="Tahoma"/>
            <family val="2"/>
          </rPr>
          <t>3 persona x 5 años x 12 meses x 1/2 tiempo</t>
        </r>
      </text>
    </comment>
    <comment ref="D10" authorId="0">
      <text>
        <r>
          <rPr>
            <sz val="9"/>
            <color indexed="81"/>
            <rFont val="Tahoma"/>
            <family val="2"/>
          </rPr>
          <t>1 persona x 5 años x 12 meses</t>
        </r>
        <r>
          <rPr>
            <sz val="9"/>
            <color indexed="81"/>
            <rFont val="Tahoma"/>
            <family val="2"/>
          </rPr>
          <t xml:space="preserve">
</t>
        </r>
      </text>
    </comment>
    <comment ref="D11" authorId="0">
      <text>
        <r>
          <rPr>
            <sz val="9"/>
            <color indexed="81"/>
            <rFont val="Tahoma"/>
            <family val="2"/>
          </rPr>
          <t>5 años x 12 meses</t>
        </r>
        <r>
          <rPr>
            <sz val="9"/>
            <color indexed="81"/>
            <rFont val="Tahoma"/>
            <family val="2"/>
          </rPr>
          <t xml:space="preserve">
</t>
        </r>
      </text>
    </comment>
  </commentList>
</comments>
</file>

<file path=xl/comments5.xml><?xml version="1.0" encoding="utf-8"?>
<comments xmlns="http://schemas.openxmlformats.org/spreadsheetml/2006/main">
  <authors>
    <author>Patricia</author>
  </authors>
  <commentList>
    <comment ref="A4" authorId="0">
      <text>
        <r>
          <rPr>
            <b/>
            <sz val="9"/>
            <color indexed="81"/>
            <rFont val="Tahoma"/>
            <family val="2"/>
          </rPr>
          <t>Patricia:</t>
        </r>
        <r>
          <rPr>
            <sz val="9"/>
            <color indexed="81"/>
            <rFont val="Tahoma"/>
            <family val="2"/>
          </rPr>
          <t xml:space="preserve">
consultorias, desarrollo de software, adquisicion de tecnología</t>
        </r>
      </text>
    </comment>
    <comment ref="D20" authorId="0">
      <text>
        <r>
          <rPr>
            <sz val="9"/>
            <color indexed="81"/>
            <rFont val="Tahoma"/>
            <family val="2"/>
          </rPr>
          <t xml:space="preserve">2 personas x 9 meses
</t>
        </r>
      </text>
    </comment>
    <comment ref="D24" authorId="0">
      <text>
        <r>
          <rPr>
            <sz val="9"/>
            <color indexed="81"/>
            <rFont val="Tahoma"/>
            <family val="2"/>
          </rPr>
          <t xml:space="preserve">2 personas x 12 meses
</t>
        </r>
      </text>
    </comment>
    <comment ref="D32" authorId="0">
      <text>
        <r>
          <rPr>
            <sz val="9"/>
            <color indexed="81"/>
            <rFont val="Tahoma"/>
            <family val="2"/>
          </rPr>
          <t xml:space="preserve">3 personas x 24 meses
</t>
        </r>
      </text>
    </comment>
    <comment ref="D37" authorId="0">
      <text>
        <r>
          <rPr>
            <sz val="9"/>
            <color indexed="81"/>
            <rFont val="Tahoma"/>
            <family val="2"/>
          </rPr>
          <t xml:space="preserve">1 persona x 24 meses
</t>
        </r>
      </text>
    </comment>
    <comment ref="D38" authorId="0">
      <text>
        <r>
          <rPr>
            <sz val="9"/>
            <color indexed="81"/>
            <rFont val="Tahoma"/>
            <family val="2"/>
          </rPr>
          <t xml:space="preserve">1 persona x 24 meses
</t>
        </r>
      </text>
    </comment>
    <comment ref="D40" authorId="0">
      <text>
        <r>
          <rPr>
            <sz val="9"/>
            <color indexed="81"/>
            <rFont val="Tahoma"/>
            <family val="2"/>
          </rPr>
          <t xml:space="preserve">2 persona x 24 meses
</t>
        </r>
      </text>
    </comment>
    <comment ref="D42" authorId="0">
      <text>
        <r>
          <rPr>
            <sz val="9"/>
            <color indexed="81"/>
            <rFont val="Tahoma"/>
            <family val="2"/>
          </rPr>
          <t xml:space="preserve">2 persona x 24 meses
</t>
        </r>
      </text>
    </comment>
    <comment ref="D46" authorId="0">
      <text>
        <r>
          <rPr>
            <sz val="9"/>
            <color indexed="81"/>
            <rFont val="Tahoma"/>
            <family val="2"/>
          </rPr>
          <t xml:space="preserve">2 persona x 24 meses
</t>
        </r>
      </text>
    </comment>
    <comment ref="D48" authorId="0">
      <text>
        <r>
          <rPr>
            <sz val="9"/>
            <color indexed="81"/>
            <rFont val="Tahoma"/>
            <family val="2"/>
          </rPr>
          <t xml:space="preserve">2 persona x 24 meses
</t>
        </r>
      </text>
    </comment>
  </commentList>
</comments>
</file>

<file path=xl/sharedStrings.xml><?xml version="1.0" encoding="utf-8"?>
<sst xmlns="http://schemas.openxmlformats.org/spreadsheetml/2006/main" count="669" uniqueCount="224">
  <si>
    <t>Componente 1</t>
  </si>
  <si>
    <t>Juntar en un producto las actividades pendientes de la fase 1</t>
  </si>
  <si>
    <t>ADMINISTRACION</t>
  </si>
  <si>
    <t>Unidad</t>
  </si>
  <si>
    <t>Componente 2</t>
  </si>
  <si>
    <t>Componente 3</t>
  </si>
  <si>
    <t>Sistema de Información</t>
  </si>
  <si>
    <t>Participación de ONG - Social</t>
  </si>
  <si>
    <t>Si hay más US$ se harán proyectos pilotos</t>
  </si>
  <si>
    <t>Dirección General de Secretarías</t>
  </si>
  <si>
    <t>1 especialista en adquisiciones</t>
  </si>
  <si>
    <t>1 especialista financiero</t>
  </si>
  <si>
    <t>1 coordinador general</t>
  </si>
  <si>
    <t>Se maneja por UEP + PNUD</t>
  </si>
  <si>
    <t>1 monitoreo &amp; evaluacion</t>
  </si>
  <si>
    <t>1 contador</t>
  </si>
  <si>
    <t>Contrapartida : 1 o 2 millones</t>
  </si>
  <si>
    <t>DINAMA - DINOP - DINAGUA</t>
  </si>
  <si>
    <t>Administración</t>
  </si>
  <si>
    <t>Costo Unitario</t>
  </si>
  <si>
    <t>Total                  (USD)</t>
  </si>
  <si>
    <t>Fuentes de Financiamiento (USD)</t>
  </si>
  <si>
    <t>TOTAL</t>
  </si>
  <si>
    <t>BID</t>
  </si>
  <si>
    <t>3.1 Conformación UCP</t>
  </si>
  <si>
    <t>3.1.1 Coordinador General del Programa</t>
  </si>
  <si>
    <t>Suma alzada</t>
  </si>
  <si>
    <t>TOTAL Administración</t>
  </si>
  <si>
    <t>Aporte Local</t>
  </si>
  <si>
    <t>Rubros</t>
  </si>
  <si>
    <t>Local</t>
  </si>
  <si>
    <t>Total</t>
  </si>
  <si>
    <t>%</t>
  </si>
  <si>
    <t>ADMINISTRACION Y SUPERVISION</t>
  </si>
  <si>
    <t>Administración y supervisión</t>
  </si>
  <si>
    <t>COSTOS DIRECTOS</t>
  </si>
  <si>
    <t>100.0%</t>
  </si>
  <si>
    <t>1.1</t>
  </si>
  <si>
    <t>2.1</t>
  </si>
  <si>
    <t>2.2</t>
  </si>
  <si>
    <t>No. Unidades</t>
  </si>
  <si>
    <t>Componentes</t>
  </si>
  <si>
    <t>COMPONENTE 2 - INTEGRACION DE LA GESTION AMBIENTAL, DEL TERRITORIO Y SUS CUENCAS.</t>
  </si>
  <si>
    <t>3.1.2 Especialista en M&amp;E</t>
  </si>
  <si>
    <t>US$/mes</t>
  </si>
  <si>
    <t>TOTAL Componente 2</t>
  </si>
  <si>
    <t>TOTAL COMPONENTE 1</t>
  </si>
  <si>
    <t>Sub componente 2.2 - Integración de la gestión y apoyo a la ekecución de plan de acción definido para la cuenca de Santa Lucía</t>
  </si>
  <si>
    <t>4.1 Auditoria Contable</t>
  </si>
  <si>
    <t>Auditoria y Evaluación</t>
  </si>
  <si>
    <t>4.2.1 Evaluación de Medio Término</t>
  </si>
  <si>
    <t>4.2.2 Evaluación Final del Programa</t>
  </si>
  <si>
    <t>4.1.1 Auditoria contable y gestión</t>
  </si>
  <si>
    <t>4.2 Seguimiento y Evaluación</t>
  </si>
  <si>
    <t>3.2 Costos Financiero</t>
  </si>
  <si>
    <t>3.2.1 Apoyo PNUD (5%)</t>
  </si>
  <si>
    <t>Evaluacion medio termino y final</t>
  </si>
  <si>
    <t>Auditoria contable</t>
  </si>
  <si>
    <t>Suma Alzada</t>
  </si>
  <si>
    <t>COMPONENTE 1 - Optimización de la gestión ambiental: evaluación de impactos, control y desempeño y evaluación de la calidad ambiental.</t>
  </si>
  <si>
    <t>1.1 Procesos de EIA mas eficientes y confiables para beneficio de los usuarios</t>
  </si>
  <si>
    <t>1.1.1 Establecimiento de indicadores de gestión par las autorizaciones ambientales</t>
  </si>
  <si>
    <t>Consultoria para el desarrollo del sistema de indicadores de gestión</t>
  </si>
  <si>
    <t>1.1.2 Criterios de calidad definidos para el proceso de autorización ambiental</t>
  </si>
  <si>
    <t>Consultoria para definir criterios de calidad para comunicación del proyecto, para EsIA y para informes finales.</t>
  </si>
  <si>
    <t>Consultoria para desarrollar criterios que definan el proceso interno de clasificación de los proyectos.</t>
  </si>
  <si>
    <t>1.1.3 Fortalecimiento de las capacidades para el seguimiento de las actividades sujetas a AAP.</t>
  </si>
  <si>
    <t>Consultoria para el desarrollo de criterios de seguimiento y su validación.</t>
  </si>
  <si>
    <t>1.1.4 Proyecto B y C (considerandos en conjunto): Disminución de tiempos (dias habiles de procesamiento interno de la AAP) en un 20% en dos años.</t>
  </si>
  <si>
    <t>Consultoria para desarrollar manuales por tipo de proyecto, metodologías, entrenamiento para su implantación, elaboración e implementación de guias de proceso y actualización y mejora de herramientas.</t>
  </si>
  <si>
    <t>1.1.5 Emprendimiento de alta complejidad: Mejorar la capacidad de respuesta de la organización frente a emprendimientos de alta complejidad.</t>
  </si>
  <si>
    <t>Asistencia técnica especializada para los procesos de evaluación de los proyectos de alta complejidad.</t>
  </si>
  <si>
    <t>Consultoria para la elaboración de un protocolo de acción integrada para la intervención temprana frente a la planificación de inversiones de alta complejidad previstas.</t>
  </si>
  <si>
    <t>1.2 Mayor eficiencia en las funciones de control, fiscalización y mejora del desempeño de DINAMA.</t>
  </si>
  <si>
    <t>Consultoria para definir procesos (manual de usuario) para explicar pertinencia a las categorias de autorización ycontrol y los procesos necesarios según categoria; adicionalmente automatizar los procedimientos iniciales y transparentar la información.</t>
  </si>
  <si>
    <t>Consultorias para el desarrollo del sistema de indicadores de gestion.</t>
  </si>
  <si>
    <t>Consultorias para el diseño e implementación de la autorización</t>
  </si>
  <si>
    <t>Consultoria para el desarrollo de herramientas de control: procedimientos para realizar auditorias por terceros, mejorar el uso de información recibida de empresas (IAO), protocolos para conexiones on line.</t>
  </si>
  <si>
    <t>1.2.5 Mejora del desempeño ambiental implantada en 4 sectores clave.</t>
  </si>
  <si>
    <t>1.2.4 Calidad mejorada y mayor eficiencia de las herramientas de control y fiscalización.</t>
  </si>
  <si>
    <t>1.2.3 Autorizacion ambiental integrada implementada.</t>
  </si>
  <si>
    <t>1.2.2 Establecimiento de indicadores de gestión para los procesos de control.</t>
  </si>
  <si>
    <t>1.2.1 Hacer más eficiente y accesible el proceso de definición de las condiciones y obligaciones de los sujetos a las medidas de autorización y control ambiental.</t>
  </si>
  <si>
    <t>Consultoria para el desarrollo de planes, diagnosticos, reglamentación, guias de buenas practicas, definición de metas de mejora de desempeño, servicios de transporte.</t>
  </si>
  <si>
    <t>Consultoria para profundizar en la metodologia de abordaje de respuesta a sitios contaminados y definir procesos y su implantación.</t>
  </si>
  <si>
    <t>1.3.1 Eficiencia y calidad de la información sobre calidad ambiental que sirvan de base para la toma de decisiones mejoradas.</t>
  </si>
  <si>
    <t>Consultoria para implementar la evaluación ambiental integrada en DINAMA, integrando en un unico sistema de evaluación de calidad ambiental la mayor parte de la información generada en materia de calidad ambiental por las varias divisiones.</t>
  </si>
  <si>
    <t>Adquisición de herramientas tecnicas, equipamiento, software para manejar calidad de agua superficial y subterranea, y del aire, software para modelar y manejar la información de servicios de transporte.</t>
  </si>
  <si>
    <t>3.1.3 Apoyo financiero/contable.</t>
  </si>
  <si>
    <t>3.1.4 Apoyo administrativo</t>
  </si>
  <si>
    <t>3.1.5 Costo de operación</t>
  </si>
  <si>
    <t>1.3.2 Incremento de eficiencia en el uso de recursos destinados al monitoreo de la calidad ambiental</t>
  </si>
  <si>
    <t>Consultoria para la elaboración de una estrategia de monitoreo ambiental, evaluación costo/beneficio, y definición de canismos de instrumentación.</t>
  </si>
  <si>
    <t>1.3.3 Fortalecimiento del proceso de desarrollo de indices e indicadores de calidad ambiental</t>
  </si>
  <si>
    <t>Consultoria para desarrollar indices e indicadores de calidad de uso inmediato de las funciones de EIA y control y sus respectivas lineas de base.</t>
  </si>
  <si>
    <t>Consultoria para desarrollar instrumentos para señalar areas de impactos acumulados (ej. Clasificar aguas por calidad, definir capacidad de carga) y orientar el manejo posterior integrado.</t>
  </si>
  <si>
    <t xml:space="preserve">Asistencia tecnica </t>
  </si>
  <si>
    <t>1.3.5 Fortalecimiento de las capacidades analiticas de la DINAMA</t>
  </si>
  <si>
    <t>Adquisición de equipamiento.</t>
  </si>
  <si>
    <t>1.4 Capacidades de coordinación y planificación de la gestión ambiental.</t>
  </si>
  <si>
    <t>1.4.1 Fortalecimiento de las capacidades de planificación ambiental e incorporación de la dimensión economica en el proceso.</t>
  </si>
  <si>
    <t>Asistencia tecnica en los procesos de planificación para analisis economico para reforzar la toma de decisiones: (i) valoración economica de los impactos ambientales, (ii) valoración de servicios ambientales y (iii) valoración economica de costo/beneficio y costo/eficiencia de las intervenciones de DINAMA; costeo de metodos alternativos, (iv) determinación de montos de multas por incumplimientos.</t>
  </si>
  <si>
    <t>1.4.2 Consolidación de las capacidades para la aplicación de la EAE a instrumentos de ordenamiento territorial en DINAMA</t>
  </si>
  <si>
    <t>Asistencia tecnica especializada en procesos de EAE.</t>
  </si>
  <si>
    <t>1.4.3 Profundización en la utilización del instrumento EAE incorporandolo a Planes y Programa.</t>
  </si>
  <si>
    <t>1.3.4  Profundizacion del proceso de acreditación de parametros de laboratorios de la RLAU.</t>
  </si>
  <si>
    <t>Consultoria para el desarrollo de aplicaciones piloto en sectores prioritarios.</t>
  </si>
  <si>
    <t>Asistencia tecnica para la elaboración de guias y manueales para la aplicación de la EAE.</t>
  </si>
  <si>
    <t>1.5 Información ambiental y de procesos transparente y de facil disponibilidad</t>
  </si>
  <si>
    <t>1.5.1 Consolidación del desarrollo del Sistema de Información Ambiental</t>
  </si>
  <si>
    <t>Consultorias tecnicas para la implantación de la Fase III del desarrollo del Sistema de Información Ambiental y su puesta en producción, adquisición de software y hardware.</t>
  </si>
  <si>
    <t>1.5.2 Implantación de sistema de indicadores de gestión para la DINAMA.</t>
  </si>
  <si>
    <t>Consultorias tecnicas para la implantación del sistema de indicadores de gestión.</t>
  </si>
  <si>
    <t>1.5.3 Incorporación de herramientas tecnologicas para facilitar las funciones de control y evaluación de impacto y evaluación de la calidad.</t>
  </si>
  <si>
    <t>Consultorias tecnicas, equipamiento y adquisión de servicios</t>
  </si>
  <si>
    <t>1.5.4 Incremento de la participación ciudadana en la gestión ambiental nacional.</t>
  </si>
  <si>
    <t>Asistencia tecnica especializadas para el desarrollo y adaptación de instrumentos de participación pública, programas de comunicación, concientización y promoción de participación publica.</t>
  </si>
  <si>
    <t>1.6 Instrumentos normativos y reguladores de apoyo a la gestión ambiental implantados, y personal capacitado.</t>
  </si>
  <si>
    <t>1.6.1 Adecuación normativa</t>
  </si>
  <si>
    <t>Asistencia tecnica para la revisión de la legislación oara adecuarla a una visión estrategica, a problemas y sectores y territorios prioritarios.</t>
  </si>
  <si>
    <t>1.6.2 Fortalecimiento de la aplicación de seguros y garantias ambientales.</t>
  </si>
  <si>
    <t>Consultorias especializadas para el establecimiento de criterios y calculos para la aplicación de seguros y garantias ambientales.</t>
  </si>
  <si>
    <t>1.6.3 Recursos humanos capacitados para todaslas funciones de DINAMA.</t>
  </si>
  <si>
    <t>Contratación de servicios de capacitación.</t>
  </si>
  <si>
    <t>Presupuesto Detallado</t>
  </si>
  <si>
    <t>3.2</t>
  </si>
  <si>
    <t>3.1</t>
  </si>
  <si>
    <t>EVALUACION  Y AUDITORIA</t>
  </si>
  <si>
    <t>1.3 Eficiencia y calidad de la información ambiental para la toma de decisiones.</t>
  </si>
  <si>
    <t>PERSONAL TECNICO INCREMENTAL</t>
  </si>
  <si>
    <t>C1 - 26</t>
  </si>
  <si>
    <t>Firma Consultora  Desarrollo Sistema</t>
  </si>
  <si>
    <t>Adquisición de software y hardware</t>
  </si>
  <si>
    <t>Laboratorios</t>
  </si>
  <si>
    <t>Cantidad</t>
  </si>
  <si>
    <t>C1-19</t>
  </si>
  <si>
    <t>RRHH actuales</t>
  </si>
  <si>
    <t>C1-20</t>
  </si>
  <si>
    <t>Capacidades Analiticas DINAMA</t>
  </si>
  <si>
    <t>RRHH nuevos</t>
  </si>
  <si>
    <t>Control</t>
  </si>
  <si>
    <t>L-13</t>
  </si>
  <si>
    <t>C1 - 11</t>
  </si>
  <si>
    <t>1.1 Sistematización e integración de los procedimientos internos y de los requerimientos exigidos al proponente, relacionados con las solicitudes de autorizaciones ambientale sy con las obligaciones de los sujetos de control.</t>
  </si>
  <si>
    <t>1.1.1 Sistemas de gestión de procesos internos adoptados, con indicadores y metas que permiten seguimiento y evaluación.</t>
  </si>
  <si>
    <t>1.1.2 Instrumentos y procedimientos de integración del trabajo de las Divisiones diseñados e implementados.</t>
  </si>
  <si>
    <t>1.2 Reducción de tiempos y costos de la evlauación de proyectos complejos mediante la introducción de la EAE de sectores estrategicos realizadas ANTES del ingreso de SAAP (caso off-shore)</t>
  </si>
  <si>
    <t>Asistencia tecnica para profundizar el proceso de acreditación de parámetros de laboratiorios de la RLAU.</t>
  </si>
  <si>
    <t>Asistencia tecnica para fortalecer las capacidades analiticas del Laboratorio en DINAMA.</t>
  </si>
  <si>
    <t>Firma consultora para incorporación de herramientas tecnologicas para facilitar las funciones de control y evaluación de impacto y evaluación de la calidad.</t>
  </si>
  <si>
    <t>Adquisicion de equipamientos</t>
  </si>
  <si>
    <t xml:space="preserve">Adquisición de imágenes satelitales </t>
  </si>
  <si>
    <t>1.1.4 Metodologia de seguimiento de las actividades suetas a AAP.</t>
  </si>
  <si>
    <t>1.1.3 Manuales y guias elaborados y publicados en la web.</t>
  </si>
  <si>
    <t>1.3 Mejora del desempeño de la DINAMA en las funciones de seguimiento, control y evaluación de la calidad.</t>
  </si>
  <si>
    <t>1.3.1 Protocolos para el seguimiento y control de grandes emprendimientos desarrolladas e implementados.</t>
  </si>
  <si>
    <t>Consultoria para la elaboración de una estrategia de monitoreo ambiental, evaluación costo/beneficio, y definición de mecanismos de instrumentación.</t>
  </si>
  <si>
    <t>1.3.2 Estrategia de monitore ambiental, evaluación costo/beneficio.</t>
  </si>
  <si>
    <t>1.3.3 Nuevos instrumentos y herramientas analíticas implantadas.</t>
  </si>
  <si>
    <t>Personal existente</t>
  </si>
  <si>
    <t>Consultorias individual (personal incremental)</t>
  </si>
  <si>
    <t>Adquisición de software</t>
  </si>
  <si>
    <t>Adquisición de hardware</t>
  </si>
  <si>
    <t>Año 1</t>
  </si>
  <si>
    <t>S1</t>
  </si>
  <si>
    <t>S2</t>
  </si>
  <si>
    <t>Año 2</t>
  </si>
  <si>
    <t>Año 3</t>
  </si>
  <si>
    <t>Año 4</t>
  </si>
  <si>
    <t>Año 5</t>
  </si>
  <si>
    <t>2.1.2 Apoyo al desarrollo de IOT en Departamentos prioritarios</t>
  </si>
  <si>
    <t>2.2.1 Asistencia técnica y financiera para la implementación del Plan de Acción para la Cuenca del Santa Lucia (PACSL)</t>
  </si>
  <si>
    <t>Consultoria para la Identificacion de las Intendencias vinculadas a la gestión ambiental integral del territorio, para los cual se debe de definir: funciones que pueden ser descentralizadas, cuales intendencias podrían ser y las condiciones en las que se encuentran las mismas.</t>
  </si>
  <si>
    <t>Implantacaión de la gestión ambiental descentralizada en las intendencias definidas.</t>
  </si>
  <si>
    <t>Sub componente 2.1 -Fortalecimiento de la gestión ambiental en Gobiernos Departamentales</t>
  </si>
  <si>
    <t>2.1.1 Desccentralización de funciones de control ambiental hacia GD seleccionados</t>
  </si>
  <si>
    <t>2.2.2 Asistencia técnica de DINAMA para el diseño de soluciones técnicas para disminuir la carga contaminante vertida a la CSL.</t>
  </si>
  <si>
    <t>1.4 Mejora de la calidad de la información disponible dentro y fuera de la institución.</t>
  </si>
  <si>
    <t>1.5 Avance en regulación, seguros y garantias ambientales.</t>
  </si>
  <si>
    <t>AL</t>
  </si>
  <si>
    <t>Desembolsos  por año</t>
  </si>
  <si>
    <t>A. LOCAL</t>
  </si>
  <si>
    <t>Consultoria para el Desarrollo de indicadores de calidad de agua para la cuenca.</t>
  </si>
  <si>
    <t>Consultoria para el desarrollo del Modelo de calidad del agua.</t>
  </si>
  <si>
    <t>Consultoria para el desarrollo de la Evaluación de la dinámica de aportes de fuentes difusas.</t>
  </si>
  <si>
    <t>Consultoria para el desarrollo de la Evaluación socio económica del  PACSL, desarrollada e implantada.</t>
  </si>
  <si>
    <t>Consultoria para el desarrollo del Mapa (aplicación SIG de la zona buffer de los principales ríos de la CSL.</t>
  </si>
  <si>
    <t>AUDITORIA Y EVALUACIÓN</t>
  </si>
  <si>
    <t>COMPONENTE 2 - Integración de la Gestión Ambiental, del Territorio y sus Cuencas.</t>
  </si>
  <si>
    <t>Sub componente 2.1 Fortalecimiento de la gestión ambiental en Gobiernos Departamentales</t>
  </si>
  <si>
    <t>Sub componente 2.2  Integración de la gestión y apoyo a la ekecución de plan de acción definido para la cuenca de Santa Lucía</t>
  </si>
  <si>
    <t>POD</t>
  </si>
  <si>
    <t>Dif</t>
  </si>
  <si>
    <t>1.4.1 Implantación de la Fase III del desarrollo del Sistema de Información Ambiental y su puesta en producción, adquisición de software y hardware.</t>
  </si>
  <si>
    <t>1.4.2 Herramientas tecnológicas para facilitar las funciones de control y evaluación de impacto y evaluación de la calidad.</t>
  </si>
  <si>
    <t>1.4.3 Adquirir herramientas técnicas, equipamiento, software para manejar calidad de agua superficial y subterránea, y del aire. Software para modelar y manejar la información, servicios de transporte</t>
  </si>
  <si>
    <t>1.3.3.2 Adquisición de equipamientos de laboratorio.</t>
  </si>
  <si>
    <t>1.1.1.1 Consultoria para el desarrollo del sistema de indicadores de gestión para las autorizaciones ambientales.</t>
  </si>
  <si>
    <t>1.1.1.2 Consultorias para el desarrollo del sistema de indicadores de gestion para los procesos de control</t>
  </si>
  <si>
    <t>1.1.2.2 Consultoria para implementar la evaluación ambiental integrada en DINAMA, integrando en un unico sistema de evaluación de calidad ambiental la mayor parte de la información generada en materia de calidad ambiental por las varias divisiones.</t>
  </si>
  <si>
    <t>1.1.3.2 Consultoria para definir criterios de calidad para comunicación del proyecto, para EIA y para informes finales.</t>
  </si>
  <si>
    <t>1.1.3.3 Consultoria para desarrollar criterios que definan el proceso interno de clasificación de los proyectos.</t>
  </si>
  <si>
    <t>1.1.3.4 Consultoria para definir procesos (manual de usuario) para explicar pertinencia a las categorias de autorización y control y los procesos necesarios según categoria; adicionalmente automatizar los procedimientos iniciales y transparentar la información.</t>
  </si>
  <si>
    <t>1.2.1 Consultoria para la elaboración de un protocolo de acción integrada para la intervención temprana frente a la planificación de inversiones de alta complejidad previstas.</t>
  </si>
  <si>
    <t>1.2.3 Consultoria especializada para la aplicación de la EAE a instrumentos de ordenamiento territorial en DINAMA.</t>
  </si>
  <si>
    <t>1.2.4 Contratación de expertos para el desarrollo de aplicaciones piloto a un sector prioritario (off-shore)</t>
  </si>
  <si>
    <t>1.2.5 Consultoria para la elaboración de guias y manuales para la aplicación de la EAE.</t>
  </si>
  <si>
    <t>1.4.4 Consultoría para desarrollar indices e índicadores de calidad de uso inmediato de las funciones de EIA y control y sus respectivas lineas de base.</t>
  </si>
  <si>
    <t>1.4.6 Consultoria especializadas para el desarrollo y adaptación de instrumentos de participación pública, programas de comunicación,  concientización y promoción de participación pública.</t>
  </si>
  <si>
    <t>1.5.2 Consultoria para desarrollo de procesos de planificación para analisis economico para reforzar la toma de decisiones: (i) valoración economica de los impactos ambientales, (ii) valoración de servicios ambientales y (iii) valoración economica de costo/beneficio y costo/eficiencia de las intervenciones de DINAMA; costeo de metodos alternativos, (iv) determinación de montos de multas por incumplimientos.</t>
  </si>
  <si>
    <t>1.5.3 Consultorias especializadas para el establecimiento de criterios y calculos para la aplicación de seguros y garantias ambientales.</t>
  </si>
  <si>
    <t>2.1.1 Apoyo a los Gobiernos Departamentales para la gestión ambiental integral del territorio, bajo la coordinación de las 3 áreas del MVOTMA.</t>
  </si>
  <si>
    <t>2.2.1 Asistencia técnica y financiera para el desarrollo de instrumentos para la toma de decisiones y la implementación del Plan de Acción para la Cuenca del Santa Lucia (PACSL)</t>
  </si>
  <si>
    <t>Consultoria para la implantación de tecnología de remoción de nutrientes.</t>
  </si>
  <si>
    <t>Consultoria para desarrollar los IOT en departamentos prioritarios</t>
  </si>
  <si>
    <t>1.4.5 Consultoria para desarrollar instrumentos para señalar áreas de impactos acumulados; (ej. clasificar aguas por calidad; definir capacidad de carga) y orientar el manejo posterior int+A27egrado.</t>
  </si>
  <si>
    <t>1.1.2.1 Asistencia técnica para el diseño e implementación de la autorización ambiental integrada</t>
  </si>
  <si>
    <t>1.1.3.1 Asistencia técnica para desarrollar manuales por tipo de proyecto, metodologías, entrenamiento para su implantación, elaboración e implementación de guias de proceso y actualización y mejora de herramientas.</t>
  </si>
  <si>
    <t>1.1.4.1 Asistencia técnica para el desarrollo de criterios de seguimiento y su validación sujetas a AAP.</t>
  </si>
  <si>
    <t>1.2.2 Asistencia técnica especializada para los procesos de evaluación de los proyectos de alta complejidad.</t>
  </si>
  <si>
    <t>1.3.1.1 Asistencia técnica para el desarrollo de herramientas de control: procedimientos para realizar auditorias por terceros, mejorar el uso de información recibida de empresas (IAO), protocolos para conexiones on line.</t>
  </si>
  <si>
    <t>1.3.1.2 Asistencia técnica para el desarrollo de planes, diagnosticos, reglamentación, guias de buenas practicas, definición de metas de mejora de desempeño, servicios de transporte.</t>
  </si>
  <si>
    <t>1.5.1 Asistencia tecnica para la revisión de la legislación oara adecuarla a una visión estrategica, a problemas y sectores y territorios prioritarios.</t>
  </si>
  <si>
    <t>1.1.1.3 Contratación de servicios de capacitación para todas las funciones del DINAMA</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</si>
</sst>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1" formatCode="_(* #,##0_);_(* \(#,##0\);_(* &quot;-&quot;_);_(@_)"/>
    <numFmt numFmtId="43" formatCode="_(* #,##0.00_);_(* \(#,##0.00\);_(* &quot;-&quot;??_);_(@_)"/>
    <numFmt numFmtId="164" formatCode="_(* #,##0_);_(* \(#,##0\);_(* &quot;-&quot;??_);_(@_)"/>
  </numFmts>
  <fonts count="23" x14ac:knownFonts="1">
    <font>
      <sz val="11"/>
      <color theme="1"/>
      <name val="Calibri"/>
      <family val="2"/>
      <scheme val="minor"/>
    </font>
    <font>
      <sz val="11"/>
      <color theme="1"/>
      <name val="Calibri"/>
      <family val="2"/>
      <scheme val="minor"/>
    </font>
    <font>
      <sz val="11"/>
      <color rgb="FFFF0000"/>
      <name val="Calibri"/>
      <family val="2"/>
      <scheme val="minor"/>
    </font>
    <font>
      <b/>
      <u/>
      <sz val="11"/>
      <color theme="1"/>
      <name val="Calibri"/>
      <family val="2"/>
      <scheme val="minor"/>
    </font>
    <font>
      <sz val="11"/>
      <name val="Calibri"/>
      <family val="2"/>
      <scheme val="minor"/>
    </font>
    <font>
      <sz val="10"/>
      <name val="Arial"/>
      <family val="2"/>
    </font>
    <font>
      <b/>
      <sz val="9"/>
      <name val="Calibri"/>
      <family val="2"/>
      <scheme val="minor"/>
    </font>
    <font>
      <b/>
      <sz val="8"/>
      <name val="Calibri"/>
      <family val="2"/>
      <scheme val="minor"/>
    </font>
    <font>
      <b/>
      <sz val="8.5"/>
      <name val="Calibri"/>
      <family val="2"/>
      <scheme val="minor"/>
    </font>
    <font>
      <sz val="8"/>
      <name val="Calibri"/>
      <family val="2"/>
      <scheme val="minor"/>
    </font>
    <font>
      <sz val="10"/>
      <name val="Calibri"/>
      <family val="2"/>
      <scheme val="minor"/>
    </font>
    <font>
      <sz val="9"/>
      <color indexed="81"/>
      <name val="Tahoma"/>
      <family val="2"/>
    </font>
    <font>
      <b/>
      <sz val="11"/>
      <color theme="1"/>
      <name val="Calibri"/>
      <family val="2"/>
      <scheme val="minor"/>
    </font>
    <font>
      <b/>
      <sz val="9"/>
      <color indexed="81"/>
      <name val="Tahoma"/>
      <family val="2"/>
    </font>
    <font>
      <i/>
      <sz val="8"/>
      <name val="Calibri"/>
      <family val="2"/>
      <scheme val="minor"/>
    </font>
    <font>
      <i/>
      <sz val="11"/>
      <color theme="1"/>
      <name val="Calibri"/>
      <family val="2"/>
      <scheme val="minor"/>
    </font>
    <font>
      <sz val="10"/>
      <color theme="1"/>
      <name val="Calibri"/>
      <family val="2"/>
      <scheme val="minor"/>
    </font>
    <font>
      <b/>
      <sz val="10"/>
      <color theme="1"/>
      <name val="Calibri"/>
      <family val="2"/>
      <scheme val="minor"/>
    </font>
    <font>
      <sz val="8"/>
      <color theme="1"/>
      <name val="Calibri"/>
      <family val="2"/>
      <scheme val="minor"/>
    </font>
    <font>
      <sz val="9"/>
      <color theme="1"/>
      <name val="Calibri"/>
      <family val="2"/>
      <scheme val="minor"/>
    </font>
    <font>
      <b/>
      <sz val="8"/>
      <color theme="1"/>
      <name val="Calibri"/>
      <family val="2"/>
      <scheme val="minor"/>
    </font>
    <font>
      <b/>
      <i/>
      <sz val="8"/>
      <name val="Calibri"/>
      <family val="2"/>
      <scheme val="minor"/>
    </font>
    <font>
      <i/>
      <sz val="11"/>
      <name val="Calibri"/>
      <family val="2"/>
      <scheme val="minor"/>
    </font>
  </fonts>
  <fills count="12">
    <fill>
      <patternFill patternType="none"/>
    </fill>
    <fill>
      <patternFill patternType="gray125"/>
    </fill>
    <fill>
      <patternFill patternType="solid">
        <fgColor theme="2"/>
        <bgColor indexed="64"/>
      </patternFill>
    </fill>
    <fill>
      <patternFill patternType="solid">
        <fgColor theme="0"/>
        <bgColor indexed="64"/>
      </patternFill>
    </fill>
    <fill>
      <patternFill patternType="solid">
        <fgColor indexed="9"/>
        <bgColor indexed="64"/>
      </patternFill>
    </fill>
    <fill>
      <patternFill patternType="solid">
        <fgColor theme="4" tint="0.59999389629810485"/>
        <bgColor indexed="64"/>
      </patternFill>
    </fill>
    <fill>
      <patternFill patternType="solid">
        <fgColor theme="6" tint="0.59999389629810485"/>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FFFF00"/>
        <bgColor indexed="64"/>
      </patternFill>
    </fill>
  </fills>
  <borders count="67">
    <border>
      <left/>
      <right/>
      <top/>
      <bottom/>
      <diagonal/>
    </border>
    <border>
      <left style="medium">
        <color auto="1"/>
      </left>
      <right style="medium">
        <color auto="1"/>
      </right>
      <top style="medium">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thin">
        <color auto="1"/>
      </right>
      <top style="thin">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thin">
        <color auto="1"/>
      </right>
      <top/>
      <bottom/>
      <diagonal/>
    </border>
    <border>
      <left style="thin">
        <color auto="1"/>
      </left>
      <right style="thin">
        <color auto="1"/>
      </right>
      <top/>
      <bottom/>
      <diagonal/>
    </border>
    <border>
      <left style="thin">
        <color auto="1"/>
      </left>
      <right/>
      <top/>
      <bottom/>
      <diagonal/>
    </border>
    <border>
      <left/>
      <right style="medium">
        <color auto="1"/>
      </right>
      <top/>
      <bottom/>
      <diagonal/>
    </border>
    <border>
      <left style="medium">
        <color auto="1"/>
      </left>
      <right style="medium">
        <color auto="1"/>
      </right>
      <top style="thin">
        <color auto="1"/>
      </top>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right style="medium">
        <color auto="1"/>
      </right>
      <top style="thin">
        <color auto="1"/>
      </top>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medium">
        <color auto="1"/>
      </right>
      <top style="thin">
        <color auto="1"/>
      </top>
      <bottom style="thin">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medium">
        <color auto="1"/>
      </left>
      <right/>
      <top/>
      <bottom style="medium">
        <color auto="1"/>
      </bottom>
      <diagonal/>
    </border>
    <border>
      <left style="thin">
        <color auto="1"/>
      </left>
      <right style="thin">
        <color auto="1"/>
      </right>
      <top style="thin">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style="thin">
        <color auto="1"/>
      </right>
      <top style="medium">
        <color auto="1"/>
      </top>
      <bottom/>
      <diagonal/>
    </border>
    <border>
      <left style="medium">
        <color auto="1"/>
      </left>
      <right style="medium">
        <color auto="1"/>
      </right>
      <top style="medium">
        <color auto="1"/>
      </top>
      <bottom/>
      <diagonal/>
    </border>
    <border>
      <left style="medium">
        <color auto="1"/>
      </left>
      <right style="thin">
        <color auto="1"/>
      </right>
      <top style="thin">
        <color auto="1"/>
      </top>
      <bottom style="medium">
        <color auto="1"/>
      </bottom>
      <diagonal/>
    </border>
    <border>
      <left style="medium">
        <color auto="1"/>
      </left>
      <right/>
      <top style="medium">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thin">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medium">
        <color auto="1"/>
      </right>
      <top/>
      <bottom/>
      <diagonal/>
    </border>
    <border>
      <left style="thin">
        <color auto="1"/>
      </left>
      <right style="medium">
        <color auto="1"/>
      </right>
      <top style="medium">
        <color auto="1"/>
      </top>
      <bottom style="medium">
        <color auto="1"/>
      </bottom>
      <diagonal/>
    </border>
    <border>
      <left/>
      <right style="medium">
        <color auto="1"/>
      </right>
      <top style="medium">
        <color auto="1"/>
      </top>
      <bottom/>
      <diagonal/>
    </border>
    <border>
      <left style="medium">
        <color auto="1"/>
      </left>
      <right style="thin">
        <color auto="1"/>
      </right>
      <top/>
      <bottom style="medium">
        <color auto="1"/>
      </bottom>
      <diagonal/>
    </border>
    <border>
      <left style="medium">
        <color indexed="64"/>
      </left>
      <right style="medium">
        <color indexed="64"/>
      </right>
      <top style="medium">
        <color indexed="64"/>
      </top>
      <bottom style="medium">
        <color indexed="64"/>
      </bottom>
      <diagonal/>
    </border>
    <border>
      <left style="thin">
        <color auto="1"/>
      </left>
      <right/>
      <top style="medium">
        <color auto="1"/>
      </top>
      <bottom style="medium">
        <color auto="1"/>
      </bottom>
      <diagonal/>
    </border>
    <border>
      <left style="medium">
        <color indexed="64"/>
      </left>
      <right style="thin">
        <color auto="1"/>
      </right>
      <top style="medium">
        <color indexed="64"/>
      </top>
      <bottom style="medium">
        <color indexed="64"/>
      </bottom>
      <diagonal/>
    </border>
    <border>
      <left style="medium">
        <color auto="1"/>
      </left>
      <right/>
      <top/>
      <bottom style="thin">
        <color auto="1"/>
      </bottom>
      <diagonal/>
    </border>
    <border>
      <left/>
      <right style="medium">
        <color auto="1"/>
      </right>
      <top/>
      <bottom style="thin">
        <color auto="1"/>
      </bottom>
      <diagonal/>
    </border>
    <border>
      <left/>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top/>
      <bottom style="medium">
        <color auto="1"/>
      </bottom>
      <diagonal/>
    </border>
    <border>
      <left/>
      <right/>
      <top/>
      <bottom style="thin">
        <color auto="1"/>
      </bottom>
      <diagonal/>
    </border>
    <border>
      <left/>
      <right style="medium">
        <color auto="1"/>
      </right>
      <top style="thin">
        <color auto="1"/>
      </top>
      <bottom style="thin">
        <color auto="1"/>
      </bottom>
      <diagonal/>
    </border>
    <border>
      <left style="thin">
        <color auto="1"/>
      </left>
      <right style="medium">
        <color indexed="64"/>
      </right>
      <top style="medium">
        <color auto="1"/>
      </top>
      <bottom/>
      <diagonal/>
    </border>
    <border>
      <left/>
      <right style="thin">
        <color auto="1"/>
      </right>
      <top style="thin">
        <color auto="1"/>
      </top>
      <bottom/>
      <diagonal/>
    </border>
    <border>
      <left style="medium">
        <color auto="1"/>
      </left>
      <right/>
      <top/>
      <bottom/>
      <diagonal/>
    </border>
    <border>
      <left style="thin">
        <color auto="1"/>
      </left>
      <right style="thin">
        <color auto="1"/>
      </right>
      <top style="medium">
        <color indexed="64"/>
      </top>
      <bottom style="medium">
        <color indexed="64"/>
      </bottom>
      <diagonal/>
    </border>
    <border>
      <left/>
      <right style="thin">
        <color auto="1"/>
      </right>
      <top style="medium">
        <color indexed="64"/>
      </top>
      <bottom style="medium">
        <color indexed="64"/>
      </bottom>
      <diagonal/>
    </border>
    <border>
      <left/>
      <right/>
      <top style="thin">
        <color auto="1"/>
      </top>
      <bottom style="thin">
        <color auto="1"/>
      </bottom>
      <diagonal/>
    </border>
    <border>
      <left style="medium">
        <color auto="1"/>
      </left>
      <right style="medium">
        <color auto="1"/>
      </right>
      <top/>
      <bottom style="thin">
        <color auto="1"/>
      </bottom>
      <diagonal/>
    </border>
  </borders>
  <cellStyleXfs count="5">
    <xf numFmtId="0" fontId="0" fillId="0" borderId="0"/>
    <xf numFmtId="9" fontId="1" fillId="0" borderId="0" applyFont="0" applyFill="0" applyBorder="0" applyAlignment="0" applyProtection="0"/>
    <xf numFmtId="0" fontId="5" fillId="0" borderId="0"/>
    <xf numFmtId="43" fontId="5" fillId="0" borderId="0" applyFont="0" applyFill="0" applyBorder="0" applyAlignment="0" applyProtection="0"/>
    <xf numFmtId="41" fontId="1" fillId="0" borderId="0" applyFont="0" applyFill="0" applyBorder="0" applyAlignment="0" applyProtection="0"/>
  </cellStyleXfs>
  <cellXfs count="354">
    <xf numFmtId="0" fontId="0" fillId="0" borderId="0" xfId="0"/>
    <xf numFmtId="0" fontId="3" fillId="0" borderId="0" xfId="0" applyFont="1"/>
    <xf numFmtId="0" fontId="2" fillId="0" borderId="0" xfId="0" applyFont="1"/>
    <xf numFmtId="0" fontId="4" fillId="0" borderId="0" xfId="0" applyFont="1"/>
    <xf numFmtId="164" fontId="9" fillId="4" borderId="5" xfId="3" applyNumberFormat="1" applyFont="1" applyFill="1" applyBorder="1" applyAlignment="1">
      <alignment vertical="center" wrapText="1"/>
    </xf>
    <xf numFmtId="164" fontId="9" fillId="4" borderId="17" xfId="2" applyNumberFormat="1" applyFont="1" applyFill="1" applyBorder="1" applyAlignment="1">
      <alignment vertical="center"/>
    </xf>
    <xf numFmtId="164" fontId="9" fillId="3" borderId="5" xfId="3" applyNumberFormat="1" applyFont="1" applyFill="1" applyBorder="1" applyAlignment="1">
      <alignment vertical="center" wrapText="1"/>
    </xf>
    <xf numFmtId="164" fontId="9" fillId="3" borderId="17" xfId="2" applyNumberFormat="1" applyFont="1" applyFill="1" applyBorder="1" applyAlignment="1">
      <alignment vertical="center"/>
    </xf>
    <xf numFmtId="164" fontId="9" fillId="3" borderId="20" xfId="2" applyNumberFormat="1" applyFont="1" applyFill="1" applyBorder="1" applyAlignment="1">
      <alignment vertical="center"/>
    </xf>
    <xf numFmtId="0" fontId="10" fillId="0" borderId="0" xfId="2" applyFont="1" applyFill="1"/>
    <xf numFmtId="0" fontId="10" fillId="0" borderId="0" xfId="2" applyFont="1"/>
    <xf numFmtId="9" fontId="6" fillId="2" borderId="23" xfId="1" applyFont="1" applyFill="1" applyBorder="1" applyAlignment="1">
      <alignment horizontal="center" vertical="center" wrapText="1"/>
    </xf>
    <xf numFmtId="9" fontId="6" fillId="2" borderId="24" xfId="1" applyFont="1" applyFill="1" applyBorder="1" applyAlignment="1">
      <alignment horizontal="center" vertical="center" wrapText="1"/>
    </xf>
    <xf numFmtId="164" fontId="10" fillId="0" borderId="0" xfId="2" applyNumberFormat="1" applyFont="1"/>
    <xf numFmtId="0" fontId="0" fillId="0" borderId="0" xfId="0" applyFont="1"/>
    <xf numFmtId="164" fontId="6" fillId="2" borderId="24" xfId="3" applyNumberFormat="1" applyFont="1" applyFill="1" applyBorder="1" applyAlignment="1">
      <alignment horizontal="left" vertical="center" wrapText="1"/>
    </xf>
    <xf numFmtId="164" fontId="9" fillId="4" borderId="20" xfId="2" applyNumberFormat="1" applyFont="1" applyFill="1" applyBorder="1" applyAlignment="1">
      <alignment vertical="center"/>
    </xf>
    <xf numFmtId="0" fontId="6" fillId="3" borderId="13" xfId="2" applyFont="1" applyFill="1" applyBorder="1" applyAlignment="1">
      <alignment horizontal="center" vertical="center" wrapText="1"/>
    </xf>
    <xf numFmtId="0" fontId="6" fillId="3" borderId="15" xfId="2" applyFont="1" applyFill="1" applyBorder="1" applyAlignment="1">
      <alignment horizontal="center" vertical="center" wrapText="1"/>
    </xf>
    <xf numFmtId="164" fontId="9" fillId="3" borderId="30" xfId="2" applyNumberFormat="1" applyFont="1" applyFill="1" applyBorder="1" applyAlignment="1">
      <alignment vertical="center"/>
    </xf>
    <xf numFmtId="164" fontId="6" fillId="2" borderId="23" xfId="3" applyNumberFormat="1" applyFont="1" applyFill="1" applyBorder="1" applyAlignment="1">
      <alignment horizontal="left" vertical="center" wrapText="1"/>
    </xf>
    <xf numFmtId="164" fontId="9" fillId="3" borderId="32" xfId="3" applyNumberFormat="1" applyFont="1" applyFill="1" applyBorder="1" applyAlignment="1">
      <alignment vertical="center" wrapText="1"/>
    </xf>
    <xf numFmtId="164" fontId="9" fillId="3" borderId="29" xfId="2" applyNumberFormat="1" applyFont="1" applyFill="1" applyBorder="1" applyAlignment="1">
      <alignment vertical="center"/>
    </xf>
    <xf numFmtId="164" fontId="6" fillId="6" borderId="35" xfId="2" applyNumberFormat="1" applyFont="1" applyFill="1" applyBorder="1" applyAlignment="1">
      <alignment horizontal="center" vertical="center" wrapText="1"/>
    </xf>
    <xf numFmtId="164" fontId="8" fillId="6" borderId="36" xfId="2" applyNumberFormat="1" applyFont="1" applyFill="1" applyBorder="1" applyAlignment="1">
      <alignment horizontal="center" vertical="center" wrapText="1"/>
    </xf>
    <xf numFmtId="164" fontId="7" fillId="4" borderId="19" xfId="2" applyNumberFormat="1" applyFont="1" applyFill="1" applyBorder="1" applyAlignment="1">
      <alignment vertical="center"/>
    </xf>
    <xf numFmtId="0" fontId="12" fillId="3" borderId="0" xfId="0" applyFont="1" applyFill="1"/>
    <xf numFmtId="0" fontId="12" fillId="0" borderId="0" xfId="0" applyFont="1"/>
    <xf numFmtId="164" fontId="14" fillId="4" borderId="5" xfId="3" applyNumberFormat="1" applyFont="1" applyFill="1" applyBorder="1" applyAlignment="1">
      <alignment horizontal="left" vertical="center" wrapText="1" indent="1"/>
    </xf>
    <xf numFmtId="0" fontId="15" fillId="3" borderId="0" xfId="0" applyFont="1" applyFill="1" applyAlignment="1">
      <alignment horizontal="left" indent="1"/>
    </xf>
    <xf numFmtId="0" fontId="15" fillId="0" borderId="0" xfId="0" applyFont="1" applyAlignment="1">
      <alignment horizontal="left" indent="1"/>
    </xf>
    <xf numFmtId="0" fontId="7" fillId="3" borderId="18" xfId="2" applyFont="1" applyFill="1" applyBorder="1" applyAlignment="1">
      <alignment horizontal="left" vertical="center" wrapText="1" indent="1"/>
    </xf>
    <xf numFmtId="164" fontId="7" fillId="3" borderId="5" xfId="3" applyNumberFormat="1" applyFont="1" applyFill="1" applyBorder="1" applyAlignment="1">
      <alignment vertical="center" wrapText="1"/>
    </xf>
    <xf numFmtId="0" fontId="9" fillId="3" borderId="5" xfId="2" applyFont="1" applyFill="1" applyBorder="1" applyAlignment="1">
      <alignment horizontal="center" vertical="center" wrapText="1"/>
    </xf>
    <xf numFmtId="164" fontId="9" fillId="4" borderId="18" xfId="2" applyNumberFormat="1" applyFont="1" applyFill="1" applyBorder="1" applyAlignment="1">
      <alignment vertical="center"/>
    </xf>
    <xf numFmtId="164" fontId="7" fillId="3" borderId="20" xfId="2" applyNumberFormat="1" applyFont="1" applyFill="1" applyBorder="1" applyAlignment="1">
      <alignment vertical="center"/>
    </xf>
    <xf numFmtId="164" fontId="7" fillId="4" borderId="18" xfId="2" applyNumberFormat="1" applyFont="1" applyFill="1" applyBorder="1" applyAlignment="1">
      <alignment vertical="center"/>
    </xf>
    <xf numFmtId="164" fontId="14" fillId="4" borderId="26" xfId="2" applyNumberFormat="1" applyFont="1" applyFill="1" applyBorder="1" applyAlignment="1">
      <alignment horizontal="left" vertical="center" indent="4"/>
    </xf>
    <xf numFmtId="0" fontId="15" fillId="0" borderId="0" xfId="0" applyFont="1" applyAlignment="1">
      <alignment horizontal="left" indent="4"/>
    </xf>
    <xf numFmtId="0" fontId="7" fillId="3" borderId="5" xfId="2" applyFont="1" applyFill="1" applyBorder="1" applyAlignment="1">
      <alignment vertical="center" wrapText="1"/>
    </xf>
    <xf numFmtId="0" fontId="10" fillId="0" borderId="0" xfId="2" applyFont="1" applyAlignment="1"/>
    <xf numFmtId="0" fontId="0" fillId="3" borderId="0" xfId="0" applyFont="1" applyFill="1" applyAlignment="1">
      <alignment horizontal="left" indent="1"/>
    </xf>
    <xf numFmtId="0" fontId="0" fillId="0" borderId="0" xfId="0" applyFont="1" applyAlignment="1">
      <alignment horizontal="left" indent="1"/>
    </xf>
    <xf numFmtId="164" fontId="14" fillId="4" borderId="5" xfId="3" applyNumberFormat="1" applyFont="1" applyFill="1" applyBorder="1" applyAlignment="1">
      <alignment horizontal="left" vertical="center" wrapText="1" indent="4"/>
    </xf>
    <xf numFmtId="0" fontId="15" fillId="3" borderId="0" xfId="0" applyFont="1" applyFill="1" applyAlignment="1">
      <alignment horizontal="left" indent="4"/>
    </xf>
    <xf numFmtId="164" fontId="9" fillId="7" borderId="5" xfId="3" applyNumberFormat="1" applyFont="1" applyFill="1" applyBorder="1" applyAlignment="1">
      <alignment horizontal="left" vertical="center" wrapText="1" indent="1"/>
    </xf>
    <xf numFmtId="164" fontId="9" fillId="7" borderId="20" xfId="2" applyNumberFormat="1" applyFont="1" applyFill="1" applyBorder="1" applyAlignment="1">
      <alignment horizontal="left" vertical="center" indent="1"/>
    </xf>
    <xf numFmtId="164" fontId="14" fillId="4" borderId="5" xfId="3" applyNumberFormat="1" applyFont="1" applyFill="1" applyBorder="1" applyAlignment="1">
      <alignment horizontal="left" vertical="center" wrapText="1"/>
    </xf>
    <xf numFmtId="0" fontId="15" fillId="3" borderId="0" xfId="0" applyFont="1" applyFill="1" applyAlignment="1">
      <alignment horizontal="left"/>
    </xf>
    <xf numFmtId="0" fontId="15" fillId="0" borderId="0" xfId="0" applyFont="1" applyAlignment="1">
      <alignment horizontal="left"/>
    </xf>
    <xf numFmtId="164" fontId="7" fillId="8" borderId="5" xfId="3" applyNumberFormat="1" applyFont="1" applyFill="1" applyBorder="1" applyAlignment="1">
      <alignment vertical="center" wrapText="1"/>
    </xf>
    <xf numFmtId="164" fontId="7" fillId="8" borderId="20" xfId="2" applyNumberFormat="1" applyFont="1" applyFill="1" applyBorder="1" applyAlignment="1">
      <alignment vertical="center"/>
    </xf>
    <xf numFmtId="0" fontId="9" fillId="7" borderId="17" xfId="2" applyFont="1" applyFill="1" applyBorder="1" applyAlignment="1">
      <alignment horizontal="left" vertical="center" wrapText="1" indent="3"/>
    </xf>
    <xf numFmtId="0" fontId="14" fillId="4" borderId="17" xfId="2" applyFont="1" applyFill="1" applyBorder="1" applyAlignment="1">
      <alignment horizontal="left" vertical="center" wrapText="1" indent="6"/>
    </xf>
    <xf numFmtId="0" fontId="14" fillId="4" borderId="17" xfId="2" applyFont="1" applyFill="1" applyBorder="1" applyAlignment="1">
      <alignment horizontal="left" vertical="center" wrapText="1" indent="5"/>
    </xf>
    <xf numFmtId="0" fontId="7" fillId="8" borderId="17" xfId="2" applyFont="1" applyFill="1" applyBorder="1" applyAlignment="1">
      <alignment horizontal="left" vertical="center" wrapText="1" indent="1"/>
    </xf>
    <xf numFmtId="164" fontId="7" fillId="8" borderId="44" xfId="2" applyNumberFormat="1" applyFont="1" applyFill="1" applyBorder="1" applyAlignment="1">
      <alignment vertical="center"/>
    </xf>
    <xf numFmtId="164" fontId="6" fillId="2" borderId="46" xfId="3" applyNumberFormat="1" applyFont="1" applyFill="1" applyBorder="1" applyAlignment="1">
      <alignment horizontal="left" vertical="center" wrapText="1"/>
    </xf>
    <xf numFmtId="0" fontId="10" fillId="0" borderId="0" xfId="2" applyFont="1" applyAlignment="1">
      <alignment horizontal="left"/>
    </xf>
    <xf numFmtId="0" fontId="14" fillId="4" borderId="18" xfId="2" applyFont="1" applyFill="1" applyBorder="1" applyAlignment="1">
      <alignment vertical="center" wrapText="1"/>
    </xf>
    <xf numFmtId="0" fontId="9" fillId="7" borderId="18" xfId="2" applyFont="1" applyFill="1" applyBorder="1" applyAlignment="1">
      <alignment vertical="center" wrapText="1"/>
    </xf>
    <xf numFmtId="0" fontId="7" fillId="8" borderId="18" xfId="2" applyFont="1" applyFill="1" applyBorder="1" applyAlignment="1">
      <alignment vertical="center" wrapText="1"/>
    </xf>
    <xf numFmtId="164" fontId="9" fillId="7" borderId="19" xfId="2" applyNumberFormat="1" applyFont="1" applyFill="1" applyBorder="1" applyAlignment="1">
      <alignment horizontal="left" vertical="center" indent="1"/>
    </xf>
    <xf numFmtId="164" fontId="14" fillId="3" borderId="17" xfId="2" applyNumberFormat="1" applyFont="1" applyFill="1" applyBorder="1" applyAlignment="1">
      <alignment horizontal="left" indent="4"/>
    </xf>
    <xf numFmtId="164" fontId="7" fillId="8" borderId="19" xfId="2" applyNumberFormat="1" applyFont="1" applyFill="1" applyBorder="1" applyAlignment="1">
      <alignment vertical="center"/>
    </xf>
    <xf numFmtId="164" fontId="14" fillId="4" borderId="19" xfId="2" applyNumberFormat="1" applyFont="1" applyFill="1" applyBorder="1" applyAlignment="1">
      <alignment horizontal="left" vertical="center" indent="4"/>
    </xf>
    <xf numFmtId="164" fontId="6" fillId="2" borderId="50" xfId="3" applyNumberFormat="1" applyFont="1" applyFill="1" applyBorder="1" applyAlignment="1">
      <alignment horizontal="left" vertical="center" wrapText="1"/>
    </xf>
    <xf numFmtId="164" fontId="7" fillId="8" borderId="18" xfId="2" applyNumberFormat="1" applyFont="1" applyFill="1" applyBorder="1" applyAlignment="1">
      <alignment vertical="center"/>
    </xf>
    <xf numFmtId="164" fontId="9" fillId="7" borderId="18" xfId="2" applyNumberFormat="1" applyFont="1" applyFill="1" applyBorder="1" applyAlignment="1">
      <alignment horizontal="left" vertical="center" indent="1"/>
    </xf>
    <xf numFmtId="164" fontId="14" fillId="3" borderId="18" xfId="2" applyNumberFormat="1" applyFont="1" applyFill="1" applyBorder="1" applyAlignment="1">
      <alignment horizontal="left" indent="4"/>
    </xf>
    <xf numFmtId="164" fontId="14" fillId="3" borderId="20" xfId="2" applyNumberFormat="1" applyFont="1" applyFill="1" applyBorder="1" applyAlignment="1">
      <alignment horizontal="left" indent="4"/>
    </xf>
    <xf numFmtId="164" fontId="14" fillId="3" borderId="18" xfId="2" applyNumberFormat="1" applyFont="1" applyFill="1" applyBorder="1" applyAlignment="1">
      <alignment horizontal="left" indent="1"/>
    </xf>
    <xf numFmtId="164" fontId="14" fillId="3" borderId="20" xfId="2" applyNumberFormat="1" applyFont="1" applyFill="1" applyBorder="1" applyAlignment="1">
      <alignment horizontal="left" indent="1"/>
    </xf>
    <xf numFmtId="164" fontId="14" fillId="4" borderId="18" xfId="3" applyNumberFormat="1" applyFont="1" applyFill="1" applyBorder="1" applyAlignment="1">
      <alignment horizontal="left" vertical="center" wrapText="1" indent="1"/>
    </xf>
    <xf numFmtId="164" fontId="14" fillId="4" borderId="20" xfId="3" applyNumberFormat="1" applyFont="1" applyFill="1" applyBorder="1" applyAlignment="1">
      <alignment horizontal="left" vertical="center" wrapText="1" indent="1"/>
    </xf>
    <xf numFmtId="164" fontId="14" fillId="3" borderId="18" xfId="2" applyNumberFormat="1" applyFont="1" applyFill="1" applyBorder="1" applyAlignment="1">
      <alignment horizontal="left"/>
    </xf>
    <xf numFmtId="164" fontId="14" fillId="3" borderId="20" xfId="2" applyNumberFormat="1" applyFont="1" applyFill="1" applyBorder="1" applyAlignment="1">
      <alignment horizontal="left"/>
    </xf>
    <xf numFmtId="164" fontId="14" fillId="3" borderId="13" xfId="2" applyNumberFormat="1" applyFont="1" applyFill="1" applyBorder="1" applyAlignment="1">
      <alignment horizontal="left" indent="1"/>
    </xf>
    <xf numFmtId="164" fontId="14" fillId="3" borderId="15" xfId="2" applyNumberFormat="1" applyFont="1" applyFill="1" applyBorder="1" applyAlignment="1">
      <alignment horizontal="left" indent="1"/>
    </xf>
    <xf numFmtId="164" fontId="6" fillId="2" borderId="49" xfId="3" applyNumberFormat="1" applyFont="1" applyFill="1" applyBorder="1" applyAlignment="1">
      <alignment horizontal="left" vertical="center" wrapText="1"/>
    </xf>
    <xf numFmtId="164" fontId="7" fillId="8" borderId="17" xfId="2" applyNumberFormat="1" applyFont="1" applyFill="1" applyBorder="1" applyAlignment="1">
      <alignment vertical="center"/>
    </xf>
    <xf numFmtId="164" fontId="9" fillId="7" borderId="17" xfId="2" applyNumberFormat="1" applyFont="1" applyFill="1" applyBorder="1" applyAlignment="1">
      <alignment horizontal="left" vertical="center" indent="1"/>
    </xf>
    <xf numFmtId="164" fontId="14" fillId="4" borderId="17" xfId="3" applyNumberFormat="1" applyFont="1" applyFill="1" applyBorder="1" applyAlignment="1">
      <alignment horizontal="left" vertical="center" wrapText="1" indent="1"/>
    </xf>
    <xf numFmtId="164" fontId="14" fillId="3" borderId="12" xfId="2" applyNumberFormat="1" applyFont="1" applyFill="1" applyBorder="1" applyAlignment="1">
      <alignment horizontal="left" indent="4"/>
    </xf>
    <xf numFmtId="164" fontId="7" fillId="8" borderId="43" xfId="2" applyNumberFormat="1" applyFont="1" applyFill="1" applyBorder="1" applyAlignment="1">
      <alignment vertical="center"/>
    </xf>
    <xf numFmtId="164" fontId="6" fillId="6" borderId="51" xfId="2" applyNumberFormat="1" applyFont="1" applyFill="1" applyBorder="1" applyAlignment="1">
      <alignment horizontal="center" vertical="center" wrapText="1"/>
    </xf>
    <xf numFmtId="164" fontId="6" fillId="6" borderId="46" xfId="2" applyNumberFormat="1" applyFont="1" applyFill="1" applyBorder="1" applyAlignment="1">
      <alignment horizontal="center" vertical="center" wrapText="1"/>
    </xf>
    <xf numFmtId="0" fontId="12" fillId="0" borderId="0" xfId="0" applyFont="1" applyFill="1"/>
    <xf numFmtId="0" fontId="16" fillId="0" borderId="0" xfId="0" applyFont="1"/>
    <xf numFmtId="0" fontId="17" fillId="0" borderId="5" xfId="0" applyFont="1" applyBorder="1" applyAlignment="1">
      <alignment horizontal="center"/>
    </xf>
    <xf numFmtId="0" fontId="17" fillId="0" borderId="5" xfId="0" applyFont="1" applyBorder="1" applyAlignment="1">
      <alignment horizontal="right"/>
    </xf>
    <xf numFmtId="0" fontId="17" fillId="0" borderId="5" xfId="0" applyFont="1" applyBorder="1"/>
    <xf numFmtId="41" fontId="17" fillId="0" borderId="5" xfId="4" applyFont="1" applyBorder="1" applyAlignment="1">
      <alignment horizontal="right"/>
    </xf>
    <xf numFmtId="9" fontId="17" fillId="0" borderId="5" xfId="1" applyFont="1" applyBorder="1" applyAlignment="1">
      <alignment horizontal="right"/>
    </xf>
    <xf numFmtId="0" fontId="16" fillId="0" borderId="5" xfId="0" applyFont="1" applyBorder="1" applyAlignment="1">
      <alignment horizontal="right"/>
    </xf>
    <xf numFmtId="0" fontId="16" fillId="0" borderId="5" xfId="0" applyFont="1" applyBorder="1"/>
    <xf numFmtId="41" fontId="16" fillId="0" borderId="5" xfId="4" applyFont="1" applyBorder="1" applyAlignment="1">
      <alignment horizontal="right"/>
    </xf>
    <xf numFmtId="41" fontId="16" fillId="3" borderId="5" xfId="4" applyFont="1" applyFill="1" applyBorder="1" applyAlignment="1">
      <alignment horizontal="right"/>
    </xf>
    <xf numFmtId="41" fontId="17" fillId="3" borderId="5" xfId="4" applyFont="1" applyFill="1" applyBorder="1" applyAlignment="1">
      <alignment horizontal="right"/>
    </xf>
    <xf numFmtId="0" fontId="16" fillId="3" borderId="5" xfId="0" applyFont="1" applyFill="1" applyBorder="1" applyAlignment="1">
      <alignment horizontal="right"/>
    </xf>
    <xf numFmtId="0" fontId="16" fillId="3" borderId="5" xfId="0" applyFont="1" applyFill="1" applyBorder="1"/>
    <xf numFmtId="0" fontId="17" fillId="0" borderId="5" xfId="0" applyFont="1" applyBorder="1" applyAlignment="1">
      <alignment horizontal="left"/>
    </xf>
    <xf numFmtId="0" fontId="17" fillId="0" borderId="0" xfId="0" applyFont="1" applyBorder="1" applyAlignment="1">
      <alignment horizontal="right"/>
    </xf>
    <xf numFmtId="0" fontId="17" fillId="3" borderId="0" xfId="0" applyFont="1" applyFill="1" applyBorder="1" applyAlignment="1">
      <alignment horizontal="right"/>
    </xf>
    <xf numFmtId="0" fontId="17" fillId="0" borderId="0" xfId="0" applyFont="1" applyBorder="1"/>
    <xf numFmtId="0" fontId="16" fillId="3" borderId="0" xfId="0" applyFont="1" applyFill="1"/>
    <xf numFmtId="41" fontId="16" fillId="0" borderId="0" xfId="4" applyFont="1"/>
    <xf numFmtId="41" fontId="16" fillId="0" borderId="0" xfId="0" applyNumberFormat="1" applyFont="1"/>
    <xf numFmtId="164" fontId="14" fillId="4" borderId="19" xfId="2" applyNumberFormat="1" applyFont="1" applyFill="1" applyBorder="1" applyAlignment="1">
      <alignment horizontal="left" indent="4"/>
    </xf>
    <xf numFmtId="41" fontId="0" fillId="0" borderId="0" xfId="4" applyFont="1"/>
    <xf numFmtId="164" fontId="14" fillId="4" borderId="19" xfId="2" applyNumberFormat="1" applyFont="1" applyFill="1" applyBorder="1" applyAlignment="1">
      <alignment horizontal="left" vertical="center"/>
    </xf>
    <xf numFmtId="164" fontId="14" fillId="3" borderId="18" xfId="2" applyNumberFormat="1" applyFont="1" applyFill="1" applyBorder="1" applyAlignment="1">
      <alignment horizontal="left" vertical="center"/>
    </xf>
    <xf numFmtId="164" fontId="9" fillId="4" borderId="5" xfId="3" applyNumberFormat="1" applyFont="1" applyFill="1" applyBorder="1" applyAlignment="1">
      <alignment horizontal="left" vertical="center" wrapText="1" indent="1"/>
    </xf>
    <xf numFmtId="164" fontId="9" fillId="4" borderId="19" xfId="2" applyNumberFormat="1" applyFont="1" applyFill="1" applyBorder="1" applyAlignment="1">
      <alignment horizontal="left" vertical="center" indent="4"/>
    </xf>
    <xf numFmtId="164" fontId="9" fillId="3" borderId="18" xfId="2" applyNumberFormat="1" applyFont="1" applyFill="1" applyBorder="1" applyAlignment="1">
      <alignment horizontal="left" indent="1"/>
    </xf>
    <xf numFmtId="0" fontId="9" fillId="4" borderId="18" xfId="2" applyFont="1" applyFill="1" applyBorder="1" applyAlignment="1">
      <alignment horizontal="left" vertical="center" wrapText="1" indent="2"/>
    </xf>
    <xf numFmtId="0" fontId="18" fillId="3" borderId="0" xfId="0" applyFont="1" applyFill="1" applyAlignment="1">
      <alignment horizontal="left" indent="1"/>
    </xf>
    <xf numFmtId="164" fontId="14" fillId="3" borderId="18" xfId="2" applyNumberFormat="1" applyFont="1" applyFill="1" applyBorder="1" applyAlignment="1">
      <alignment horizontal="left" vertical="center" indent="1"/>
    </xf>
    <xf numFmtId="164" fontId="14" fillId="3" borderId="20" xfId="2" applyNumberFormat="1" applyFont="1" applyFill="1" applyBorder="1" applyAlignment="1">
      <alignment horizontal="left" vertical="center" indent="4"/>
    </xf>
    <xf numFmtId="164" fontId="14" fillId="3" borderId="18" xfId="2" applyNumberFormat="1" applyFont="1" applyFill="1" applyBorder="1" applyAlignment="1">
      <alignment horizontal="left" vertical="center" indent="4"/>
    </xf>
    <xf numFmtId="0" fontId="9" fillId="9" borderId="17" xfId="2" applyFont="1" applyFill="1" applyBorder="1" applyAlignment="1">
      <alignment horizontal="left" vertical="center" wrapText="1" indent="7"/>
    </xf>
    <xf numFmtId="0" fontId="9" fillId="9" borderId="18" xfId="2" applyFont="1" applyFill="1" applyBorder="1" applyAlignment="1">
      <alignment vertical="center" wrapText="1"/>
    </xf>
    <xf numFmtId="164" fontId="9" fillId="9" borderId="5" xfId="3" applyNumberFormat="1" applyFont="1" applyFill="1" applyBorder="1" applyAlignment="1">
      <alignment horizontal="left" vertical="center" wrapText="1" indent="1"/>
    </xf>
    <xf numFmtId="164" fontId="9" fillId="9" borderId="19" xfId="2" applyNumberFormat="1" applyFont="1" applyFill="1" applyBorder="1" applyAlignment="1">
      <alignment horizontal="left" vertical="center" indent="4"/>
    </xf>
    <xf numFmtId="164" fontId="9" fillId="9" borderId="18" xfId="2" applyNumberFormat="1" applyFont="1" applyFill="1" applyBorder="1" applyAlignment="1">
      <alignment horizontal="left" indent="1"/>
    </xf>
    <xf numFmtId="164" fontId="9" fillId="9" borderId="20" xfId="2" applyNumberFormat="1" applyFont="1" applyFill="1" applyBorder="1" applyAlignment="1">
      <alignment horizontal="left" indent="1"/>
    </xf>
    <xf numFmtId="164" fontId="14" fillId="9" borderId="20" xfId="2" applyNumberFormat="1" applyFont="1" applyFill="1" applyBorder="1" applyAlignment="1">
      <alignment horizontal="left" indent="4"/>
    </xf>
    <xf numFmtId="164" fontId="8" fillId="6" borderId="33" xfId="2" applyNumberFormat="1" applyFont="1" applyFill="1" applyBorder="1" applyAlignment="1">
      <alignment horizontal="center" vertical="center" wrapText="1"/>
    </xf>
    <xf numFmtId="164" fontId="7" fillId="8" borderId="55" xfId="2" applyNumberFormat="1" applyFont="1" applyFill="1" applyBorder="1" applyAlignment="1">
      <alignment vertical="center"/>
    </xf>
    <xf numFmtId="164" fontId="9" fillId="7" borderId="55" xfId="2" applyNumberFormat="1" applyFont="1" applyFill="1" applyBorder="1" applyAlignment="1">
      <alignment horizontal="left" vertical="center" indent="1"/>
    </xf>
    <xf numFmtId="164" fontId="14" fillId="3" borderId="55" xfId="2" applyNumberFormat="1" applyFont="1" applyFill="1" applyBorder="1" applyAlignment="1">
      <alignment horizontal="left" indent="4"/>
    </xf>
    <xf numFmtId="164" fontId="14" fillId="3" borderId="56" xfId="2" applyNumberFormat="1" applyFont="1" applyFill="1" applyBorder="1" applyAlignment="1">
      <alignment horizontal="left" indent="4"/>
    </xf>
    <xf numFmtId="164" fontId="14" fillId="3" borderId="55" xfId="2" applyNumberFormat="1" applyFont="1" applyFill="1" applyBorder="1" applyAlignment="1">
      <alignment horizontal="left" vertical="center" indent="4"/>
    </xf>
    <xf numFmtId="164" fontId="9" fillId="9" borderId="55" xfId="2" applyNumberFormat="1" applyFont="1" applyFill="1" applyBorder="1" applyAlignment="1">
      <alignment horizontal="left" indent="4"/>
    </xf>
    <xf numFmtId="164" fontId="14" fillId="3" borderId="55" xfId="2" applyNumberFormat="1" applyFont="1" applyFill="1" applyBorder="1" applyAlignment="1">
      <alignment horizontal="left" vertical="center"/>
    </xf>
    <xf numFmtId="164" fontId="9" fillId="3" borderId="55" xfId="2" applyNumberFormat="1" applyFont="1" applyFill="1" applyBorder="1" applyAlignment="1">
      <alignment horizontal="left" indent="4"/>
    </xf>
    <xf numFmtId="164" fontId="14" fillId="4" borderId="55" xfId="3" applyNumberFormat="1" applyFont="1" applyFill="1" applyBorder="1" applyAlignment="1">
      <alignment horizontal="left" vertical="center" wrapText="1" indent="1"/>
    </xf>
    <xf numFmtId="9" fontId="6" fillId="2" borderId="57" xfId="1" applyFont="1" applyFill="1" applyBorder="1" applyAlignment="1">
      <alignment horizontal="center" vertical="center" wrapText="1"/>
    </xf>
    <xf numFmtId="0" fontId="7" fillId="0" borderId="5" xfId="2" applyFont="1" applyFill="1" applyBorder="1" applyAlignment="1">
      <alignment horizontal="left" vertical="center" wrapText="1"/>
    </xf>
    <xf numFmtId="164" fontId="9" fillId="3" borderId="5" xfId="2" applyNumberFormat="1" applyFont="1" applyFill="1" applyBorder="1" applyAlignment="1">
      <alignment vertical="center"/>
    </xf>
    <xf numFmtId="0" fontId="7" fillId="4" borderId="5" xfId="2" applyFont="1" applyFill="1" applyBorder="1" applyAlignment="1">
      <alignment horizontal="right" vertical="center" wrapText="1" indent="1"/>
    </xf>
    <xf numFmtId="164" fontId="7" fillId="3" borderId="19" xfId="2" applyNumberFormat="1" applyFont="1" applyFill="1" applyBorder="1" applyAlignment="1">
      <alignment vertical="center"/>
    </xf>
    <xf numFmtId="164" fontId="9" fillId="3" borderId="19" xfId="2" applyNumberFormat="1" applyFont="1" applyFill="1" applyBorder="1" applyAlignment="1">
      <alignment vertical="center"/>
    </xf>
    <xf numFmtId="164" fontId="6" fillId="6" borderId="36" xfId="2" applyNumberFormat="1" applyFont="1" applyFill="1" applyBorder="1" applyAlignment="1">
      <alignment horizontal="center" vertical="center" wrapText="1"/>
    </xf>
    <xf numFmtId="164" fontId="9" fillId="3" borderId="18" xfId="2" applyNumberFormat="1" applyFont="1" applyFill="1" applyBorder="1" applyAlignment="1">
      <alignment vertical="center"/>
    </xf>
    <xf numFmtId="164" fontId="7" fillId="3" borderId="18" xfId="2" applyNumberFormat="1" applyFont="1" applyFill="1" applyBorder="1" applyAlignment="1">
      <alignment vertical="center"/>
    </xf>
    <xf numFmtId="164" fontId="7" fillId="4" borderId="20" xfId="2" applyNumberFormat="1" applyFont="1" applyFill="1" applyBorder="1" applyAlignment="1">
      <alignment vertical="center"/>
    </xf>
    <xf numFmtId="164" fontId="7" fillId="5" borderId="5" xfId="2" applyNumberFormat="1" applyFont="1" applyFill="1" applyBorder="1" applyAlignment="1">
      <alignment vertical="center" wrapText="1"/>
    </xf>
    <xf numFmtId="0" fontId="9" fillId="9" borderId="5" xfId="2" applyFont="1" applyFill="1" applyBorder="1" applyAlignment="1">
      <alignment vertical="center" wrapText="1"/>
    </xf>
    <xf numFmtId="41" fontId="7" fillId="5" borderId="5" xfId="4" applyFont="1" applyFill="1" applyBorder="1" applyAlignment="1">
      <alignment wrapText="1"/>
    </xf>
    <xf numFmtId="0" fontId="7" fillId="0" borderId="18" xfId="2" applyFont="1" applyFill="1" applyBorder="1" applyAlignment="1">
      <alignment horizontal="left" vertical="center" wrapText="1"/>
    </xf>
    <xf numFmtId="0" fontId="7" fillId="3" borderId="13" xfId="2" applyFont="1" applyFill="1" applyBorder="1" applyAlignment="1">
      <alignment horizontal="left" vertical="center" wrapText="1" indent="1"/>
    </xf>
    <xf numFmtId="0" fontId="7" fillId="3" borderId="14" xfId="2" applyFont="1" applyFill="1" applyBorder="1" applyAlignment="1">
      <alignment vertical="center" wrapText="1"/>
    </xf>
    <xf numFmtId="164" fontId="7" fillId="3" borderId="14" xfId="3" applyNumberFormat="1" applyFont="1" applyFill="1" applyBorder="1" applyAlignment="1">
      <alignment vertical="center" wrapText="1"/>
    </xf>
    <xf numFmtId="164" fontId="7" fillId="4" borderId="15" xfId="2" applyNumberFormat="1" applyFont="1" applyFill="1" applyBorder="1" applyAlignment="1">
      <alignment vertical="center"/>
    </xf>
    <xf numFmtId="164" fontId="9" fillId="7" borderId="18" xfId="2" applyNumberFormat="1" applyFont="1" applyFill="1" applyBorder="1" applyAlignment="1">
      <alignment horizontal="left" indent="1"/>
    </xf>
    <xf numFmtId="0" fontId="14" fillId="4" borderId="12" xfId="2" applyFont="1" applyFill="1" applyBorder="1" applyAlignment="1">
      <alignment horizontal="left" vertical="center" wrapText="1" indent="5"/>
    </xf>
    <xf numFmtId="0" fontId="14" fillId="4" borderId="13" xfId="2" applyFont="1" applyFill="1" applyBorder="1" applyAlignment="1">
      <alignment vertical="center" wrapText="1"/>
    </xf>
    <xf numFmtId="164" fontId="14" fillId="4" borderId="14" xfId="3" applyNumberFormat="1" applyFont="1" applyFill="1" applyBorder="1" applyAlignment="1">
      <alignment horizontal="left" vertical="center" wrapText="1" indent="1"/>
    </xf>
    <xf numFmtId="164" fontId="14" fillId="3" borderId="13" xfId="2" applyNumberFormat="1" applyFont="1" applyFill="1" applyBorder="1" applyAlignment="1">
      <alignment horizontal="left" vertical="center" indent="1"/>
    </xf>
    <xf numFmtId="164" fontId="14" fillId="3" borderId="15" xfId="2" applyNumberFormat="1" applyFont="1" applyFill="1" applyBorder="1" applyAlignment="1">
      <alignment horizontal="left" vertical="center" indent="1"/>
    </xf>
    <xf numFmtId="164" fontId="6" fillId="2" borderId="51" xfId="3" applyNumberFormat="1" applyFont="1" applyFill="1" applyBorder="1" applyAlignment="1">
      <alignment horizontal="left" vertical="center" wrapText="1"/>
    </xf>
    <xf numFmtId="9" fontId="6" fillId="2" borderId="51" xfId="1" applyFont="1" applyFill="1" applyBorder="1" applyAlignment="1">
      <alignment horizontal="center" vertical="center" wrapText="1"/>
    </xf>
    <xf numFmtId="9" fontId="6" fillId="2" borderId="46" xfId="1" applyFont="1" applyFill="1" applyBorder="1" applyAlignment="1">
      <alignment horizontal="center" vertical="center" wrapText="1"/>
    </xf>
    <xf numFmtId="9" fontId="6" fillId="2" borderId="24" xfId="1" applyFont="1" applyFill="1" applyBorder="1" applyAlignment="1">
      <alignment horizontal="right" vertical="center" wrapText="1"/>
    </xf>
    <xf numFmtId="0" fontId="19" fillId="0" borderId="0" xfId="0" applyFont="1"/>
    <xf numFmtId="41" fontId="19" fillId="0" borderId="0" xfId="0" applyNumberFormat="1" applyFont="1"/>
    <xf numFmtId="10" fontId="6" fillId="2" borderId="51" xfId="1" applyNumberFormat="1" applyFont="1" applyFill="1" applyBorder="1" applyAlignment="1">
      <alignment horizontal="right" vertical="center" wrapText="1"/>
    </xf>
    <xf numFmtId="10" fontId="6" fillId="2" borderId="46" xfId="1" applyNumberFormat="1" applyFont="1" applyFill="1" applyBorder="1" applyAlignment="1">
      <alignment horizontal="right" vertical="center" wrapText="1"/>
    </xf>
    <xf numFmtId="0" fontId="19" fillId="0" borderId="51" xfId="0" applyFont="1" applyBorder="1" applyAlignment="1">
      <alignment horizontal="center"/>
    </xf>
    <xf numFmtId="10" fontId="19" fillId="0" borderId="63" xfId="0" applyNumberFormat="1" applyFont="1" applyBorder="1" applyAlignment="1">
      <alignment horizontal="center"/>
    </xf>
    <xf numFmtId="0" fontId="19" fillId="0" borderId="63" xfId="0" applyFont="1" applyBorder="1" applyAlignment="1">
      <alignment horizontal="center"/>
    </xf>
    <xf numFmtId="10" fontId="19" fillId="0" borderId="46" xfId="0" applyNumberFormat="1" applyFont="1" applyBorder="1" applyAlignment="1">
      <alignment horizontal="right"/>
    </xf>
    <xf numFmtId="0" fontId="19" fillId="0" borderId="64" xfId="0" applyFont="1" applyBorder="1" applyAlignment="1">
      <alignment horizontal="center"/>
    </xf>
    <xf numFmtId="10" fontId="19" fillId="0" borderId="63" xfId="0" applyNumberFormat="1" applyFont="1" applyBorder="1" applyAlignment="1">
      <alignment horizontal="right"/>
    </xf>
    <xf numFmtId="10" fontId="19" fillId="0" borderId="50" xfId="0" applyNumberFormat="1" applyFont="1" applyBorder="1" applyAlignment="1">
      <alignment horizontal="right"/>
    </xf>
    <xf numFmtId="0" fontId="19" fillId="6" borderId="2" xfId="0" applyFont="1" applyFill="1" applyBorder="1" applyAlignment="1">
      <alignment horizontal="center" vertical="center"/>
    </xf>
    <xf numFmtId="0" fontId="19" fillId="6" borderId="28" xfId="0" applyFont="1" applyFill="1" applyBorder="1" applyAlignment="1">
      <alignment horizontal="center" vertical="center"/>
    </xf>
    <xf numFmtId="41" fontId="19" fillId="0" borderId="37" xfId="0" applyNumberFormat="1" applyFont="1" applyBorder="1"/>
    <xf numFmtId="41" fontId="19" fillId="0" borderId="29" xfId="0" applyNumberFormat="1" applyFont="1" applyBorder="1"/>
    <xf numFmtId="164" fontId="7" fillId="3" borderId="55" xfId="2" applyNumberFormat="1" applyFont="1" applyFill="1" applyBorder="1" applyAlignment="1">
      <alignment vertical="center"/>
    </xf>
    <xf numFmtId="164" fontId="7" fillId="3" borderId="56" xfId="2" applyNumberFormat="1" applyFont="1" applyFill="1" applyBorder="1" applyAlignment="1">
      <alignment vertical="center"/>
    </xf>
    <xf numFmtId="164" fontId="6" fillId="6" borderId="5" xfId="2" applyNumberFormat="1" applyFont="1" applyFill="1" applyBorder="1" applyAlignment="1">
      <alignment horizontal="center" vertical="center" wrapText="1"/>
    </xf>
    <xf numFmtId="0" fontId="6" fillId="3" borderId="61" xfId="2" applyFont="1" applyFill="1" applyBorder="1" applyAlignment="1">
      <alignment horizontal="center" vertical="center" wrapText="1"/>
    </xf>
    <xf numFmtId="164" fontId="6" fillId="6" borderId="18" xfId="2" applyNumberFormat="1" applyFont="1" applyFill="1" applyBorder="1" applyAlignment="1">
      <alignment horizontal="center" vertical="center" wrapText="1"/>
    </xf>
    <xf numFmtId="0" fontId="6" fillId="3" borderId="26" xfId="2" applyFont="1" applyFill="1" applyBorder="1" applyAlignment="1">
      <alignment horizontal="center" vertical="center" wrapText="1"/>
    </xf>
    <xf numFmtId="164" fontId="6" fillId="6" borderId="19" xfId="2" applyNumberFormat="1" applyFont="1" applyFill="1" applyBorder="1" applyAlignment="1">
      <alignment horizontal="center" vertical="center" wrapText="1"/>
    </xf>
    <xf numFmtId="0" fontId="6" fillId="3" borderId="5" xfId="2" applyFont="1" applyFill="1" applyBorder="1" applyAlignment="1">
      <alignment horizontal="center" vertical="center" wrapText="1"/>
    </xf>
    <xf numFmtId="164" fontId="6" fillId="6" borderId="20" xfId="2" applyNumberFormat="1" applyFont="1" applyFill="1" applyBorder="1" applyAlignment="1">
      <alignment horizontal="center" vertical="center" wrapText="1"/>
    </xf>
    <xf numFmtId="0" fontId="6" fillId="3" borderId="14" xfId="2" applyFont="1" applyFill="1" applyBorder="1" applyAlignment="1">
      <alignment horizontal="center" vertical="center" wrapText="1"/>
    </xf>
    <xf numFmtId="164" fontId="6" fillId="6" borderId="2" xfId="2" applyNumberFormat="1" applyFont="1" applyFill="1" applyBorder="1" applyAlignment="1">
      <alignment horizontal="center" vertical="center" wrapText="1"/>
    </xf>
    <xf numFmtId="164" fontId="6" fillId="6" borderId="4" xfId="2" applyNumberFormat="1" applyFont="1" applyFill="1" applyBorder="1" applyAlignment="1">
      <alignment horizontal="center" vertical="center" wrapText="1"/>
    </xf>
    <xf numFmtId="164" fontId="7" fillId="5" borderId="60" xfId="2" applyNumberFormat="1" applyFont="1" applyFill="1" applyBorder="1" applyAlignment="1">
      <alignment vertical="center"/>
    </xf>
    <xf numFmtId="164" fontId="7" fillId="5" borderId="33" xfId="2" applyNumberFormat="1" applyFont="1" applyFill="1" applyBorder="1" applyAlignment="1">
      <alignment vertical="center"/>
    </xf>
    <xf numFmtId="164" fontId="7" fillId="5" borderId="18" xfId="2" applyNumberFormat="1" applyFont="1" applyFill="1" applyBorder="1" applyAlignment="1">
      <alignment vertical="center"/>
    </xf>
    <xf numFmtId="164" fontId="7" fillId="5" borderId="19" xfId="2" applyNumberFormat="1" applyFont="1" applyFill="1" applyBorder="1" applyAlignment="1">
      <alignment vertical="center"/>
    </xf>
    <xf numFmtId="164" fontId="7" fillId="5" borderId="17" xfId="2" applyNumberFormat="1" applyFont="1" applyFill="1" applyBorder="1" applyAlignment="1">
      <alignment vertical="center"/>
    </xf>
    <xf numFmtId="164" fontId="9" fillId="9" borderId="20" xfId="2" applyNumberFormat="1" applyFont="1" applyFill="1" applyBorder="1" applyAlignment="1">
      <alignment horizontal="left" vertical="center"/>
    </xf>
    <xf numFmtId="164" fontId="9" fillId="9" borderId="55" xfId="2" applyNumberFormat="1" applyFont="1" applyFill="1" applyBorder="1" applyAlignment="1">
      <alignment horizontal="left" vertical="center"/>
    </xf>
    <xf numFmtId="164" fontId="9" fillId="9" borderId="18" xfId="2" applyNumberFormat="1" applyFont="1" applyFill="1" applyBorder="1" applyAlignment="1">
      <alignment horizontal="left" vertical="center"/>
    </xf>
    <xf numFmtId="164" fontId="9" fillId="9" borderId="19" xfId="2" applyNumberFormat="1" applyFont="1" applyFill="1" applyBorder="1" applyAlignment="1">
      <alignment horizontal="left" vertical="center"/>
    </xf>
    <xf numFmtId="164" fontId="7" fillId="5" borderId="45" xfId="2" applyNumberFormat="1" applyFont="1" applyFill="1" applyBorder="1" applyAlignment="1">
      <alignment vertical="center"/>
    </xf>
    <xf numFmtId="164" fontId="7" fillId="5" borderId="62" xfId="2" applyNumberFormat="1" applyFont="1" applyFill="1" applyBorder="1" applyAlignment="1">
      <alignment vertical="center"/>
    </xf>
    <xf numFmtId="41" fontId="7" fillId="4" borderId="5" xfId="4" applyFont="1" applyFill="1" applyBorder="1" applyAlignment="1">
      <alignment horizontal="left" vertical="center" wrapText="1" indent="1"/>
    </xf>
    <xf numFmtId="41" fontId="7" fillId="3" borderId="18" xfId="4" applyFont="1" applyFill="1" applyBorder="1" applyAlignment="1">
      <alignment vertical="center"/>
    </xf>
    <xf numFmtId="41" fontId="7" fillId="3" borderId="19" xfId="4" applyFont="1" applyFill="1" applyBorder="1" applyAlignment="1">
      <alignment vertical="center"/>
    </xf>
    <xf numFmtId="41" fontId="20" fillId="0" borderId="18" xfId="4" applyFont="1" applyFill="1" applyBorder="1" applyAlignment="1">
      <alignment vertical="center"/>
    </xf>
    <xf numFmtId="41" fontId="20" fillId="0" borderId="20" xfId="4" applyFont="1" applyFill="1" applyBorder="1" applyAlignment="1">
      <alignment vertical="center"/>
    </xf>
    <xf numFmtId="41" fontId="20" fillId="0" borderId="19" xfId="4" applyFont="1" applyFill="1" applyBorder="1" applyAlignment="1">
      <alignment vertical="center"/>
    </xf>
    <xf numFmtId="164" fontId="6" fillId="2" borderId="41" xfId="3" applyNumberFormat="1" applyFont="1" applyFill="1" applyBorder="1" applyAlignment="1">
      <alignment horizontal="left" vertical="center" wrapText="1"/>
    </xf>
    <xf numFmtId="164" fontId="6" fillId="2" borderId="60" xfId="3" applyNumberFormat="1" applyFont="1" applyFill="1" applyBorder="1" applyAlignment="1">
      <alignment horizontal="left" vertical="center" wrapText="1"/>
    </xf>
    <xf numFmtId="10" fontId="6" fillId="2" borderId="51" xfId="1" applyNumberFormat="1" applyFont="1" applyFill="1" applyBorder="1" applyAlignment="1">
      <alignment horizontal="center" vertical="center" wrapText="1"/>
    </xf>
    <xf numFmtId="10" fontId="6" fillId="2" borderId="46" xfId="1" applyNumberFormat="1" applyFont="1" applyFill="1" applyBorder="1" applyAlignment="1">
      <alignment horizontal="center" vertical="center" wrapText="1"/>
    </xf>
    <xf numFmtId="164" fontId="7" fillId="5" borderId="4" xfId="2" applyNumberFormat="1" applyFont="1" applyFill="1" applyBorder="1" applyAlignment="1">
      <alignment vertical="center" wrapText="1"/>
    </xf>
    <xf numFmtId="41" fontId="7" fillId="5" borderId="19" xfId="4" applyFont="1" applyFill="1" applyBorder="1" applyAlignment="1">
      <alignment wrapText="1"/>
    </xf>
    <xf numFmtId="164" fontId="7" fillId="3" borderId="26" xfId="2" applyNumberFormat="1" applyFont="1" applyFill="1" applyBorder="1" applyAlignment="1">
      <alignment vertical="center"/>
    </xf>
    <xf numFmtId="164" fontId="7" fillId="5" borderId="35" xfId="2" applyNumberFormat="1" applyFont="1" applyFill="1" applyBorder="1" applyAlignment="1">
      <alignment vertical="center"/>
    </xf>
    <xf numFmtId="164" fontId="7" fillId="5" borderId="8" xfId="2" applyNumberFormat="1" applyFont="1" applyFill="1" applyBorder="1" applyAlignment="1">
      <alignment vertical="center"/>
    </xf>
    <xf numFmtId="164" fontId="7" fillId="4" borderId="13" xfId="2" applyNumberFormat="1" applyFont="1" applyFill="1" applyBorder="1" applyAlignment="1">
      <alignment vertical="center"/>
    </xf>
    <xf numFmtId="164" fontId="6" fillId="2" borderId="35" xfId="3" applyNumberFormat="1" applyFont="1" applyFill="1" applyBorder="1" applyAlignment="1">
      <alignment horizontal="left" vertical="center" wrapText="1"/>
    </xf>
    <xf numFmtId="9" fontId="6" fillId="2" borderId="40" xfId="1" applyFont="1" applyFill="1" applyBorder="1" applyAlignment="1">
      <alignment horizontal="center" vertical="center" wrapText="1"/>
    </xf>
    <xf numFmtId="164" fontId="7" fillId="4" borderId="26" xfId="2" applyNumberFormat="1" applyFont="1" applyFill="1" applyBorder="1" applyAlignment="1">
      <alignment vertical="center"/>
    </xf>
    <xf numFmtId="164" fontId="6" fillId="6" borderId="6" xfId="2" applyNumberFormat="1" applyFont="1" applyFill="1" applyBorder="1" applyAlignment="1">
      <alignment horizontal="center" vertical="center" wrapText="1"/>
    </xf>
    <xf numFmtId="164" fontId="7" fillId="5" borderId="59" xfId="2" applyNumberFormat="1" applyFont="1" applyFill="1" applyBorder="1" applyAlignment="1">
      <alignment vertical="center"/>
    </xf>
    <xf numFmtId="164" fontId="9" fillId="9" borderId="59" xfId="2" applyNumberFormat="1" applyFont="1" applyFill="1" applyBorder="1" applyAlignment="1">
      <alignment horizontal="left" vertical="center"/>
    </xf>
    <xf numFmtId="164" fontId="21" fillId="3" borderId="59" xfId="2" applyNumberFormat="1" applyFont="1" applyFill="1" applyBorder="1" applyAlignment="1">
      <alignment horizontal="left" vertical="center"/>
    </xf>
    <xf numFmtId="164" fontId="21" fillId="3" borderId="16" xfId="2" applyNumberFormat="1" applyFont="1" applyFill="1" applyBorder="1" applyAlignment="1">
      <alignment horizontal="left" vertical="center"/>
    </xf>
    <xf numFmtId="9" fontId="6" fillId="2" borderId="41" xfId="1" applyFont="1" applyFill="1" applyBorder="1" applyAlignment="1">
      <alignment horizontal="center" vertical="center" wrapText="1"/>
    </xf>
    <xf numFmtId="164" fontId="6" fillId="6" borderId="28" xfId="2" applyNumberFormat="1" applyFont="1" applyFill="1" applyBorder="1" applyAlignment="1">
      <alignment horizontal="center" vertical="center" wrapText="1"/>
    </xf>
    <xf numFmtId="164" fontId="7" fillId="5" borderId="20" xfId="2" applyNumberFormat="1" applyFont="1" applyFill="1" applyBorder="1" applyAlignment="1">
      <alignment vertical="center"/>
    </xf>
    <xf numFmtId="0" fontId="9" fillId="4" borderId="5" xfId="2" applyFont="1" applyFill="1" applyBorder="1" applyAlignment="1">
      <alignment horizontal="center" vertical="center" wrapText="1"/>
    </xf>
    <xf numFmtId="164" fontId="6" fillId="6" borderId="25" xfId="2" applyNumberFormat="1" applyFont="1" applyFill="1" applyBorder="1" applyAlignment="1">
      <alignment horizontal="center" vertical="center" wrapText="1"/>
    </xf>
    <xf numFmtId="0" fontId="9" fillId="3" borderId="18" xfId="2" applyFont="1" applyFill="1" applyBorder="1" applyAlignment="1">
      <alignment horizontal="left" vertical="center" wrapText="1" indent="2"/>
    </xf>
    <xf numFmtId="0" fontId="9" fillId="3" borderId="37" xfId="2" applyFont="1" applyFill="1" applyBorder="1" applyAlignment="1">
      <alignment horizontal="left" vertical="center" wrapText="1" indent="2"/>
    </xf>
    <xf numFmtId="0" fontId="9" fillId="3" borderId="32" xfId="2" applyFont="1" applyFill="1" applyBorder="1" applyAlignment="1">
      <alignment horizontal="center" vertical="center" wrapText="1"/>
    </xf>
    <xf numFmtId="164" fontId="8" fillId="6" borderId="1" xfId="2" applyNumberFormat="1" applyFont="1" applyFill="1" applyBorder="1" applyAlignment="1">
      <alignment horizontal="center" vertical="center" wrapText="1"/>
    </xf>
    <xf numFmtId="164" fontId="8" fillId="6" borderId="17" xfId="2" applyNumberFormat="1" applyFont="1" applyFill="1" applyBorder="1" applyAlignment="1">
      <alignment horizontal="center" vertical="center" wrapText="1"/>
    </xf>
    <xf numFmtId="164" fontId="9" fillId="4" borderId="29" xfId="2" applyNumberFormat="1" applyFont="1" applyFill="1" applyBorder="1" applyAlignment="1">
      <alignment vertical="center"/>
    </xf>
    <xf numFmtId="164" fontId="6" fillId="6" borderId="27" xfId="2" applyNumberFormat="1" applyFont="1" applyFill="1" applyBorder="1" applyAlignment="1">
      <alignment horizontal="center" vertical="center" wrapText="1"/>
    </xf>
    <xf numFmtId="164" fontId="6" fillId="2" borderId="57" xfId="3" applyNumberFormat="1" applyFont="1" applyFill="1" applyBorder="1" applyAlignment="1">
      <alignment horizontal="left" vertical="center" wrapText="1"/>
    </xf>
    <xf numFmtId="164" fontId="9" fillId="4" borderId="13" xfId="2" applyNumberFormat="1" applyFont="1" applyFill="1" applyBorder="1" applyAlignment="1">
      <alignment vertical="center"/>
    </xf>
    <xf numFmtId="164" fontId="9" fillId="4" borderId="15" xfId="2" applyNumberFormat="1" applyFont="1" applyFill="1" applyBorder="1" applyAlignment="1">
      <alignment vertical="center"/>
    </xf>
    <xf numFmtId="164" fontId="6" fillId="2" borderId="31" xfId="3" applyNumberFormat="1" applyFont="1" applyFill="1" applyBorder="1" applyAlignment="1">
      <alignment horizontal="left" vertical="center" wrapText="1"/>
    </xf>
    <xf numFmtId="164" fontId="9" fillId="3" borderId="13" xfId="2" applyNumberFormat="1" applyFont="1" applyFill="1" applyBorder="1" applyAlignment="1">
      <alignment vertical="center"/>
    </xf>
    <xf numFmtId="164" fontId="9" fillId="3" borderId="12" xfId="2" applyNumberFormat="1" applyFont="1" applyFill="1" applyBorder="1" applyAlignment="1">
      <alignment vertical="center"/>
    </xf>
    <xf numFmtId="9" fontId="6" fillId="2" borderId="49" xfId="1" applyFont="1" applyFill="1" applyBorder="1" applyAlignment="1">
      <alignment horizontal="center" vertical="center" wrapText="1"/>
    </xf>
    <xf numFmtId="164" fontId="9" fillId="4" borderId="37" xfId="2" applyNumberFormat="1" applyFont="1" applyFill="1" applyBorder="1" applyAlignment="1">
      <alignment vertical="center"/>
    </xf>
    <xf numFmtId="9" fontId="6" fillId="2" borderId="23" xfId="1" applyFont="1" applyFill="1" applyBorder="1" applyAlignment="1">
      <alignment horizontal="right" vertical="center" wrapText="1"/>
    </xf>
    <xf numFmtId="9" fontId="6" fillId="2" borderId="57" xfId="1" applyFont="1" applyFill="1" applyBorder="1" applyAlignment="1">
      <alignment horizontal="right" vertical="center" wrapText="1"/>
    </xf>
    <xf numFmtId="164" fontId="6" fillId="10" borderId="49" xfId="2" applyNumberFormat="1" applyFont="1" applyFill="1" applyBorder="1" applyAlignment="1">
      <alignment horizontal="center" vertical="center" wrapText="1"/>
    </xf>
    <xf numFmtId="164" fontId="7" fillId="5" borderId="5" xfId="2" applyNumberFormat="1" applyFont="1" applyFill="1" applyBorder="1" applyAlignment="1">
      <alignment vertical="center"/>
    </xf>
    <xf numFmtId="164" fontId="8" fillId="6" borderId="65" xfId="2" applyNumberFormat="1" applyFont="1" applyFill="1" applyBorder="1" applyAlignment="1">
      <alignment horizontal="center" vertical="center" wrapText="1"/>
    </xf>
    <xf numFmtId="164" fontId="8" fillId="6" borderId="19" xfId="2" applyNumberFormat="1" applyFont="1" applyFill="1" applyBorder="1" applyAlignment="1">
      <alignment horizontal="center" vertical="center" wrapText="1"/>
    </xf>
    <xf numFmtId="164" fontId="6" fillId="6" borderId="17" xfId="2" applyNumberFormat="1" applyFont="1" applyFill="1" applyBorder="1" applyAlignment="1">
      <alignment horizontal="center" vertical="center" wrapText="1"/>
    </xf>
    <xf numFmtId="164" fontId="6" fillId="6" borderId="14" xfId="2" applyNumberFormat="1" applyFont="1" applyFill="1" applyBorder="1" applyAlignment="1">
      <alignment horizontal="center" vertical="center" wrapText="1"/>
    </xf>
    <xf numFmtId="164" fontId="8" fillId="6" borderId="26" xfId="2" applyNumberFormat="1" applyFont="1" applyFill="1" applyBorder="1" applyAlignment="1">
      <alignment horizontal="center" vertical="center" wrapText="1"/>
    </xf>
    <xf numFmtId="164" fontId="6" fillId="6" borderId="13" xfId="2" applyNumberFormat="1" applyFont="1" applyFill="1" applyBorder="1" applyAlignment="1">
      <alignment horizontal="center" vertical="center" wrapText="1"/>
    </xf>
    <xf numFmtId="164" fontId="6" fillId="6" borderId="26" xfId="2" applyNumberFormat="1" applyFont="1" applyFill="1" applyBorder="1" applyAlignment="1">
      <alignment horizontal="center" vertical="center" wrapText="1"/>
    </xf>
    <xf numFmtId="164" fontId="6" fillId="10" borderId="63" xfId="2" applyNumberFormat="1" applyFont="1" applyFill="1" applyBorder="1" applyAlignment="1">
      <alignment horizontal="center" vertical="center" wrapText="1"/>
    </xf>
    <xf numFmtId="164" fontId="8" fillId="10" borderId="50" xfId="2" applyNumberFormat="1" applyFont="1" applyFill="1" applyBorder="1" applyAlignment="1">
      <alignment horizontal="center" vertical="center" wrapText="1"/>
    </xf>
    <xf numFmtId="164" fontId="6" fillId="10" borderId="51" xfId="2" applyNumberFormat="1" applyFont="1" applyFill="1" applyBorder="1" applyAlignment="1">
      <alignment horizontal="center" vertical="center" wrapText="1"/>
    </xf>
    <xf numFmtId="164" fontId="6" fillId="10" borderId="50" xfId="2" applyNumberFormat="1" applyFont="1" applyFill="1" applyBorder="1" applyAlignment="1">
      <alignment horizontal="center" vertical="center" wrapText="1"/>
    </xf>
    <xf numFmtId="0" fontId="9" fillId="3" borderId="18" xfId="2" applyFont="1" applyFill="1" applyBorder="1" applyAlignment="1">
      <alignment horizontal="left" vertical="center" wrapText="1" indent="1"/>
    </xf>
    <xf numFmtId="0" fontId="9" fillId="3" borderId="5" xfId="2" applyFont="1" applyFill="1" applyBorder="1" applyAlignment="1">
      <alignment vertical="center" wrapText="1"/>
    </xf>
    <xf numFmtId="0" fontId="0" fillId="3" borderId="0" xfId="0" applyFont="1" applyFill="1"/>
    <xf numFmtId="164" fontId="6" fillId="6" borderId="66" xfId="2" applyNumberFormat="1" applyFont="1" applyFill="1" applyBorder="1" applyAlignment="1">
      <alignment horizontal="center" vertical="center" wrapText="1"/>
    </xf>
    <xf numFmtId="41" fontId="10" fillId="0" borderId="0" xfId="2" applyNumberFormat="1" applyFont="1"/>
    <xf numFmtId="41" fontId="19" fillId="0" borderId="0" xfId="4" applyFont="1"/>
    <xf numFmtId="0" fontId="9" fillId="9" borderId="17" xfId="2" applyFont="1" applyFill="1" applyBorder="1" applyAlignment="1">
      <alignment horizontal="left" vertical="center" wrapText="1" indent="9"/>
    </xf>
    <xf numFmtId="164" fontId="9" fillId="3" borderId="18" xfId="2" applyNumberFormat="1" applyFont="1" applyFill="1" applyBorder="1" applyAlignment="1">
      <alignment horizontal="center" vertical="center"/>
    </xf>
    <xf numFmtId="164" fontId="14" fillId="3" borderId="20" xfId="2" applyNumberFormat="1" applyFont="1" applyFill="1" applyBorder="1" applyAlignment="1">
      <alignment horizontal="center" vertical="center"/>
    </xf>
    <xf numFmtId="164" fontId="9" fillId="3" borderId="55" xfId="2" applyNumberFormat="1" applyFont="1" applyFill="1" applyBorder="1" applyAlignment="1">
      <alignment horizontal="center" vertical="center"/>
    </xf>
    <xf numFmtId="164" fontId="14" fillId="9" borderId="20" xfId="2" applyNumberFormat="1" applyFont="1" applyFill="1" applyBorder="1" applyAlignment="1">
      <alignment horizontal="left" vertical="center" indent="4"/>
    </xf>
    <xf numFmtId="0" fontId="22" fillId="3" borderId="0" xfId="0" applyFont="1" applyFill="1" applyAlignment="1">
      <alignment horizontal="left" indent="1"/>
    </xf>
    <xf numFmtId="0" fontId="9" fillId="9" borderId="18" xfId="2" applyFont="1" applyFill="1" applyBorder="1" applyAlignment="1">
      <alignment horizontal="left" vertical="center" wrapText="1" indent="3"/>
    </xf>
    <xf numFmtId="10" fontId="19" fillId="11" borderId="63" xfId="0" applyNumberFormat="1" applyFont="1" applyFill="1" applyBorder="1" applyAlignment="1">
      <alignment horizontal="center"/>
    </xf>
    <xf numFmtId="10" fontId="19" fillId="11" borderId="63" xfId="0" applyNumberFormat="1" applyFont="1" applyFill="1" applyBorder="1" applyAlignment="1">
      <alignment horizontal="right"/>
    </xf>
    <xf numFmtId="0" fontId="6" fillId="6" borderId="18" xfId="2" applyFont="1" applyFill="1" applyBorder="1" applyAlignment="1">
      <alignment horizontal="left" vertical="center" wrapText="1"/>
    </xf>
    <xf numFmtId="0" fontId="6" fillId="6" borderId="5" xfId="2" applyFont="1" applyFill="1" applyBorder="1" applyAlignment="1">
      <alignment horizontal="left" vertical="center" wrapText="1"/>
    </xf>
    <xf numFmtId="0" fontId="6" fillId="6" borderId="13" xfId="2" applyFont="1" applyFill="1" applyBorder="1" applyAlignment="1">
      <alignment horizontal="left" vertical="center" wrapText="1"/>
    </xf>
    <xf numFmtId="0" fontId="6" fillId="6" borderId="14" xfId="2" applyFont="1" applyFill="1" applyBorder="1" applyAlignment="1">
      <alignment horizontal="left" vertical="center" wrapText="1"/>
    </xf>
    <xf numFmtId="0" fontId="6" fillId="10" borderId="51" xfId="2" applyFont="1" applyFill="1" applyBorder="1" applyAlignment="1">
      <alignment horizontal="left" vertical="center" wrapText="1"/>
    </xf>
    <xf numFmtId="0" fontId="6" fillId="10" borderId="63" xfId="2" applyFont="1" applyFill="1" applyBorder="1" applyAlignment="1">
      <alignment horizontal="left" vertical="center" wrapText="1"/>
    </xf>
    <xf numFmtId="0" fontId="12" fillId="6" borderId="33" xfId="0" applyFont="1" applyFill="1" applyBorder="1" applyAlignment="1">
      <alignment horizontal="center" vertical="center"/>
    </xf>
    <xf numFmtId="0" fontId="12" fillId="6" borderId="47" xfId="0" applyFont="1" applyFill="1" applyBorder="1" applyAlignment="1">
      <alignment horizontal="center" vertical="center"/>
    </xf>
    <xf numFmtId="0" fontId="12" fillId="6" borderId="31" xfId="0" applyFont="1" applyFill="1" applyBorder="1" applyAlignment="1">
      <alignment horizontal="center" vertical="center"/>
    </xf>
    <xf numFmtId="0" fontId="12" fillId="6" borderId="22" xfId="0" applyFont="1" applyFill="1" applyBorder="1" applyAlignment="1">
      <alignment horizontal="center" vertical="center"/>
    </xf>
    <xf numFmtId="0" fontId="7" fillId="5" borderId="18" xfId="2" applyFont="1" applyFill="1" applyBorder="1" applyAlignment="1">
      <alignment horizontal="left" vertical="center" wrapText="1"/>
    </xf>
    <xf numFmtId="0" fontId="7" fillId="5" borderId="5" xfId="2" applyFont="1" applyFill="1" applyBorder="1" applyAlignment="1">
      <alignment horizontal="left" vertical="center" wrapText="1"/>
    </xf>
    <xf numFmtId="0" fontId="6" fillId="3" borderId="36" xfId="2" applyFont="1" applyFill="1" applyBorder="1" applyAlignment="1">
      <alignment horizontal="center" vertical="center" wrapText="1"/>
    </xf>
    <xf numFmtId="0" fontId="6" fillId="3" borderId="7" xfId="2" applyFont="1" applyFill="1" applyBorder="1" applyAlignment="1">
      <alignment horizontal="center" vertical="center" wrapText="1"/>
    </xf>
    <xf numFmtId="0" fontId="6" fillId="3" borderId="23" xfId="2" applyFont="1" applyFill="1" applyBorder="1" applyAlignment="1">
      <alignment horizontal="center" vertical="center" wrapText="1"/>
    </xf>
    <xf numFmtId="0" fontId="6" fillId="2" borderId="18" xfId="2" applyFont="1" applyFill="1" applyBorder="1" applyAlignment="1">
      <alignment horizontal="center" vertical="center" wrapText="1"/>
    </xf>
    <xf numFmtId="0" fontId="6" fillId="2" borderId="5" xfId="2" applyFont="1" applyFill="1" applyBorder="1" applyAlignment="1">
      <alignment horizontal="center" vertical="center" wrapText="1"/>
    </xf>
    <xf numFmtId="0" fontId="6" fillId="2" borderId="20" xfId="2" applyFont="1" applyFill="1" applyBorder="1" applyAlignment="1">
      <alignment horizontal="center" vertical="center" wrapText="1"/>
    </xf>
    <xf numFmtId="0" fontId="6" fillId="2" borderId="2" xfId="2" applyFont="1" applyFill="1" applyBorder="1" applyAlignment="1">
      <alignment horizontal="center" vertical="center" wrapText="1"/>
    </xf>
    <xf numFmtId="0" fontId="6" fillId="2" borderId="3" xfId="2" applyFont="1" applyFill="1" applyBorder="1" applyAlignment="1">
      <alignment horizontal="center" vertical="center" wrapText="1"/>
    </xf>
    <xf numFmtId="0" fontId="6" fillId="2" borderId="28" xfId="2" applyFont="1" applyFill="1" applyBorder="1" applyAlignment="1">
      <alignment horizontal="center" vertical="center" wrapText="1"/>
    </xf>
    <xf numFmtId="0" fontId="8" fillId="2" borderId="42" xfId="2" applyFont="1" applyFill="1" applyBorder="1" applyAlignment="1">
      <alignment horizontal="center" vertical="center" wrapText="1"/>
    </xf>
    <xf numFmtId="0" fontId="8" fillId="2" borderId="0" xfId="2" applyFont="1" applyFill="1" applyBorder="1" applyAlignment="1">
      <alignment horizontal="center" vertical="center" wrapText="1"/>
    </xf>
    <xf numFmtId="0" fontId="8" fillId="2" borderId="54" xfId="2" applyFont="1" applyFill="1" applyBorder="1" applyAlignment="1">
      <alignment horizontal="center" vertical="center" wrapText="1"/>
    </xf>
    <xf numFmtId="0" fontId="6" fillId="2" borderId="2" xfId="2" applyFont="1" applyFill="1" applyBorder="1" applyAlignment="1">
      <alignment horizontal="left" vertical="center" wrapText="1"/>
    </xf>
    <xf numFmtId="0" fontId="6" fillId="2" borderId="18" xfId="2" applyFont="1" applyFill="1" applyBorder="1" applyAlignment="1">
      <alignment horizontal="left" vertical="center" wrapText="1"/>
    </xf>
    <xf numFmtId="0" fontId="7" fillId="2" borderId="3" xfId="2" applyFont="1" applyFill="1" applyBorder="1" applyAlignment="1">
      <alignment horizontal="center" vertical="center" wrapText="1"/>
    </xf>
    <xf numFmtId="0" fontId="7" fillId="2" borderId="5" xfId="2" applyFont="1" applyFill="1" applyBorder="1" applyAlignment="1">
      <alignment horizontal="center" vertical="center" wrapText="1"/>
    </xf>
    <xf numFmtId="0" fontId="6" fillId="2" borderId="52" xfId="2" applyFont="1" applyFill="1" applyBorder="1" applyAlignment="1">
      <alignment horizontal="center" vertical="center" wrapText="1"/>
    </xf>
    <xf numFmtId="0" fontId="6" fillId="2" borderId="53" xfId="2" applyFont="1" applyFill="1" applyBorder="1" applyAlignment="1">
      <alignment horizontal="center" vertical="center" wrapText="1"/>
    </xf>
    <xf numFmtId="0" fontId="6" fillId="3" borderId="62" xfId="2" applyFont="1" applyFill="1" applyBorder="1" applyAlignment="1">
      <alignment horizontal="center" vertical="center" wrapText="1"/>
    </xf>
    <xf numFmtId="0" fontId="6" fillId="3" borderId="31" xfId="2" applyFont="1" applyFill="1" applyBorder="1" applyAlignment="1">
      <alignment horizontal="center" vertical="center" wrapText="1"/>
    </xf>
    <xf numFmtId="0" fontId="6" fillId="6" borderId="39" xfId="2" applyFont="1" applyFill="1" applyBorder="1" applyAlignment="1">
      <alignment horizontal="left" vertical="center" wrapText="1"/>
    </xf>
    <xf numFmtId="0" fontId="6" fillId="6" borderId="40" xfId="2" applyFont="1" applyFill="1" applyBorder="1" applyAlignment="1">
      <alignment horizontal="left" vertical="center" wrapText="1"/>
    </xf>
    <xf numFmtId="0" fontId="6" fillId="2" borderId="51" xfId="2" applyFont="1" applyFill="1" applyBorder="1" applyAlignment="1">
      <alignment horizontal="left" vertical="center" wrapText="1"/>
    </xf>
    <xf numFmtId="0" fontId="6" fillId="2" borderId="63" xfId="2" applyFont="1" applyFill="1" applyBorder="1" applyAlignment="1">
      <alignment horizontal="left" vertical="center" wrapText="1"/>
    </xf>
    <xf numFmtId="0" fontId="6" fillId="2" borderId="1" xfId="2" applyFont="1" applyFill="1" applyBorder="1" applyAlignment="1">
      <alignment horizontal="left" vertical="center" wrapText="1"/>
    </xf>
    <xf numFmtId="0" fontId="6" fillId="2" borderId="7" xfId="2" applyFont="1" applyFill="1" applyBorder="1" applyAlignment="1">
      <alignment horizontal="left" vertical="center" wrapText="1"/>
    </xf>
    <xf numFmtId="0" fontId="6" fillId="2" borderId="12" xfId="2" applyFont="1" applyFill="1" applyBorder="1" applyAlignment="1">
      <alignment horizontal="left" vertical="center" wrapText="1"/>
    </xf>
    <xf numFmtId="0" fontId="7" fillId="2" borderId="35" xfId="2" applyFont="1" applyFill="1" applyBorder="1" applyAlignment="1">
      <alignment horizontal="center" vertical="center" wrapText="1"/>
    </xf>
    <xf numFmtId="0" fontId="7" fillId="2" borderId="8" xfId="2" applyFont="1" applyFill="1" applyBorder="1" applyAlignment="1">
      <alignment horizontal="center" vertical="center" wrapText="1"/>
    </xf>
    <xf numFmtId="0" fontId="7" fillId="2" borderId="48" xfId="2" applyFont="1" applyFill="1" applyBorder="1" applyAlignment="1">
      <alignment horizontal="center" vertical="center" wrapText="1"/>
    </xf>
    <xf numFmtId="0" fontId="7" fillId="2" borderId="9" xfId="2" applyFont="1" applyFill="1" applyBorder="1" applyAlignment="1">
      <alignment horizontal="center" vertical="center" wrapText="1"/>
    </xf>
    <xf numFmtId="0" fontId="7" fillId="2" borderId="14" xfId="2" applyFont="1" applyFill="1" applyBorder="1" applyAlignment="1">
      <alignment horizontal="center" vertical="center" wrapText="1"/>
    </xf>
    <xf numFmtId="0" fontId="6" fillId="2" borderId="45" xfId="2" applyFont="1" applyFill="1" applyBorder="1" applyAlignment="1">
      <alignment horizontal="center" vertical="center" wrapText="1"/>
    </xf>
    <xf numFmtId="0" fontId="6" fillId="2" borderId="15" xfId="2" applyFont="1" applyFill="1" applyBorder="1" applyAlignment="1">
      <alignment horizontal="center" vertical="center" wrapText="1"/>
    </xf>
    <xf numFmtId="0" fontId="6" fillId="2" borderId="58" xfId="2" applyFont="1" applyFill="1" applyBorder="1" applyAlignment="1">
      <alignment horizontal="center" vertical="center" wrapText="1"/>
    </xf>
    <xf numFmtId="0" fontId="6" fillId="2" borderId="4" xfId="2" applyFont="1" applyFill="1" applyBorder="1" applyAlignment="1">
      <alignment horizontal="center" vertical="center" wrapText="1"/>
    </xf>
    <xf numFmtId="0" fontId="6" fillId="2" borderId="39" xfId="2" applyFont="1" applyFill="1" applyBorder="1" applyAlignment="1">
      <alignment horizontal="left" vertical="center" wrapText="1"/>
    </xf>
    <xf numFmtId="0" fontId="6" fillId="2" borderId="40" xfId="2" applyFont="1" applyFill="1" applyBorder="1" applyAlignment="1">
      <alignment horizontal="left" vertical="center" wrapText="1"/>
    </xf>
    <xf numFmtId="0" fontId="7" fillId="5" borderId="2" xfId="2" applyFont="1" applyFill="1" applyBorder="1" applyAlignment="1">
      <alignment horizontal="left" vertical="center" wrapText="1"/>
    </xf>
    <xf numFmtId="0" fontId="7" fillId="5" borderId="3" xfId="2" applyFont="1" applyFill="1" applyBorder="1" applyAlignment="1">
      <alignment horizontal="left" vertical="center" wrapText="1"/>
    </xf>
    <xf numFmtId="0" fontId="8" fillId="2" borderId="38" xfId="2" applyFont="1" applyFill="1" applyBorder="1" applyAlignment="1">
      <alignment horizontal="center" vertical="center" wrapText="1"/>
    </xf>
    <xf numFmtId="0" fontId="8" fillId="2" borderId="62" xfId="2" applyFont="1" applyFill="1" applyBorder="1" applyAlignment="1">
      <alignment horizontal="center" vertical="center" wrapText="1"/>
    </xf>
    <xf numFmtId="0" fontId="8" fillId="2" borderId="56" xfId="2" applyFont="1" applyFill="1" applyBorder="1" applyAlignment="1">
      <alignment horizontal="center" vertical="center" wrapText="1"/>
    </xf>
    <xf numFmtId="0" fontId="6" fillId="6" borderId="33" xfId="2" applyFont="1" applyFill="1" applyBorder="1" applyAlignment="1">
      <alignment horizontal="left" vertical="center" wrapText="1"/>
    </xf>
    <xf numFmtId="0" fontId="6" fillId="6" borderId="34" xfId="2" applyFont="1" applyFill="1" applyBorder="1" applyAlignment="1">
      <alignment horizontal="left" vertical="center" wrapText="1"/>
    </xf>
    <xf numFmtId="0" fontId="6" fillId="2" borderId="1" xfId="2" applyFont="1" applyFill="1" applyBorder="1" applyAlignment="1">
      <alignment horizontal="center" vertical="center" wrapText="1"/>
    </xf>
    <xf numFmtId="0" fontId="6" fillId="2" borderId="7" xfId="2" applyFont="1" applyFill="1" applyBorder="1" applyAlignment="1">
      <alignment horizontal="center" vertical="center" wrapText="1"/>
    </xf>
    <xf numFmtId="0" fontId="6" fillId="2" borderId="12" xfId="2" applyFont="1" applyFill="1" applyBorder="1" applyAlignment="1">
      <alignment horizontal="center" vertical="center" wrapText="1"/>
    </xf>
    <xf numFmtId="0" fontId="7" fillId="2" borderId="2" xfId="2" applyFont="1" applyFill="1" applyBorder="1" applyAlignment="1">
      <alignment horizontal="center" vertical="center" wrapText="1"/>
    </xf>
    <xf numFmtId="0" fontId="7" fillId="2" borderId="13" xfId="2" applyFont="1" applyFill="1" applyBorder="1" applyAlignment="1">
      <alignment horizontal="center" vertical="center" wrapText="1"/>
    </xf>
    <xf numFmtId="0" fontId="6" fillId="2" borderId="10" xfId="2" applyFont="1" applyFill="1" applyBorder="1" applyAlignment="1">
      <alignment horizontal="center" vertical="center" wrapText="1"/>
    </xf>
    <xf numFmtId="0" fontId="6" fillId="2" borderId="26" xfId="2" applyFont="1" applyFill="1" applyBorder="1" applyAlignment="1">
      <alignment horizontal="center" vertical="center" wrapText="1"/>
    </xf>
    <xf numFmtId="0" fontId="6" fillId="2" borderId="27" xfId="2" applyFont="1" applyFill="1" applyBorder="1" applyAlignment="1">
      <alignment horizontal="center" vertical="center" wrapText="1"/>
    </xf>
    <xf numFmtId="0" fontId="6" fillId="2" borderId="25" xfId="2" applyFont="1" applyFill="1" applyBorder="1" applyAlignment="1">
      <alignment horizontal="center" vertical="center" wrapText="1"/>
    </xf>
    <xf numFmtId="0" fontId="6" fillId="6" borderId="2" xfId="2" applyFont="1" applyFill="1" applyBorder="1" applyAlignment="1">
      <alignment horizontal="left" vertical="center" wrapText="1"/>
    </xf>
    <xf numFmtId="0" fontId="6" fillId="6" borderId="3" xfId="2" applyFont="1" applyFill="1" applyBorder="1" applyAlignment="1">
      <alignment horizontal="left" vertical="center" wrapText="1"/>
    </xf>
    <xf numFmtId="0" fontId="6" fillId="6" borderId="28" xfId="2" applyFont="1" applyFill="1" applyBorder="1" applyAlignment="1">
      <alignment horizontal="left" vertical="center" wrapText="1"/>
    </xf>
    <xf numFmtId="0" fontId="6" fillId="6" borderId="20" xfId="2" applyFont="1" applyFill="1" applyBorder="1" applyAlignment="1">
      <alignment horizontal="left" vertical="center" wrapText="1"/>
    </xf>
    <xf numFmtId="0" fontId="8" fillId="2" borderId="6" xfId="2" applyFont="1" applyFill="1" applyBorder="1" applyAlignment="1">
      <alignment horizontal="center" vertical="center" wrapText="1"/>
    </xf>
    <xf numFmtId="0" fontId="8" fillId="2" borderId="11" xfId="2" applyFont="1" applyFill="1" applyBorder="1" applyAlignment="1">
      <alignment horizontal="center" vertical="center" wrapText="1"/>
    </xf>
    <xf numFmtId="0" fontId="8" fillId="2" borderId="16" xfId="2" applyFont="1" applyFill="1" applyBorder="1" applyAlignment="1">
      <alignment horizontal="center" vertical="center" wrapText="1"/>
    </xf>
    <xf numFmtId="0" fontId="6" fillId="2" borderId="31" xfId="2" applyFont="1" applyFill="1" applyBorder="1" applyAlignment="1">
      <alignment horizontal="left" vertical="center" wrapText="1"/>
    </xf>
    <xf numFmtId="0" fontId="6" fillId="2" borderId="21" xfId="2" applyFont="1" applyFill="1" applyBorder="1" applyAlignment="1">
      <alignment horizontal="left" vertical="center" wrapText="1"/>
    </xf>
    <xf numFmtId="0" fontId="6" fillId="2" borderId="22" xfId="2" applyFont="1" applyFill="1" applyBorder="1" applyAlignment="1">
      <alignment horizontal="left" vertical="center" wrapText="1"/>
    </xf>
    <xf numFmtId="0" fontId="6" fillId="2" borderId="41" xfId="2" applyFont="1" applyFill="1" applyBorder="1" applyAlignment="1">
      <alignment horizontal="left" vertical="center" wrapText="1"/>
    </xf>
  </cellXfs>
  <cellStyles count="5">
    <cellStyle name="Comma [0]" xfId="4" builtinId="6"/>
    <cellStyle name="Comma 2" xfId="3"/>
    <cellStyle name="Normal" xfId="0" builtinId="0"/>
    <cellStyle name="Normal 3" xfId="2"/>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tabSelected="1" topLeftCell="A11" zoomScale="150" zoomScaleNormal="150" zoomScalePageLayoutView="150" workbookViewId="0">
      <selection activeCell="B18" sqref="B18"/>
    </sheetView>
  </sheetViews>
  <sheetFormatPr defaultColWidth="11.42578125" defaultRowHeight="15" x14ac:dyDescent="0.25"/>
  <cols>
    <col min="1" max="1" width="5.28515625" style="14" customWidth="1"/>
    <col min="2" max="2" width="35.7109375" style="14" bestFit="1" customWidth="1"/>
    <col min="3" max="5" width="11.42578125" style="14"/>
    <col min="6" max="6" width="7.28515625" style="14" customWidth="1"/>
    <col min="7" max="16384" width="11.42578125" style="14"/>
  </cols>
  <sheetData>
    <row r="1" spans="1:6" x14ac:dyDescent="0.25">
      <c r="B1" s="14" t="s">
        <v>124</v>
      </c>
    </row>
    <row r="3" spans="1:6" x14ac:dyDescent="0.25">
      <c r="A3" s="88"/>
      <c r="B3" s="89" t="s">
        <v>29</v>
      </c>
      <c r="C3" s="89" t="s">
        <v>23</v>
      </c>
      <c r="D3" s="89" t="s">
        <v>30</v>
      </c>
      <c r="E3" s="89" t="s">
        <v>31</v>
      </c>
      <c r="F3" s="89" t="s">
        <v>32</v>
      </c>
    </row>
    <row r="4" spans="1:6" x14ac:dyDescent="0.25">
      <c r="A4" s="90">
        <v>1</v>
      </c>
      <c r="B4" s="91" t="s">
        <v>33</v>
      </c>
      <c r="C4" s="92">
        <f>+C5</f>
        <v>0</v>
      </c>
      <c r="D4" s="92">
        <f>+D5</f>
        <v>850000</v>
      </c>
      <c r="E4" s="92">
        <f t="shared" ref="E4:E11" si="0">+D4+C4</f>
        <v>850000</v>
      </c>
      <c r="F4" s="93">
        <f>+E4/E12</f>
        <v>0.12142857142857143</v>
      </c>
    </row>
    <row r="5" spans="1:6" x14ac:dyDescent="0.25">
      <c r="A5" s="94" t="s">
        <v>37</v>
      </c>
      <c r="B5" s="95" t="s">
        <v>34</v>
      </c>
      <c r="C5" s="96">
        <v>0</v>
      </c>
      <c r="D5" s="97">
        <f>Administracion!G14</f>
        <v>850000</v>
      </c>
      <c r="E5" s="96">
        <f t="shared" si="0"/>
        <v>850000</v>
      </c>
      <c r="F5" s="95"/>
    </row>
    <row r="6" spans="1:6" x14ac:dyDescent="0.25">
      <c r="A6" s="90">
        <v>2</v>
      </c>
      <c r="B6" s="91" t="s">
        <v>35</v>
      </c>
      <c r="C6" s="92">
        <f>+C7+C8</f>
        <v>4920000</v>
      </c>
      <c r="D6" s="92">
        <f>+D7+D8</f>
        <v>1092400</v>
      </c>
      <c r="E6" s="92">
        <f t="shared" si="0"/>
        <v>6012400</v>
      </c>
      <c r="F6" s="93">
        <f>+E6/E12</f>
        <v>0.85891428571428574</v>
      </c>
    </row>
    <row r="7" spans="1:6" x14ac:dyDescent="0.25">
      <c r="A7" s="94" t="s">
        <v>38</v>
      </c>
      <c r="B7" s="95" t="s">
        <v>0</v>
      </c>
      <c r="C7" s="97">
        <f>+Componente_1_MR!F67</f>
        <v>3500000</v>
      </c>
      <c r="D7" s="97">
        <f>+Componente_1_MR!G67</f>
        <v>672400</v>
      </c>
      <c r="E7" s="96">
        <f t="shared" si="0"/>
        <v>4172400</v>
      </c>
      <c r="F7" s="95"/>
    </row>
    <row r="8" spans="1:6" x14ac:dyDescent="0.25">
      <c r="A8" s="94" t="s">
        <v>39</v>
      </c>
      <c r="B8" s="95" t="s">
        <v>4</v>
      </c>
      <c r="C8" s="97">
        <f>+Componente_2!F20</f>
        <v>1420000</v>
      </c>
      <c r="D8" s="97">
        <f>+Componente_2!G4</f>
        <v>420000</v>
      </c>
      <c r="E8" s="96">
        <f t="shared" si="0"/>
        <v>1840000</v>
      </c>
      <c r="F8" s="95"/>
    </row>
    <row r="9" spans="1:6" x14ac:dyDescent="0.25">
      <c r="A9" s="90">
        <v>3</v>
      </c>
      <c r="B9" s="91" t="s">
        <v>127</v>
      </c>
      <c r="C9" s="98">
        <f>+C10+C11</f>
        <v>80000</v>
      </c>
      <c r="D9" s="98">
        <f>+D10+D11</f>
        <v>57600</v>
      </c>
      <c r="E9" s="92">
        <f t="shared" si="0"/>
        <v>137600</v>
      </c>
      <c r="F9" s="93">
        <f>+E9/E12</f>
        <v>1.9657142857142856E-2</v>
      </c>
    </row>
    <row r="10" spans="1:6" x14ac:dyDescent="0.25">
      <c r="A10" s="99" t="s">
        <v>126</v>
      </c>
      <c r="B10" s="100" t="s">
        <v>56</v>
      </c>
      <c r="C10" s="97">
        <f>'Evaluación y Auditoria '!F7</f>
        <v>80000</v>
      </c>
      <c r="D10" s="98"/>
      <c r="E10" s="96">
        <f t="shared" si="0"/>
        <v>80000</v>
      </c>
      <c r="F10" s="93"/>
    </row>
    <row r="11" spans="1:6" x14ac:dyDescent="0.25">
      <c r="A11" s="99" t="s">
        <v>125</v>
      </c>
      <c r="B11" s="100" t="s">
        <v>57</v>
      </c>
      <c r="C11" s="97">
        <f>'Evaluación y Auditoria '!F5</f>
        <v>0</v>
      </c>
      <c r="D11" s="98">
        <f>+'Evaluación y Auditoria '!G10</f>
        <v>57600</v>
      </c>
      <c r="E11" s="96">
        <f t="shared" si="0"/>
        <v>57600</v>
      </c>
      <c r="F11" s="93"/>
    </row>
    <row r="12" spans="1:6" x14ac:dyDescent="0.25">
      <c r="A12" s="88"/>
      <c r="B12" s="101" t="s">
        <v>22</v>
      </c>
      <c r="C12" s="98">
        <f>+C9+C6+C4</f>
        <v>5000000</v>
      </c>
      <c r="D12" s="98">
        <f>+D9+D6+D4</f>
        <v>2000000</v>
      </c>
      <c r="E12" s="92">
        <f t="shared" ref="E12" si="1">+E9+E6+E4</f>
        <v>7000000</v>
      </c>
      <c r="F12" s="95"/>
    </row>
    <row r="13" spans="1:6" x14ac:dyDescent="0.25">
      <c r="A13" s="88"/>
      <c r="B13" s="102" t="s">
        <v>32</v>
      </c>
      <c r="C13" s="103"/>
      <c r="D13" s="103"/>
      <c r="E13" s="104"/>
      <c r="F13" s="102" t="s">
        <v>36</v>
      </c>
    </row>
    <row r="14" spans="1:6" x14ac:dyDescent="0.25">
      <c r="A14" s="88"/>
      <c r="B14" s="88"/>
      <c r="C14" s="105"/>
      <c r="D14" s="105"/>
      <c r="E14" s="88"/>
      <c r="F14" s="88"/>
    </row>
    <row r="15" spans="1:6" x14ac:dyDescent="0.25">
      <c r="A15" s="88"/>
      <c r="B15" s="88"/>
      <c r="C15" s="106"/>
      <c r="D15" s="106"/>
      <c r="E15" s="106"/>
      <c r="F15" s="88"/>
    </row>
    <row r="16" spans="1:6" x14ac:dyDescent="0.25">
      <c r="A16" s="88"/>
      <c r="B16" s="88"/>
      <c r="C16" s="107"/>
      <c r="D16" s="107"/>
      <c r="E16" s="107"/>
      <c r="F16" s="88"/>
    </row>
  </sheetData>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C26"/>
  <sheetViews>
    <sheetView zoomScaleNormal="100" zoomScalePageLayoutView="140" workbookViewId="0">
      <pane ySplit="3" topLeftCell="A10" activePane="bottomLeft" state="frozen"/>
      <selection pane="bottomLeft" activeCell="F15" sqref="F15"/>
    </sheetView>
  </sheetViews>
  <sheetFormatPr defaultColWidth="11.42578125" defaultRowHeight="15" x14ac:dyDescent="0.25"/>
  <cols>
    <col min="1" max="1" width="65.28515625" style="9" customWidth="1"/>
    <col min="2" max="2" width="10" style="58" hidden="1" customWidth="1"/>
    <col min="3" max="3" width="12" style="10" hidden="1" customWidth="1"/>
    <col min="4" max="4" width="10.42578125" style="10" hidden="1" customWidth="1"/>
    <col min="5" max="5" width="13.85546875" style="10" hidden="1" customWidth="1"/>
    <col min="6" max="6" width="8.7109375" style="10" bestFit="1" customWidth="1"/>
    <col min="7" max="7" width="10" style="10" customWidth="1"/>
    <col min="8" max="8" width="11" style="10" customWidth="1"/>
    <col min="9" max="9" width="10.5703125" style="10" bestFit="1" customWidth="1"/>
    <col min="10" max="10" width="7.7109375" style="10" bestFit="1" customWidth="1"/>
    <col min="11" max="12" width="7.42578125" style="10" bestFit="1" customWidth="1"/>
    <col min="13" max="13" width="9.7109375" bestFit="1" customWidth="1"/>
    <col min="14" max="14" width="7.7109375" bestFit="1" customWidth="1"/>
    <col min="15" max="16" width="7.42578125" bestFit="1" customWidth="1"/>
    <col min="17" max="17" width="9" bestFit="1" customWidth="1"/>
    <col min="18" max="18" width="7.7109375" bestFit="1" customWidth="1"/>
    <col min="19" max="20" width="7.42578125" bestFit="1" customWidth="1"/>
    <col min="21" max="21" width="9" bestFit="1" customWidth="1"/>
    <col min="22" max="22" width="7.7109375" bestFit="1" customWidth="1"/>
    <col min="23" max="24" width="7.42578125" bestFit="1" customWidth="1"/>
    <col min="25" max="25" width="8" bestFit="1" customWidth="1"/>
    <col min="26" max="26" width="7.7109375" bestFit="1" customWidth="1"/>
    <col min="27" max="28" width="7.42578125" bestFit="1" customWidth="1"/>
    <col min="29" max="29" width="8.7109375" bestFit="1" customWidth="1"/>
  </cols>
  <sheetData>
    <row r="1" spans="1:29" x14ac:dyDescent="0.25">
      <c r="A1" s="301" t="s">
        <v>41</v>
      </c>
      <c r="B1" s="303" t="s">
        <v>3</v>
      </c>
      <c r="C1" s="303" t="s">
        <v>19</v>
      </c>
      <c r="D1" s="303" t="s">
        <v>40</v>
      </c>
      <c r="E1" s="296" t="s">
        <v>20</v>
      </c>
      <c r="F1" s="296" t="s">
        <v>21</v>
      </c>
      <c r="G1" s="296"/>
      <c r="H1" s="298" t="s">
        <v>22</v>
      </c>
      <c r="I1" s="295" t="s">
        <v>163</v>
      </c>
      <c r="J1" s="296"/>
      <c r="K1" s="296"/>
      <c r="L1" s="297"/>
      <c r="M1" s="295" t="s">
        <v>166</v>
      </c>
      <c r="N1" s="296"/>
      <c r="O1" s="296"/>
      <c r="P1" s="297"/>
      <c r="Q1" s="295" t="s">
        <v>167</v>
      </c>
      <c r="R1" s="296"/>
      <c r="S1" s="296"/>
      <c r="T1" s="297"/>
      <c r="U1" s="295" t="s">
        <v>168</v>
      </c>
      <c r="V1" s="296"/>
      <c r="W1" s="296"/>
      <c r="X1" s="297"/>
      <c r="Y1" s="295" t="s">
        <v>169</v>
      </c>
      <c r="Z1" s="296"/>
      <c r="AA1" s="296"/>
      <c r="AB1" s="297"/>
      <c r="AC1" s="289" t="s">
        <v>22</v>
      </c>
    </row>
    <row r="2" spans="1:29" x14ac:dyDescent="0.25">
      <c r="A2" s="302"/>
      <c r="B2" s="304"/>
      <c r="C2" s="304"/>
      <c r="D2" s="304"/>
      <c r="E2" s="293"/>
      <c r="F2" s="293"/>
      <c r="G2" s="293"/>
      <c r="H2" s="299"/>
      <c r="I2" s="292" t="s">
        <v>164</v>
      </c>
      <c r="J2" s="293"/>
      <c r="K2" s="293" t="s">
        <v>165</v>
      </c>
      <c r="L2" s="294"/>
      <c r="M2" s="292" t="s">
        <v>164</v>
      </c>
      <c r="N2" s="293"/>
      <c r="O2" s="293" t="s">
        <v>165</v>
      </c>
      <c r="P2" s="294"/>
      <c r="Q2" s="292" t="s">
        <v>164</v>
      </c>
      <c r="R2" s="293"/>
      <c r="S2" s="293" t="s">
        <v>165</v>
      </c>
      <c r="T2" s="294"/>
      <c r="U2" s="292" t="s">
        <v>164</v>
      </c>
      <c r="V2" s="293"/>
      <c r="W2" s="293" t="s">
        <v>165</v>
      </c>
      <c r="X2" s="294"/>
      <c r="Y2" s="292" t="s">
        <v>164</v>
      </c>
      <c r="Z2" s="293"/>
      <c r="AA2" s="293" t="s">
        <v>165</v>
      </c>
      <c r="AB2" s="294"/>
      <c r="AC2" s="290"/>
    </row>
    <row r="3" spans="1:29" ht="15.75" thickBot="1" x14ac:dyDescent="0.3">
      <c r="A3" s="302"/>
      <c r="B3" s="304"/>
      <c r="C3" s="304"/>
      <c r="D3" s="304"/>
      <c r="E3" s="293"/>
      <c r="F3" s="187" t="s">
        <v>23</v>
      </c>
      <c r="G3" s="187" t="s">
        <v>179</v>
      </c>
      <c r="H3" s="300"/>
      <c r="I3" s="17" t="s">
        <v>23</v>
      </c>
      <c r="J3" s="189" t="s">
        <v>179</v>
      </c>
      <c r="K3" s="189" t="s">
        <v>23</v>
      </c>
      <c r="L3" s="189" t="s">
        <v>179</v>
      </c>
      <c r="M3" s="17" t="s">
        <v>23</v>
      </c>
      <c r="N3" s="189" t="s">
        <v>179</v>
      </c>
      <c r="O3" s="189" t="s">
        <v>23</v>
      </c>
      <c r="P3" s="189" t="s">
        <v>179</v>
      </c>
      <c r="Q3" s="17" t="s">
        <v>23</v>
      </c>
      <c r="R3" s="189" t="s">
        <v>179</v>
      </c>
      <c r="S3" s="189" t="s">
        <v>23</v>
      </c>
      <c r="T3" s="189" t="s">
        <v>179</v>
      </c>
      <c r="U3" s="17" t="s">
        <v>23</v>
      </c>
      <c r="V3" s="189" t="s">
        <v>179</v>
      </c>
      <c r="W3" s="189" t="s">
        <v>23</v>
      </c>
      <c r="X3" s="189" t="s">
        <v>179</v>
      </c>
      <c r="Y3" s="17" t="s">
        <v>23</v>
      </c>
      <c r="Z3" s="189" t="s">
        <v>179</v>
      </c>
      <c r="AA3" s="189" t="s">
        <v>23</v>
      </c>
      <c r="AB3" s="189" t="s">
        <v>179</v>
      </c>
      <c r="AC3" s="291"/>
    </row>
    <row r="4" spans="1:29" ht="26.25" customHeight="1" x14ac:dyDescent="0.25">
      <c r="A4" s="277" t="s">
        <v>59</v>
      </c>
      <c r="B4" s="278"/>
      <c r="C4" s="278"/>
      <c r="D4" s="278"/>
      <c r="E4" s="278"/>
      <c r="F4" s="182">
        <f>+F5+F6+F7+F8+F9</f>
        <v>3500000</v>
      </c>
      <c r="G4" s="182">
        <f>+G5+G6+G7+G8+G9</f>
        <v>672400</v>
      </c>
      <c r="H4" s="251">
        <f>G4+F4</f>
        <v>4172400</v>
      </c>
      <c r="I4" s="190">
        <f>SUM(I5:I9)</f>
        <v>90000</v>
      </c>
      <c r="J4" s="191">
        <f>SUM(J5:J9)</f>
        <v>19800</v>
      </c>
      <c r="K4" s="190">
        <f t="shared" ref="K4:AB4" si="0">SUM(K5:K9)</f>
        <v>545000</v>
      </c>
      <c r="L4" s="191">
        <f t="shared" si="0"/>
        <v>119900</v>
      </c>
      <c r="M4" s="190">
        <f t="shared" si="0"/>
        <v>641600</v>
      </c>
      <c r="N4" s="191">
        <f t="shared" si="0"/>
        <v>133952</v>
      </c>
      <c r="O4" s="190">
        <f t="shared" si="0"/>
        <v>741600</v>
      </c>
      <c r="P4" s="191">
        <f t="shared" si="0"/>
        <v>155952</v>
      </c>
      <c r="Q4" s="190">
        <f t="shared" si="0"/>
        <v>635600</v>
      </c>
      <c r="R4" s="191">
        <f t="shared" si="0"/>
        <v>129032</v>
      </c>
      <c r="S4" s="190">
        <f t="shared" si="0"/>
        <v>492400</v>
      </c>
      <c r="T4" s="191">
        <f t="shared" si="0"/>
        <v>51848</v>
      </c>
      <c r="U4" s="190">
        <f t="shared" si="0"/>
        <v>202400</v>
      </c>
      <c r="V4" s="191">
        <f t="shared" si="0"/>
        <v>28608</v>
      </c>
      <c r="W4" s="190">
        <f t="shared" si="0"/>
        <v>146000</v>
      </c>
      <c r="X4" s="191">
        <f t="shared" si="0"/>
        <v>32120</v>
      </c>
      <c r="Y4" s="190">
        <f t="shared" si="0"/>
        <v>5400</v>
      </c>
      <c r="Z4" s="191">
        <f t="shared" si="0"/>
        <v>1188</v>
      </c>
      <c r="AA4" s="190">
        <f t="shared" si="0"/>
        <v>0</v>
      </c>
      <c r="AB4" s="191">
        <f t="shared" si="0"/>
        <v>0</v>
      </c>
      <c r="AC4" s="265">
        <f t="shared" ref="AC4:AC10" si="1">SUM(I4:AB4)</f>
        <v>4172400</v>
      </c>
    </row>
    <row r="5" spans="1:29" s="264" customFormat="1" ht="39" customHeight="1" x14ac:dyDescent="0.25">
      <c r="A5" s="262" t="s">
        <v>143</v>
      </c>
      <c r="B5" s="263"/>
      <c r="C5" s="6"/>
      <c r="D5" s="6"/>
      <c r="E5" s="139" t="e">
        <f>+#REF!+#REF!+#REF!+#REF!</f>
        <v>#REF!</v>
      </c>
      <c r="F5" s="139">
        <f>+Componente_1_MR!F5</f>
        <v>711000</v>
      </c>
      <c r="G5" s="139">
        <f>+Componente_1_MR!G5</f>
        <v>156420</v>
      </c>
      <c r="H5" s="142">
        <f t="shared" ref="H5" si="2">+G5+F5</f>
        <v>867420</v>
      </c>
      <c r="I5" s="144">
        <f>+Componente_1_MR!I5</f>
        <v>20000</v>
      </c>
      <c r="J5" s="142">
        <f>+Componente_1_MR!J5</f>
        <v>4400</v>
      </c>
      <c r="K5" s="144">
        <f>+Componente_1_MR!K5</f>
        <v>127000</v>
      </c>
      <c r="L5" s="142">
        <f>+Componente_1_MR!L5</f>
        <v>27940</v>
      </c>
      <c r="M5" s="144">
        <f>+Componente_1_MR!M5</f>
        <v>111600</v>
      </c>
      <c r="N5" s="142">
        <f>+Componente_1_MR!N5</f>
        <v>24552</v>
      </c>
      <c r="O5" s="144">
        <f>+Componente_1_MR!O5</f>
        <v>127400</v>
      </c>
      <c r="P5" s="142">
        <f>+Componente_1_MR!P5</f>
        <v>28028</v>
      </c>
      <c r="Q5" s="144">
        <f>+Componente_1_MR!Q5</f>
        <v>125200</v>
      </c>
      <c r="R5" s="142">
        <f>+Componente_1_MR!R5</f>
        <v>27544</v>
      </c>
      <c r="S5" s="144">
        <f>+Componente_1_MR!S5</f>
        <v>83600</v>
      </c>
      <c r="T5" s="142">
        <f>+Componente_1_MR!T5</f>
        <v>18392</v>
      </c>
      <c r="U5" s="144">
        <f>+Componente_1_MR!U5</f>
        <v>60400</v>
      </c>
      <c r="V5" s="142">
        <f>+Componente_1_MR!V5</f>
        <v>13288</v>
      </c>
      <c r="W5" s="144">
        <f>+Componente_1_MR!W5</f>
        <v>50400</v>
      </c>
      <c r="X5" s="142">
        <f>+Componente_1_MR!X5</f>
        <v>11088</v>
      </c>
      <c r="Y5" s="144">
        <f>+Componente_1_MR!Y5</f>
        <v>5400</v>
      </c>
      <c r="Z5" s="142">
        <f>+Componente_1_MR!Z5</f>
        <v>1188</v>
      </c>
      <c r="AA5" s="144">
        <f>+Componente_1_MR!AA5</f>
        <v>0</v>
      </c>
      <c r="AB5" s="142">
        <f>+Componente_1_MR!AB5</f>
        <v>0</v>
      </c>
      <c r="AC5" s="7">
        <f t="shared" si="1"/>
        <v>867420</v>
      </c>
    </row>
    <row r="6" spans="1:29" s="264" customFormat="1" ht="34.5" customHeight="1" x14ac:dyDescent="0.25">
      <c r="A6" s="262" t="s">
        <v>146</v>
      </c>
      <c r="B6" s="263"/>
      <c r="C6" s="6"/>
      <c r="D6" s="6"/>
      <c r="E6" s="139" t="e">
        <f>+#REF!+#REF!+#REF!+#REF!+#REF!</f>
        <v>#REF!</v>
      </c>
      <c r="F6" s="139">
        <f>+Componente_1_MR!F24</f>
        <v>610000</v>
      </c>
      <c r="G6" s="139">
        <f>+Componente_1_MR!G24</f>
        <v>134200</v>
      </c>
      <c r="H6" s="142">
        <f t="shared" ref="H6:H7" si="3">+G6+F6</f>
        <v>744200</v>
      </c>
      <c r="I6" s="144">
        <f>+Componente_1_MR!I24</f>
        <v>10000</v>
      </c>
      <c r="J6" s="142">
        <f>+Componente_1_MR!J24</f>
        <v>2200</v>
      </c>
      <c r="K6" s="144">
        <f>+Componente_1_MR!K24</f>
        <v>127000</v>
      </c>
      <c r="L6" s="142">
        <f>+Componente_1_MR!L24</f>
        <v>27940</v>
      </c>
      <c r="M6" s="144">
        <f>+Componente_1_MR!M24</f>
        <v>140000</v>
      </c>
      <c r="N6" s="142">
        <f>+Componente_1_MR!N24</f>
        <v>30800</v>
      </c>
      <c r="O6" s="144">
        <f>+Componente_1_MR!O24</f>
        <v>140000</v>
      </c>
      <c r="P6" s="142">
        <f>+Componente_1_MR!P24</f>
        <v>30800</v>
      </c>
      <c r="Q6" s="144">
        <f>+Componente_1_MR!Q24</f>
        <v>117000</v>
      </c>
      <c r="R6" s="142">
        <f>+Componente_1_MR!R24</f>
        <v>25740</v>
      </c>
      <c r="S6" s="144">
        <f>+Componente_1_MR!S24</f>
        <v>26000</v>
      </c>
      <c r="T6" s="142">
        <f>+Componente_1_MR!T24</f>
        <v>5720</v>
      </c>
      <c r="U6" s="144">
        <f>+Componente_1_MR!U24</f>
        <v>30000</v>
      </c>
      <c r="V6" s="142">
        <f>+Componente_1_MR!V24</f>
        <v>6600</v>
      </c>
      <c r="W6" s="144">
        <f>+Componente_1_MR!W24</f>
        <v>20000</v>
      </c>
      <c r="X6" s="142">
        <f>+Componente_1_MR!X24</f>
        <v>4400</v>
      </c>
      <c r="Y6" s="144">
        <f>+Componente_1_MR!Y24</f>
        <v>0</v>
      </c>
      <c r="Z6" s="142">
        <f>+Componente_1_MR!Z24</f>
        <v>0</v>
      </c>
      <c r="AA6" s="144">
        <f>+Componente_1_MR!AA24</f>
        <v>0</v>
      </c>
      <c r="AB6" s="142">
        <f>+Componente_1_MR!AB24</f>
        <v>0</v>
      </c>
      <c r="AC6" s="7">
        <f t="shared" si="1"/>
        <v>744200</v>
      </c>
    </row>
    <row r="7" spans="1:29" s="264" customFormat="1" ht="24" customHeight="1" x14ac:dyDescent="0.25">
      <c r="A7" s="262" t="s">
        <v>154</v>
      </c>
      <c r="B7" s="263"/>
      <c r="C7" s="6"/>
      <c r="D7" s="6"/>
      <c r="E7" s="139" t="e">
        <f>+#REF!+#REF!+#REF!</f>
        <v>#REF!</v>
      </c>
      <c r="F7" s="139">
        <f>+Componente_1_MR!F32</f>
        <v>845000</v>
      </c>
      <c r="G7" s="139">
        <f>+Componente_1_MR!G32</f>
        <v>185900</v>
      </c>
      <c r="H7" s="142">
        <f t="shared" si="3"/>
        <v>1030900</v>
      </c>
      <c r="I7" s="144">
        <f>+Componente_1_MR!I32</f>
        <v>45000</v>
      </c>
      <c r="J7" s="142">
        <f>+Componente_1_MR!J32</f>
        <v>9900</v>
      </c>
      <c r="K7" s="144">
        <f>+Componente_1_MR!K32</f>
        <v>231000</v>
      </c>
      <c r="L7" s="142">
        <f>+Componente_1_MR!L32</f>
        <v>50820</v>
      </c>
      <c r="M7" s="144">
        <f>+Componente_1_MR!M32</f>
        <v>218000</v>
      </c>
      <c r="N7" s="142">
        <f>+Componente_1_MR!N32</f>
        <v>47960</v>
      </c>
      <c r="O7" s="144">
        <f>+Componente_1_MR!O32</f>
        <v>175200</v>
      </c>
      <c r="P7" s="142">
        <f>+Componente_1_MR!P32</f>
        <v>38544</v>
      </c>
      <c r="Q7" s="144">
        <f>+Componente_1_MR!Q32</f>
        <v>75000</v>
      </c>
      <c r="R7" s="142">
        <f>+Componente_1_MR!R32</f>
        <v>16500</v>
      </c>
      <c r="S7" s="144">
        <f>+Componente_1_MR!S32</f>
        <v>25200</v>
      </c>
      <c r="T7" s="142">
        <f>+Componente_1_MR!T32</f>
        <v>5544</v>
      </c>
      <c r="U7" s="144">
        <f>+Componente_1_MR!U32</f>
        <v>0</v>
      </c>
      <c r="V7" s="142">
        <f>+Componente_1_MR!V32</f>
        <v>0</v>
      </c>
      <c r="W7" s="144">
        <f>+Componente_1_MR!W32</f>
        <v>75600</v>
      </c>
      <c r="X7" s="142">
        <f>+Componente_1_MR!X32</f>
        <v>16632</v>
      </c>
      <c r="Y7" s="144">
        <f>+Componente_1_MR!Y32</f>
        <v>0</v>
      </c>
      <c r="Z7" s="142">
        <f>+Componente_1_MR!Z32</f>
        <v>0</v>
      </c>
      <c r="AA7" s="144">
        <f>+Componente_1_MR!AA32</f>
        <v>0</v>
      </c>
      <c r="AB7" s="142">
        <f>+Componente_1_MR!AB32</f>
        <v>0</v>
      </c>
      <c r="AC7" s="7">
        <f t="shared" si="1"/>
        <v>1030900</v>
      </c>
    </row>
    <row r="8" spans="1:29" s="264" customFormat="1" ht="20.25" customHeight="1" x14ac:dyDescent="0.25">
      <c r="A8" s="262" t="s">
        <v>177</v>
      </c>
      <c r="B8" s="263"/>
      <c r="C8" s="6"/>
      <c r="D8" s="6"/>
      <c r="E8" s="139" t="e">
        <f>+#REF!+#REF!+#REF!+#REF!+#REF!+#REF!</f>
        <v>#REF!</v>
      </c>
      <c r="F8" s="139">
        <f>+Componente_1_MR!F48</f>
        <v>1014000</v>
      </c>
      <c r="G8" s="139">
        <f>+Componente_1_MR!G48</f>
        <v>125480</v>
      </c>
      <c r="H8" s="142">
        <f t="shared" ref="H8" si="4">+G8+F8</f>
        <v>1139480</v>
      </c>
      <c r="I8" s="144">
        <f>+Componente_1_MR!I48</f>
        <v>10000</v>
      </c>
      <c r="J8" s="142">
        <f>+Componente_1_MR!J48</f>
        <v>2200</v>
      </c>
      <c r="K8" s="144">
        <f>+Componente_1_MR!K48</f>
        <v>30000</v>
      </c>
      <c r="L8" s="142">
        <f>+Componente_1_MR!L48</f>
        <v>6600</v>
      </c>
      <c r="M8" s="144">
        <f>+Componente_1_MR!M48</f>
        <v>142000</v>
      </c>
      <c r="N8" s="142">
        <f>+Componente_1_MR!N48</f>
        <v>24040</v>
      </c>
      <c r="O8" s="144">
        <f>+Componente_1_MR!O48</f>
        <v>142000</v>
      </c>
      <c r="P8" s="142">
        <f>+Componente_1_MR!P48</f>
        <v>24040</v>
      </c>
      <c r="Q8" s="144">
        <f>+Componente_1_MR!Q48</f>
        <v>220400</v>
      </c>
      <c r="R8" s="142">
        <f>+Componente_1_MR!R48</f>
        <v>37688</v>
      </c>
      <c r="S8" s="144">
        <f>+Componente_1_MR!S48</f>
        <v>357600</v>
      </c>
      <c r="T8" s="142">
        <f>+Componente_1_MR!T48</f>
        <v>22192</v>
      </c>
      <c r="U8" s="144">
        <f>+Componente_1_MR!U48</f>
        <v>112000</v>
      </c>
      <c r="V8" s="142">
        <f>+Componente_1_MR!V48</f>
        <v>8720</v>
      </c>
      <c r="W8" s="144">
        <f>+Componente_1_MR!W48</f>
        <v>0</v>
      </c>
      <c r="X8" s="142">
        <f>+Componente_1_MR!X48</f>
        <v>0</v>
      </c>
      <c r="Y8" s="144">
        <f>+Componente_1_MR!Y48</f>
        <v>0</v>
      </c>
      <c r="Z8" s="142">
        <f>+Componente_1_MR!Z48</f>
        <v>0</v>
      </c>
      <c r="AA8" s="144">
        <f>+Componente_1_MR!AA48</f>
        <v>0</v>
      </c>
      <c r="AB8" s="142">
        <f>+Componente_1_MR!AB48</f>
        <v>0</v>
      </c>
      <c r="AC8" s="7">
        <f t="shared" si="1"/>
        <v>1139480</v>
      </c>
    </row>
    <row r="9" spans="1:29" s="264" customFormat="1" ht="19.5" customHeight="1" x14ac:dyDescent="0.25">
      <c r="A9" s="262" t="s">
        <v>178</v>
      </c>
      <c r="B9" s="263"/>
      <c r="C9" s="6"/>
      <c r="D9" s="6"/>
      <c r="E9" s="139" t="e">
        <f>+#REF!+#REF!+#REF!</f>
        <v>#REF!</v>
      </c>
      <c r="F9" s="139">
        <f>+Componente_1_MR!F61</f>
        <v>320000</v>
      </c>
      <c r="G9" s="139">
        <f>+Componente_1_MR!G61</f>
        <v>70400</v>
      </c>
      <c r="H9" s="142">
        <f t="shared" ref="H9" si="5">+G9+F9</f>
        <v>390400</v>
      </c>
      <c r="I9" s="144">
        <f>+Componente_1_MR!I61</f>
        <v>5000</v>
      </c>
      <c r="J9" s="142">
        <f>+Componente_1_MR!J61</f>
        <v>1100</v>
      </c>
      <c r="K9" s="144">
        <f>+Componente_1_MR!K61</f>
        <v>30000</v>
      </c>
      <c r="L9" s="142">
        <f>+Componente_1_MR!L61</f>
        <v>6600</v>
      </c>
      <c r="M9" s="144">
        <f>+Componente_1_MR!M61</f>
        <v>30000</v>
      </c>
      <c r="N9" s="142">
        <f>+Componente_1_MR!N61</f>
        <v>6600</v>
      </c>
      <c r="O9" s="144">
        <f>+Componente_1_MR!O61</f>
        <v>157000</v>
      </c>
      <c r="P9" s="142">
        <f>+Componente_1_MR!P61</f>
        <v>34540</v>
      </c>
      <c r="Q9" s="144">
        <f>+Componente_1_MR!Q61</f>
        <v>98000</v>
      </c>
      <c r="R9" s="142">
        <f>+Componente_1_MR!R61</f>
        <v>21560</v>
      </c>
      <c r="S9" s="144">
        <f>+Componente_1_MR!S61</f>
        <v>0</v>
      </c>
      <c r="T9" s="142">
        <f>+Componente_1_MR!T61</f>
        <v>0</v>
      </c>
      <c r="U9" s="144">
        <f>+Componente_1_MR!U61</f>
        <v>0</v>
      </c>
      <c r="V9" s="142">
        <f>+Componente_1_MR!V61</f>
        <v>0</v>
      </c>
      <c r="W9" s="144">
        <f>+Componente_1_MR!W61</f>
        <v>0</v>
      </c>
      <c r="X9" s="142">
        <f>+Componente_1_MR!X61</f>
        <v>0</v>
      </c>
      <c r="Y9" s="144">
        <f>+Componente_1_MR!Y61</f>
        <v>0</v>
      </c>
      <c r="Z9" s="142">
        <f>+Componente_1_MR!Z61</f>
        <v>0</v>
      </c>
      <c r="AA9" s="144">
        <f>+Componente_1_MR!AA61</f>
        <v>0</v>
      </c>
      <c r="AB9" s="142">
        <f>+Componente_1_MR!AB61</f>
        <v>0</v>
      </c>
      <c r="AC9" s="7">
        <f t="shared" si="1"/>
        <v>390400</v>
      </c>
    </row>
    <row r="10" spans="1:29" ht="26.25" customHeight="1" x14ac:dyDescent="0.25">
      <c r="A10" s="277" t="s">
        <v>188</v>
      </c>
      <c r="B10" s="278"/>
      <c r="C10" s="278"/>
      <c r="D10" s="278"/>
      <c r="E10" s="278"/>
      <c r="F10" s="182">
        <f>+F11+F14</f>
        <v>1420000</v>
      </c>
      <c r="G10" s="182">
        <f>+G11+G14</f>
        <v>420000</v>
      </c>
      <c r="H10" s="252">
        <f>G10+F10</f>
        <v>1840000</v>
      </c>
      <c r="I10" s="184">
        <f t="shared" ref="I10:AB10" si="6">+I11+I14</f>
        <v>4000</v>
      </c>
      <c r="J10" s="186">
        <f t="shared" si="6"/>
        <v>880</v>
      </c>
      <c r="K10" s="184">
        <f t="shared" si="6"/>
        <v>372000</v>
      </c>
      <c r="L10" s="188">
        <f t="shared" si="6"/>
        <v>167920</v>
      </c>
      <c r="M10" s="184">
        <f t="shared" si="6"/>
        <v>114000</v>
      </c>
      <c r="N10" s="186">
        <f t="shared" si="6"/>
        <v>46600</v>
      </c>
      <c r="O10" s="184">
        <f t="shared" si="6"/>
        <v>70000</v>
      </c>
      <c r="P10" s="188">
        <f t="shared" si="6"/>
        <v>15400</v>
      </c>
      <c r="Q10" s="184">
        <f t="shared" si="6"/>
        <v>50000</v>
      </c>
      <c r="R10" s="186">
        <f t="shared" si="6"/>
        <v>11000</v>
      </c>
      <c r="S10" s="184">
        <f t="shared" si="6"/>
        <v>98000</v>
      </c>
      <c r="T10" s="188">
        <f t="shared" si="6"/>
        <v>21560</v>
      </c>
      <c r="U10" s="184">
        <f t="shared" si="6"/>
        <v>168000</v>
      </c>
      <c r="V10" s="186">
        <f t="shared" si="6"/>
        <v>36960</v>
      </c>
      <c r="W10" s="184">
        <f t="shared" si="6"/>
        <v>164000</v>
      </c>
      <c r="X10" s="188">
        <f t="shared" si="6"/>
        <v>36080</v>
      </c>
      <c r="Y10" s="184">
        <f t="shared" si="6"/>
        <v>200000</v>
      </c>
      <c r="Z10" s="186">
        <f t="shared" si="6"/>
        <v>44000</v>
      </c>
      <c r="AA10" s="184">
        <f t="shared" si="6"/>
        <v>180000</v>
      </c>
      <c r="AB10" s="188">
        <f t="shared" si="6"/>
        <v>39600</v>
      </c>
      <c r="AC10" s="253">
        <f t="shared" si="1"/>
        <v>1840000</v>
      </c>
    </row>
    <row r="11" spans="1:29" s="27" customFormat="1" ht="22.5" customHeight="1" x14ac:dyDescent="0.25">
      <c r="A11" s="287" t="s">
        <v>189</v>
      </c>
      <c r="B11" s="288"/>
      <c r="C11" s="288"/>
      <c r="D11" s="288"/>
      <c r="E11" s="147"/>
      <c r="F11" s="250">
        <f>+F12+F13</f>
        <v>620000</v>
      </c>
      <c r="G11" s="250">
        <f>+G12+G13</f>
        <v>136400</v>
      </c>
      <c r="H11" s="195">
        <f>+G11+F11</f>
        <v>756400</v>
      </c>
      <c r="I11" s="194">
        <f t="shared" ref="I11:AC11" si="7">+I12+I13</f>
        <v>4000</v>
      </c>
      <c r="J11" s="195">
        <f t="shared" si="7"/>
        <v>880</v>
      </c>
      <c r="K11" s="194">
        <f t="shared" si="7"/>
        <v>10000</v>
      </c>
      <c r="L11" s="229">
        <f t="shared" si="7"/>
        <v>2200</v>
      </c>
      <c r="M11" s="194">
        <f t="shared" si="7"/>
        <v>6000</v>
      </c>
      <c r="N11" s="195">
        <f t="shared" si="7"/>
        <v>1320</v>
      </c>
      <c r="O11" s="194">
        <f t="shared" si="7"/>
        <v>0</v>
      </c>
      <c r="P11" s="229">
        <f t="shared" si="7"/>
        <v>0</v>
      </c>
      <c r="Q11" s="194">
        <f t="shared" si="7"/>
        <v>30000</v>
      </c>
      <c r="R11" s="195">
        <f t="shared" si="7"/>
        <v>6600</v>
      </c>
      <c r="S11" s="194">
        <f t="shared" si="7"/>
        <v>90000</v>
      </c>
      <c r="T11" s="229">
        <f t="shared" si="7"/>
        <v>19800</v>
      </c>
      <c r="U11" s="194">
        <f t="shared" si="7"/>
        <v>90000</v>
      </c>
      <c r="V11" s="195">
        <f t="shared" si="7"/>
        <v>19800</v>
      </c>
      <c r="W11" s="194">
        <f t="shared" si="7"/>
        <v>120000</v>
      </c>
      <c r="X11" s="229">
        <f t="shared" si="7"/>
        <v>26400</v>
      </c>
      <c r="Y11" s="194">
        <f t="shared" si="7"/>
        <v>90000</v>
      </c>
      <c r="Z11" s="195">
        <f t="shared" si="7"/>
        <v>19800</v>
      </c>
      <c r="AA11" s="194">
        <f t="shared" si="7"/>
        <v>180000</v>
      </c>
      <c r="AB11" s="229">
        <f t="shared" si="7"/>
        <v>39600</v>
      </c>
      <c r="AC11" s="196">
        <f t="shared" si="7"/>
        <v>756400</v>
      </c>
    </row>
    <row r="12" spans="1:29" s="264" customFormat="1" ht="19.5" customHeight="1" x14ac:dyDescent="0.25">
      <c r="A12" s="262" t="s">
        <v>175</v>
      </c>
      <c r="B12" s="263"/>
      <c r="C12" s="6"/>
      <c r="D12" s="6"/>
      <c r="E12" s="139"/>
      <c r="F12" s="139">
        <f>+Componente_2!F6</f>
        <v>320000</v>
      </c>
      <c r="G12" s="139">
        <f>+Componente_2!G6</f>
        <v>70400</v>
      </c>
      <c r="H12" s="142">
        <f>+G12+F12</f>
        <v>390400</v>
      </c>
      <c r="I12" s="144">
        <f>+Componente_2!I6</f>
        <v>4000</v>
      </c>
      <c r="J12" s="142">
        <f>+Componente_2!J6</f>
        <v>880</v>
      </c>
      <c r="K12" s="144">
        <f>+Componente_2!K6</f>
        <v>10000</v>
      </c>
      <c r="L12" s="142">
        <f>+Componente_2!L6</f>
        <v>2200</v>
      </c>
      <c r="M12" s="144">
        <f>+Componente_2!M6</f>
        <v>6000</v>
      </c>
      <c r="N12" s="142">
        <f>+Componente_2!N6</f>
        <v>1320</v>
      </c>
      <c r="O12" s="144">
        <f>+Componente_2!O6</f>
        <v>0</v>
      </c>
      <c r="P12" s="142">
        <f>+Componente_2!P6</f>
        <v>0</v>
      </c>
      <c r="Q12" s="144">
        <f>+Componente_2!Q6</f>
        <v>0</v>
      </c>
      <c r="R12" s="142">
        <f>+Componente_2!R6</f>
        <v>0</v>
      </c>
      <c r="S12" s="144">
        <f>+Componente_2!S6</f>
        <v>30000</v>
      </c>
      <c r="T12" s="142">
        <f>+Componente_2!T6</f>
        <v>6600</v>
      </c>
      <c r="U12" s="144">
        <f>+Componente_2!U6</f>
        <v>30000</v>
      </c>
      <c r="V12" s="142">
        <f>+Componente_2!V6</f>
        <v>6600</v>
      </c>
      <c r="W12" s="144">
        <f>+Componente_2!W6</f>
        <v>90000</v>
      </c>
      <c r="X12" s="142">
        <f>+Componente_2!X6</f>
        <v>19800</v>
      </c>
      <c r="Y12" s="144">
        <f>+Componente_2!Y6</f>
        <v>60000</v>
      </c>
      <c r="Z12" s="142">
        <f>+Componente_2!Z6</f>
        <v>13200</v>
      </c>
      <c r="AA12" s="144">
        <f>+Componente_2!AA6</f>
        <v>90000</v>
      </c>
      <c r="AB12" s="142">
        <f>+Componente_2!AB6</f>
        <v>19800</v>
      </c>
      <c r="AC12" s="7">
        <f>SUM(I12:AB12)</f>
        <v>390400</v>
      </c>
    </row>
    <row r="13" spans="1:29" s="264" customFormat="1" ht="19.5" customHeight="1" x14ac:dyDescent="0.25">
      <c r="A13" s="262" t="s">
        <v>170</v>
      </c>
      <c r="B13" s="263" t="s">
        <v>26</v>
      </c>
      <c r="C13" s="6">
        <v>300000</v>
      </c>
      <c r="D13" s="6">
        <v>1</v>
      </c>
      <c r="E13" s="139">
        <f>+D13*C13</f>
        <v>300000</v>
      </c>
      <c r="F13" s="139">
        <f>+Componente_2!F9</f>
        <v>300000</v>
      </c>
      <c r="G13" s="139">
        <f>+Componente_2!G9</f>
        <v>66000</v>
      </c>
      <c r="H13" s="142">
        <f>+G13+F13</f>
        <v>366000</v>
      </c>
      <c r="I13" s="144">
        <f>+Componente_2!I9</f>
        <v>0</v>
      </c>
      <c r="J13" s="142">
        <f>+Componente_2!J9</f>
        <v>0</v>
      </c>
      <c r="K13" s="144">
        <f>+Componente_2!K9</f>
        <v>0</v>
      </c>
      <c r="L13" s="142">
        <f>+Componente_2!L9</f>
        <v>0</v>
      </c>
      <c r="M13" s="144">
        <f>+Componente_2!M9</f>
        <v>0</v>
      </c>
      <c r="N13" s="142">
        <f>+Componente_2!N9</f>
        <v>0</v>
      </c>
      <c r="O13" s="144">
        <f>+Componente_2!O9</f>
        <v>0</v>
      </c>
      <c r="P13" s="142">
        <f>+Componente_2!P9</f>
        <v>0</v>
      </c>
      <c r="Q13" s="144">
        <f>+Componente_2!Q9</f>
        <v>30000</v>
      </c>
      <c r="R13" s="142">
        <f>+Componente_2!R9</f>
        <v>6600</v>
      </c>
      <c r="S13" s="144">
        <f>+Componente_2!S9</f>
        <v>60000</v>
      </c>
      <c r="T13" s="142">
        <f>+Componente_2!T9</f>
        <v>13200</v>
      </c>
      <c r="U13" s="144">
        <f>+Componente_2!U9</f>
        <v>60000</v>
      </c>
      <c r="V13" s="142">
        <f>+Componente_2!V9</f>
        <v>13200</v>
      </c>
      <c r="W13" s="144">
        <f>+Componente_2!W9</f>
        <v>30000</v>
      </c>
      <c r="X13" s="142">
        <f>+Componente_2!X9</f>
        <v>6600</v>
      </c>
      <c r="Y13" s="144">
        <f>+Componente_2!Y9</f>
        <v>30000</v>
      </c>
      <c r="Z13" s="142">
        <f>+Componente_2!Z9</f>
        <v>6600</v>
      </c>
      <c r="AA13" s="144">
        <f>+Componente_2!AA9</f>
        <v>90000</v>
      </c>
      <c r="AB13" s="142">
        <f>+Componente_2!AB9</f>
        <v>19800</v>
      </c>
      <c r="AC13" s="7">
        <f>SUM(I13:AB13)</f>
        <v>366000</v>
      </c>
    </row>
    <row r="14" spans="1:29" ht="22.5" customHeight="1" x14ac:dyDescent="0.25">
      <c r="A14" s="287" t="s">
        <v>190</v>
      </c>
      <c r="B14" s="288"/>
      <c r="C14" s="288"/>
      <c r="D14" s="288"/>
      <c r="E14" s="149" t="e">
        <f>+E15+E16</f>
        <v>#REF!</v>
      </c>
      <c r="F14" s="250">
        <f>+F15+F16</f>
        <v>800000</v>
      </c>
      <c r="G14" s="250">
        <f>+G15+G16</f>
        <v>283600</v>
      </c>
      <c r="H14" s="195">
        <f>+G14+F14</f>
        <v>1083600</v>
      </c>
      <c r="I14" s="194">
        <f t="shared" ref="I14:AC14" si="8">+I15+I16</f>
        <v>0</v>
      </c>
      <c r="J14" s="195">
        <f t="shared" si="8"/>
        <v>0</v>
      </c>
      <c r="K14" s="194">
        <f t="shared" si="8"/>
        <v>362000</v>
      </c>
      <c r="L14" s="229">
        <f t="shared" si="8"/>
        <v>165720</v>
      </c>
      <c r="M14" s="194">
        <f t="shared" si="8"/>
        <v>108000</v>
      </c>
      <c r="N14" s="195">
        <f t="shared" si="8"/>
        <v>45280</v>
      </c>
      <c r="O14" s="194">
        <f t="shared" si="8"/>
        <v>70000</v>
      </c>
      <c r="P14" s="229">
        <f t="shared" si="8"/>
        <v>15400</v>
      </c>
      <c r="Q14" s="194">
        <f t="shared" si="8"/>
        <v>20000</v>
      </c>
      <c r="R14" s="195">
        <f t="shared" si="8"/>
        <v>4400</v>
      </c>
      <c r="S14" s="194">
        <f t="shared" si="8"/>
        <v>8000</v>
      </c>
      <c r="T14" s="229">
        <f t="shared" si="8"/>
        <v>1760</v>
      </c>
      <c r="U14" s="194">
        <f t="shared" si="8"/>
        <v>78000</v>
      </c>
      <c r="V14" s="195">
        <f t="shared" si="8"/>
        <v>17160</v>
      </c>
      <c r="W14" s="194">
        <f t="shared" si="8"/>
        <v>44000</v>
      </c>
      <c r="X14" s="229">
        <f t="shared" si="8"/>
        <v>9680</v>
      </c>
      <c r="Y14" s="194">
        <f t="shared" si="8"/>
        <v>110000</v>
      </c>
      <c r="Z14" s="195">
        <f t="shared" si="8"/>
        <v>24200</v>
      </c>
      <c r="AA14" s="194">
        <f t="shared" si="8"/>
        <v>0</v>
      </c>
      <c r="AB14" s="229">
        <f t="shared" si="8"/>
        <v>0</v>
      </c>
      <c r="AC14" s="196">
        <f t="shared" si="8"/>
        <v>1083600</v>
      </c>
    </row>
    <row r="15" spans="1:29" s="264" customFormat="1" ht="26.25" customHeight="1" x14ac:dyDescent="0.25">
      <c r="A15" s="262" t="s">
        <v>171</v>
      </c>
      <c r="B15" s="263"/>
      <c r="C15" s="6"/>
      <c r="D15" s="6"/>
      <c r="E15" s="139" t="e">
        <f>+#REF!</f>
        <v>#REF!</v>
      </c>
      <c r="F15" s="139">
        <f>+Componente_2!F12</f>
        <v>400000</v>
      </c>
      <c r="G15" s="139">
        <f>+Componente_2!G12</f>
        <v>88000</v>
      </c>
      <c r="H15" s="142">
        <f t="shared" ref="H15" si="9">+G15+F15</f>
        <v>488000</v>
      </c>
      <c r="I15" s="144">
        <f>+Componente_2!I12</f>
        <v>0</v>
      </c>
      <c r="J15" s="142">
        <f>+Componente_2!J12</f>
        <v>0</v>
      </c>
      <c r="K15" s="144">
        <f>+Componente_2!K12</f>
        <v>42000</v>
      </c>
      <c r="L15" s="142">
        <f>+Componente_2!L12</f>
        <v>9240</v>
      </c>
      <c r="M15" s="144">
        <f>+Componente_2!M12</f>
        <v>28000</v>
      </c>
      <c r="N15" s="142">
        <f>+Componente_2!N12</f>
        <v>6160</v>
      </c>
      <c r="O15" s="144">
        <f>+Componente_2!O12</f>
        <v>70000</v>
      </c>
      <c r="P15" s="142">
        <f>+Componente_2!P12</f>
        <v>15400</v>
      </c>
      <c r="Q15" s="144">
        <f>+Componente_2!Q12</f>
        <v>20000</v>
      </c>
      <c r="R15" s="142">
        <f>+Componente_2!R12</f>
        <v>4400</v>
      </c>
      <c r="S15" s="144">
        <f>+Componente_2!S12</f>
        <v>8000</v>
      </c>
      <c r="T15" s="142">
        <f>+Componente_2!T12</f>
        <v>1760</v>
      </c>
      <c r="U15" s="144">
        <f>+Componente_2!U12</f>
        <v>78000</v>
      </c>
      <c r="V15" s="142">
        <f>+Componente_2!V12</f>
        <v>17160</v>
      </c>
      <c r="W15" s="144">
        <f>+Componente_2!W12</f>
        <v>44000</v>
      </c>
      <c r="X15" s="142">
        <f>+Componente_2!X12</f>
        <v>9680</v>
      </c>
      <c r="Y15" s="144">
        <f>+Componente_2!Y12</f>
        <v>110000</v>
      </c>
      <c r="Z15" s="142">
        <f>+Componente_2!Z12</f>
        <v>24200</v>
      </c>
      <c r="AA15" s="144">
        <f>+Componente_2!AA12</f>
        <v>0</v>
      </c>
      <c r="AB15" s="142">
        <f>+Componente_2!AB12</f>
        <v>0</v>
      </c>
      <c r="AC15" s="7">
        <f>SUM(I15:AB15)</f>
        <v>488000</v>
      </c>
    </row>
    <row r="16" spans="1:29" s="264" customFormat="1" ht="28.5" customHeight="1" x14ac:dyDescent="0.25">
      <c r="A16" s="262" t="s">
        <v>176</v>
      </c>
      <c r="B16" s="263" t="s">
        <v>44</v>
      </c>
      <c r="C16" s="6">
        <v>400000</v>
      </c>
      <c r="D16" s="6">
        <v>1</v>
      </c>
      <c r="E16" s="139">
        <f>+D16*C16</f>
        <v>400000</v>
      </c>
      <c r="F16" s="139">
        <f>+Componente_2!F19</f>
        <v>400000</v>
      </c>
      <c r="G16" s="139">
        <f>+Componente_2!G19</f>
        <v>195600</v>
      </c>
      <c r="H16" s="142">
        <f>+G16+F16</f>
        <v>595600</v>
      </c>
      <c r="I16" s="144">
        <f>+Componente_2!I19</f>
        <v>0</v>
      </c>
      <c r="J16" s="142">
        <f>+Componente_2!J19</f>
        <v>0</v>
      </c>
      <c r="K16" s="144">
        <f>+Componente_2!K19</f>
        <v>320000</v>
      </c>
      <c r="L16" s="142">
        <f>+Componente_2!L19</f>
        <v>156480</v>
      </c>
      <c r="M16" s="144">
        <f>+Componente_2!M19</f>
        <v>80000</v>
      </c>
      <c r="N16" s="142">
        <f>+Componente_2!N19</f>
        <v>39120</v>
      </c>
      <c r="O16" s="144">
        <f>+Componente_2!O19</f>
        <v>0</v>
      </c>
      <c r="P16" s="142">
        <f>+Componente_2!P19</f>
        <v>0</v>
      </c>
      <c r="Q16" s="144">
        <f>+Componente_2!Q19</f>
        <v>0</v>
      </c>
      <c r="R16" s="142">
        <f>+Componente_2!R19</f>
        <v>0</v>
      </c>
      <c r="S16" s="144">
        <f>+Componente_2!S19</f>
        <v>0</v>
      </c>
      <c r="T16" s="142">
        <f>+Componente_2!T19</f>
        <v>0</v>
      </c>
      <c r="U16" s="144">
        <f>+Componente_2!U19</f>
        <v>0</v>
      </c>
      <c r="V16" s="142">
        <f>+Componente_2!V19</f>
        <v>0</v>
      </c>
      <c r="W16" s="144">
        <f>+Componente_2!W19</f>
        <v>0</v>
      </c>
      <c r="X16" s="142">
        <f>+Componente_2!X19</f>
        <v>0</v>
      </c>
      <c r="Y16" s="144">
        <f>+Componente_2!Y19</f>
        <v>0</v>
      </c>
      <c r="Z16" s="142">
        <f>+Componente_2!Z19</f>
        <v>0</v>
      </c>
      <c r="AA16" s="144">
        <f>+Componente_2!AA19</f>
        <v>0</v>
      </c>
      <c r="AB16" s="142">
        <f>+Componente_2!AB19</f>
        <v>0</v>
      </c>
      <c r="AC16" s="7">
        <f>SUM(I16:AB16)</f>
        <v>595600</v>
      </c>
    </row>
    <row r="17" spans="1:29" ht="19.5" customHeight="1" x14ac:dyDescent="0.25">
      <c r="A17" s="277" t="s">
        <v>2</v>
      </c>
      <c r="B17" s="278"/>
      <c r="C17" s="278"/>
      <c r="D17" s="278"/>
      <c r="E17" s="278"/>
      <c r="F17" s="182">
        <f>+Administracion!F14</f>
        <v>0</v>
      </c>
      <c r="G17" s="182">
        <f>+Administracion!G14</f>
        <v>850000</v>
      </c>
      <c r="H17" s="252">
        <f>G17+F17</f>
        <v>850000</v>
      </c>
      <c r="I17" s="184">
        <f>+Administracion!I14</f>
        <v>0</v>
      </c>
      <c r="J17" s="186">
        <f>+Administracion!J14</f>
        <v>85000</v>
      </c>
      <c r="K17" s="184">
        <f>+Administracion!K14</f>
        <v>0</v>
      </c>
      <c r="L17" s="186">
        <f>+Administracion!L14</f>
        <v>85000</v>
      </c>
      <c r="M17" s="184">
        <f>+Administracion!M14</f>
        <v>0</v>
      </c>
      <c r="N17" s="186">
        <f>+Administracion!N14</f>
        <v>85000</v>
      </c>
      <c r="O17" s="184">
        <f>+Administracion!O14</f>
        <v>0</v>
      </c>
      <c r="P17" s="186">
        <f>+Administracion!P14</f>
        <v>85000</v>
      </c>
      <c r="Q17" s="184">
        <f>+Administracion!Q14</f>
        <v>0</v>
      </c>
      <c r="R17" s="186">
        <f>+Administracion!R14</f>
        <v>85000</v>
      </c>
      <c r="S17" s="184">
        <f>+Administracion!S14</f>
        <v>0</v>
      </c>
      <c r="T17" s="186">
        <f>+Administracion!T14</f>
        <v>85000</v>
      </c>
      <c r="U17" s="184">
        <f>+Administracion!U14</f>
        <v>0</v>
      </c>
      <c r="V17" s="186">
        <f>+Administracion!V14</f>
        <v>85000</v>
      </c>
      <c r="W17" s="184">
        <f>+Administracion!W14</f>
        <v>0</v>
      </c>
      <c r="X17" s="186">
        <f>+Administracion!X14</f>
        <v>85000</v>
      </c>
      <c r="Y17" s="184">
        <f>+Administracion!Y14</f>
        <v>0</v>
      </c>
      <c r="Z17" s="186">
        <f>+Administracion!Z14</f>
        <v>85000</v>
      </c>
      <c r="AA17" s="184">
        <f>+Administracion!AA14</f>
        <v>0</v>
      </c>
      <c r="AB17" s="186">
        <f>+Administracion!AB14</f>
        <v>85000</v>
      </c>
      <c r="AC17" s="253">
        <f>SUM(I17:AB17)</f>
        <v>850000</v>
      </c>
    </row>
    <row r="18" spans="1:29" ht="19.5" customHeight="1" thickBot="1" x14ac:dyDescent="0.3">
      <c r="A18" s="279" t="s">
        <v>187</v>
      </c>
      <c r="B18" s="280"/>
      <c r="C18" s="280"/>
      <c r="D18" s="280"/>
      <c r="E18" s="280"/>
      <c r="F18" s="254">
        <f>+'Evaluación y Auditoria '!F10</f>
        <v>80000</v>
      </c>
      <c r="G18" s="254">
        <f>+'Evaluación y Auditoria '!G10</f>
        <v>57600</v>
      </c>
      <c r="H18" s="255">
        <f>G18+F18</f>
        <v>137600</v>
      </c>
      <c r="I18" s="256">
        <f>+'Evaluación y Auditoria '!I10</f>
        <v>0</v>
      </c>
      <c r="J18" s="257">
        <f>+'Evaluación y Auditoria '!J10</f>
        <v>0</v>
      </c>
      <c r="K18" s="256">
        <f>+'Evaluación y Auditoria '!K10</f>
        <v>0</v>
      </c>
      <c r="L18" s="257">
        <f>+'Evaluación y Auditoria '!L10</f>
        <v>0</v>
      </c>
      <c r="M18" s="256">
        <f>+'Evaluación y Auditoria '!M10</f>
        <v>0</v>
      </c>
      <c r="N18" s="257">
        <f>+'Evaluación y Auditoria '!N10</f>
        <v>0</v>
      </c>
      <c r="O18" s="256">
        <f>+'Evaluación y Auditoria '!O10</f>
        <v>0</v>
      </c>
      <c r="P18" s="257">
        <f>+'Evaluación y Auditoria '!P10</f>
        <v>10000</v>
      </c>
      <c r="Q18" s="256">
        <f>+'Evaluación y Auditoria '!Q10</f>
        <v>0</v>
      </c>
      <c r="R18" s="257">
        <f>+'Evaluación y Auditoria '!R10</f>
        <v>0</v>
      </c>
      <c r="S18" s="256">
        <f>+'Evaluación y Auditoria '!S10</f>
        <v>40000</v>
      </c>
      <c r="T18" s="257">
        <f>+'Evaluación y Auditoria '!T10</f>
        <v>18800</v>
      </c>
      <c r="U18" s="256">
        <f>+'Evaluación y Auditoria '!U10</f>
        <v>0</v>
      </c>
      <c r="V18" s="257">
        <f>+'Evaluación y Auditoria '!V10</f>
        <v>0</v>
      </c>
      <c r="W18" s="256">
        <f>+'Evaluación y Auditoria '!W10</f>
        <v>0</v>
      </c>
      <c r="X18" s="257">
        <f>+'Evaluación y Auditoria '!X10</f>
        <v>10000</v>
      </c>
      <c r="Y18" s="256">
        <f>+'Evaluación y Auditoria '!Y10</f>
        <v>8000</v>
      </c>
      <c r="Z18" s="257">
        <f>+'Evaluación y Auditoria '!Z10</f>
        <v>8800</v>
      </c>
      <c r="AA18" s="256">
        <f>+'Evaluación y Auditoria '!AA10</f>
        <v>32000</v>
      </c>
      <c r="AB18" s="257">
        <f>+'Evaluación y Auditoria '!AB10</f>
        <v>10000</v>
      </c>
      <c r="AC18" s="253">
        <f>SUM(I18:AB18)</f>
        <v>137600</v>
      </c>
    </row>
    <row r="19" spans="1:29" ht="19.5" customHeight="1" thickBot="1" x14ac:dyDescent="0.3">
      <c r="A19" s="281" t="s">
        <v>22</v>
      </c>
      <c r="B19" s="282"/>
      <c r="C19" s="282"/>
      <c r="D19" s="282"/>
      <c r="E19" s="282"/>
      <c r="F19" s="258">
        <f>+F18+F17+F10+F4</f>
        <v>5000000</v>
      </c>
      <c r="G19" s="258">
        <f>+G18+G17+G10+G4</f>
        <v>2000000</v>
      </c>
      <c r="H19" s="259">
        <f>G19+F19</f>
        <v>7000000</v>
      </c>
      <c r="I19" s="260">
        <f t="shared" ref="I19:AB19" si="10">+I4+I10+I17+I18</f>
        <v>94000</v>
      </c>
      <c r="J19" s="261">
        <f t="shared" si="10"/>
        <v>105680</v>
      </c>
      <c r="K19" s="260">
        <f t="shared" si="10"/>
        <v>917000</v>
      </c>
      <c r="L19" s="261">
        <f t="shared" si="10"/>
        <v>372820</v>
      </c>
      <c r="M19" s="260">
        <f t="shared" si="10"/>
        <v>755600</v>
      </c>
      <c r="N19" s="261">
        <f t="shared" si="10"/>
        <v>265552</v>
      </c>
      <c r="O19" s="260">
        <f t="shared" si="10"/>
        <v>811600</v>
      </c>
      <c r="P19" s="261">
        <f t="shared" si="10"/>
        <v>266352</v>
      </c>
      <c r="Q19" s="260">
        <f t="shared" si="10"/>
        <v>685600</v>
      </c>
      <c r="R19" s="261">
        <f t="shared" si="10"/>
        <v>225032</v>
      </c>
      <c r="S19" s="260">
        <f t="shared" si="10"/>
        <v>630400</v>
      </c>
      <c r="T19" s="261">
        <f t="shared" si="10"/>
        <v>177208</v>
      </c>
      <c r="U19" s="260">
        <f t="shared" si="10"/>
        <v>370400</v>
      </c>
      <c r="V19" s="261">
        <f t="shared" si="10"/>
        <v>150568</v>
      </c>
      <c r="W19" s="260">
        <f t="shared" si="10"/>
        <v>310000</v>
      </c>
      <c r="X19" s="261">
        <f t="shared" si="10"/>
        <v>163200</v>
      </c>
      <c r="Y19" s="260">
        <f t="shared" si="10"/>
        <v>213400</v>
      </c>
      <c r="Z19" s="261">
        <f t="shared" si="10"/>
        <v>138988</v>
      </c>
      <c r="AA19" s="260">
        <f t="shared" si="10"/>
        <v>212000</v>
      </c>
      <c r="AB19" s="261">
        <f t="shared" si="10"/>
        <v>134600</v>
      </c>
      <c r="AC19" s="249">
        <f>SUM(I19:AB19)</f>
        <v>7000000</v>
      </c>
    </row>
    <row r="20" spans="1:29" ht="15.75" thickBot="1" x14ac:dyDescent="0.3">
      <c r="B20" s="40"/>
      <c r="F20" s="211">
        <f>+F19/H19</f>
        <v>0.7142857142857143</v>
      </c>
      <c r="G20" s="212">
        <f>+G19/H19</f>
        <v>0.2857142857142857</v>
      </c>
      <c r="H20" s="220">
        <v>1</v>
      </c>
      <c r="I20" s="211">
        <f>+I19/$F$19</f>
        <v>1.8800000000000001E-2</v>
      </c>
      <c r="J20" s="212">
        <f>+J19/$G$19</f>
        <v>5.2839999999999998E-2</v>
      </c>
      <c r="K20" s="211">
        <f>+K19/$F$19</f>
        <v>0.18340000000000001</v>
      </c>
      <c r="L20" s="212">
        <f>+L19/$G$19</f>
        <v>0.18640999999999999</v>
      </c>
      <c r="M20" s="211">
        <f>+M19/$F$19</f>
        <v>0.15112</v>
      </c>
      <c r="N20" s="212">
        <f>+N19/$G$19</f>
        <v>0.13277600000000001</v>
      </c>
      <c r="O20" s="211">
        <f>+O19/$F$19</f>
        <v>0.16231999999999999</v>
      </c>
      <c r="P20" s="212">
        <f>+P19/$G$19</f>
        <v>0.13317599999999999</v>
      </c>
      <c r="Q20" s="211">
        <f>+Q19/$F$19</f>
        <v>0.13711999999999999</v>
      </c>
      <c r="R20" s="212">
        <f>+R19/$G$19</f>
        <v>0.112516</v>
      </c>
      <c r="S20" s="211">
        <f>+S19/$F$19</f>
        <v>0.12608</v>
      </c>
      <c r="T20" s="212">
        <f>+T19/$G$19</f>
        <v>8.8604000000000002E-2</v>
      </c>
      <c r="U20" s="211">
        <f>+U19/$F$19</f>
        <v>7.4079999999999993E-2</v>
      </c>
      <c r="V20" s="212">
        <f>+V19/$G$19</f>
        <v>7.5284000000000004E-2</v>
      </c>
      <c r="W20" s="211">
        <f>+W19/$F$19</f>
        <v>6.2E-2</v>
      </c>
      <c r="X20" s="212">
        <f>+X19/$G$19</f>
        <v>8.1600000000000006E-2</v>
      </c>
      <c r="Y20" s="211">
        <f>+Y19/$F$19</f>
        <v>4.2680000000000003E-2</v>
      </c>
      <c r="Z20" s="212">
        <f>+Z19/$G$19</f>
        <v>6.9494E-2</v>
      </c>
      <c r="AA20" s="211">
        <f>+AA19/$F$19</f>
        <v>4.24E-2</v>
      </c>
      <c r="AB20" s="212">
        <f>+AB19/$G$19</f>
        <v>6.7299999999999999E-2</v>
      </c>
      <c r="AC20" s="227">
        <f>+AC19/H19</f>
        <v>1</v>
      </c>
    </row>
    <row r="21" spans="1:29" ht="15.75" thickBot="1" x14ac:dyDescent="0.3">
      <c r="B21" s="40"/>
      <c r="I21"/>
      <c r="J21"/>
      <c r="K21"/>
      <c r="L21"/>
    </row>
    <row r="22" spans="1:29" ht="15.75" thickBot="1" x14ac:dyDescent="0.3">
      <c r="G22" s="109"/>
      <c r="H22" s="109"/>
      <c r="I22" s="169" t="s">
        <v>23</v>
      </c>
      <c r="J22" s="275">
        <f>+I20+K20</f>
        <v>0.20220000000000002</v>
      </c>
      <c r="K22" s="171" t="s">
        <v>179</v>
      </c>
      <c r="L22" s="172">
        <f>+L20+J20</f>
        <v>0.23924999999999999</v>
      </c>
      <c r="M22" s="173" t="s">
        <v>23</v>
      </c>
      <c r="N22" s="276">
        <f>+M20+O20</f>
        <v>0.31344</v>
      </c>
      <c r="O22" s="171" t="s">
        <v>179</v>
      </c>
      <c r="P22" s="175">
        <f>+P20+N20</f>
        <v>0.26595199999999997</v>
      </c>
      <c r="Q22" s="169" t="s">
        <v>23</v>
      </c>
      <c r="R22" s="276">
        <f>+Q20+S20</f>
        <v>0.26319999999999999</v>
      </c>
      <c r="S22" s="171" t="s">
        <v>179</v>
      </c>
      <c r="T22" s="172">
        <f>+T20+R20</f>
        <v>0.20112000000000002</v>
      </c>
      <c r="U22" s="173" t="s">
        <v>23</v>
      </c>
      <c r="V22" s="276">
        <f>+U20+W20</f>
        <v>0.13607999999999998</v>
      </c>
      <c r="W22" s="171" t="s">
        <v>179</v>
      </c>
      <c r="X22" s="175">
        <f>+X20+V20</f>
        <v>0.15688400000000002</v>
      </c>
      <c r="Y22" s="169" t="s">
        <v>23</v>
      </c>
      <c r="Z22" s="276">
        <f>+Y20+AA20</f>
        <v>8.5080000000000003E-2</v>
      </c>
      <c r="AA22" s="171" t="s">
        <v>179</v>
      </c>
      <c r="AB22" s="172">
        <f>+AB20+Z20</f>
        <v>0.136794</v>
      </c>
    </row>
    <row r="23" spans="1:29" x14ac:dyDescent="0.25">
      <c r="F23" s="13"/>
      <c r="G23" s="283" t="s">
        <v>180</v>
      </c>
      <c r="H23" s="284"/>
      <c r="I23" s="176" t="s">
        <v>23</v>
      </c>
      <c r="J23" s="177" t="s">
        <v>181</v>
      </c>
      <c r="K23" s="165"/>
      <c r="L23" s="165"/>
      <c r="M23" s="176" t="s">
        <v>23</v>
      </c>
      <c r="N23" s="177" t="s">
        <v>181</v>
      </c>
      <c r="O23" s="165"/>
      <c r="P23" s="165"/>
      <c r="Q23" s="176" t="s">
        <v>23</v>
      </c>
      <c r="R23" s="177" t="s">
        <v>181</v>
      </c>
      <c r="S23" s="165"/>
      <c r="T23" s="165"/>
      <c r="U23" s="176" t="s">
        <v>23</v>
      </c>
      <c r="V23" s="177" t="s">
        <v>181</v>
      </c>
      <c r="W23" s="165"/>
      <c r="X23" s="165"/>
      <c r="Y23" s="176" t="s">
        <v>23</v>
      </c>
      <c r="Z23" s="177" t="s">
        <v>181</v>
      </c>
      <c r="AA23" s="165"/>
      <c r="AB23" s="165"/>
    </row>
    <row r="24" spans="1:29" ht="15.75" thickBot="1" x14ac:dyDescent="0.3">
      <c r="G24" s="285"/>
      <c r="H24" s="286"/>
      <c r="I24" s="178">
        <f>+I19+K19</f>
        <v>1011000</v>
      </c>
      <c r="J24" s="179">
        <f>+J19+L19</f>
        <v>478500</v>
      </c>
      <c r="K24" s="166"/>
      <c r="L24" s="166"/>
      <c r="M24" s="178">
        <f>+M19+O19</f>
        <v>1567200</v>
      </c>
      <c r="N24" s="179">
        <f>+N19+P19</f>
        <v>531904</v>
      </c>
      <c r="O24" s="166"/>
      <c r="P24" s="166"/>
      <c r="Q24" s="178">
        <f>+Q19+S19</f>
        <v>1316000</v>
      </c>
      <c r="R24" s="179">
        <f>+R19+T19</f>
        <v>402240</v>
      </c>
      <c r="S24" s="166"/>
      <c r="T24" s="166"/>
      <c r="U24" s="178">
        <f>+U19+W19</f>
        <v>680400</v>
      </c>
      <c r="V24" s="179">
        <f>+V19+X19</f>
        <v>313768</v>
      </c>
      <c r="W24" s="166"/>
      <c r="X24" s="166"/>
      <c r="Y24" s="178">
        <f>+Y19+AA19</f>
        <v>425400</v>
      </c>
      <c r="Z24" s="179">
        <f>+Z19+AB19</f>
        <v>273588</v>
      </c>
      <c r="AA24" s="166"/>
      <c r="AB24" s="166"/>
    </row>
    <row r="25" spans="1:29" x14ac:dyDescent="0.25">
      <c r="B25" s="40"/>
      <c r="G25" s="10" t="s">
        <v>191</v>
      </c>
      <c r="I25" s="267">
        <v>1000000</v>
      </c>
      <c r="J25"/>
      <c r="K25"/>
      <c r="L25"/>
      <c r="M25" s="267">
        <v>1250000</v>
      </c>
      <c r="Q25" s="267">
        <v>1250000</v>
      </c>
      <c r="U25" s="267">
        <v>1000000</v>
      </c>
      <c r="Y25" s="267">
        <v>500000</v>
      </c>
    </row>
    <row r="26" spans="1:29" x14ac:dyDescent="0.25">
      <c r="G26" s="10" t="s">
        <v>192</v>
      </c>
      <c r="I26" s="266">
        <f>+I25-I24</f>
        <v>-11000</v>
      </c>
      <c r="M26" s="266">
        <f>+M25-M24</f>
        <v>-317200</v>
      </c>
      <c r="Q26" s="266">
        <f>+Q25-Q24</f>
        <v>-66000</v>
      </c>
      <c r="U26" s="266">
        <f>+U25-U24</f>
        <v>319600</v>
      </c>
      <c r="Y26" s="266">
        <f>+Y25-Y24</f>
        <v>74600</v>
      </c>
    </row>
  </sheetData>
  <mergeCells count="31">
    <mergeCell ref="F1:G2"/>
    <mergeCell ref="A1:A3"/>
    <mergeCell ref="B1:B3"/>
    <mergeCell ref="C1:C3"/>
    <mergeCell ref="D1:D3"/>
    <mergeCell ref="E1:E3"/>
    <mergeCell ref="H1:H3"/>
    <mergeCell ref="I1:L1"/>
    <mergeCell ref="M1:P1"/>
    <mergeCell ref="Q1:T1"/>
    <mergeCell ref="U1:X1"/>
    <mergeCell ref="AC1:AC3"/>
    <mergeCell ref="I2:J2"/>
    <mergeCell ref="K2:L2"/>
    <mergeCell ref="M2:N2"/>
    <mergeCell ref="O2:P2"/>
    <mergeCell ref="Q2:R2"/>
    <mergeCell ref="S2:T2"/>
    <mergeCell ref="U2:V2"/>
    <mergeCell ref="W2:X2"/>
    <mergeCell ref="Y2:Z2"/>
    <mergeCell ref="Y1:AB1"/>
    <mergeCell ref="AA2:AB2"/>
    <mergeCell ref="A17:E17"/>
    <mergeCell ref="A18:E18"/>
    <mergeCell ref="A19:E19"/>
    <mergeCell ref="G23:H24"/>
    <mergeCell ref="A4:E4"/>
    <mergeCell ref="A10:E10"/>
    <mergeCell ref="A11:D11"/>
    <mergeCell ref="A14:D14"/>
  </mergeCells>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C72"/>
  <sheetViews>
    <sheetView topLeftCell="A43" zoomScaleNormal="100" zoomScalePageLayoutView="140" workbookViewId="0">
      <selection activeCell="A60" sqref="A60"/>
    </sheetView>
  </sheetViews>
  <sheetFormatPr defaultColWidth="11.42578125" defaultRowHeight="15" x14ac:dyDescent="0.25"/>
  <cols>
    <col min="1" max="1" width="90.85546875" style="9" customWidth="1"/>
    <col min="2" max="2" width="10" style="58" bestFit="1" customWidth="1"/>
    <col min="3" max="3" width="12" style="10" bestFit="1" customWidth="1"/>
    <col min="4" max="4" width="10.42578125" style="10" customWidth="1"/>
    <col min="5" max="5" width="13.85546875" style="10" customWidth="1"/>
    <col min="6" max="12" width="13.140625" style="10" bestFit="1" customWidth="1"/>
    <col min="13" max="22" width="12.28515625" bestFit="1" customWidth="1"/>
    <col min="29" max="29" width="13.140625" bestFit="1" customWidth="1"/>
  </cols>
  <sheetData>
    <row r="1" spans="1:29" x14ac:dyDescent="0.25">
      <c r="A1" s="313" t="s">
        <v>41</v>
      </c>
      <c r="B1" s="316" t="s">
        <v>3</v>
      </c>
      <c r="C1" s="303" t="s">
        <v>19</v>
      </c>
      <c r="D1" s="303" t="s">
        <v>40</v>
      </c>
      <c r="E1" s="297" t="s">
        <v>20</v>
      </c>
      <c r="F1" s="295" t="s">
        <v>21</v>
      </c>
      <c r="G1" s="297"/>
      <c r="H1" s="298" t="s">
        <v>22</v>
      </c>
      <c r="I1" s="295" t="s">
        <v>163</v>
      </c>
      <c r="J1" s="296"/>
      <c r="K1" s="296"/>
      <c r="L1" s="297"/>
      <c r="M1" s="295" t="s">
        <v>166</v>
      </c>
      <c r="N1" s="296"/>
      <c r="O1" s="296"/>
      <c r="P1" s="297"/>
      <c r="Q1" s="295" t="s">
        <v>167</v>
      </c>
      <c r="R1" s="296"/>
      <c r="S1" s="296"/>
      <c r="T1" s="297"/>
      <c r="U1" s="295" t="s">
        <v>168</v>
      </c>
      <c r="V1" s="296"/>
      <c r="W1" s="296"/>
      <c r="X1" s="297"/>
      <c r="Y1" s="295" t="s">
        <v>169</v>
      </c>
      <c r="Z1" s="296"/>
      <c r="AA1" s="296"/>
      <c r="AB1" s="297"/>
      <c r="AC1" s="307" t="s">
        <v>22</v>
      </c>
    </row>
    <row r="2" spans="1:29" x14ac:dyDescent="0.25">
      <c r="A2" s="314"/>
      <c r="B2" s="317"/>
      <c r="C2" s="319"/>
      <c r="D2" s="319"/>
      <c r="E2" s="321"/>
      <c r="F2" s="292"/>
      <c r="G2" s="294"/>
      <c r="H2" s="299"/>
      <c r="I2" s="305" t="s">
        <v>164</v>
      </c>
      <c r="J2" s="306"/>
      <c r="K2" s="305" t="s">
        <v>165</v>
      </c>
      <c r="L2" s="306"/>
      <c r="M2" s="305" t="s">
        <v>164</v>
      </c>
      <c r="N2" s="306"/>
      <c r="O2" s="305" t="s">
        <v>165</v>
      </c>
      <c r="P2" s="306"/>
      <c r="Q2" s="305" t="s">
        <v>164</v>
      </c>
      <c r="R2" s="306"/>
      <c r="S2" s="305" t="s">
        <v>165</v>
      </c>
      <c r="T2" s="306"/>
      <c r="U2" s="305" t="s">
        <v>164</v>
      </c>
      <c r="V2" s="306"/>
      <c r="W2" s="305" t="s">
        <v>165</v>
      </c>
      <c r="X2" s="306"/>
      <c r="Y2" s="305" t="s">
        <v>164</v>
      </c>
      <c r="Z2" s="306"/>
      <c r="AA2" s="305" t="s">
        <v>165</v>
      </c>
      <c r="AB2" s="306"/>
      <c r="AC2" s="307"/>
    </row>
    <row r="3" spans="1:29" ht="15.75" thickBot="1" x14ac:dyDescent="0.3">
      <c r="A3" s="315"/>
      <c r="B3" s="318"/>
      <c r="C3" s="320"/>
      <c r="D3" s="320"/>
      <c r="E3" s="322"/>
      <c r="F3" s="17" t="s">
        <v>23</v>
      </c>
      <c r="G3" s="18" t="s">
        <v>28</v>
      </c>
      <c r="H3" s="300"/>
      <c r="I3" s="17" t="s">
        <v>23</v>
      </c>
      <c r="J3" s="18" t="s">
        <v>28</v>
      </c>
      <c r="K3" s="17" t="s">
        <v>23</v>
      </c>
      <c r="L3" s="18" t="s">
        <v>28</v>
      </c>
      <c r="M3" s="17" t="s">
        <v>23</v>
      </c>
      <c r="N3" s="18" t="s">
        <v>28</v>
      </c>
      <c r="O3" s="17" t="s">
        <v>23</v>
      </c>
      <c r="P3" s="18" t="s">
        <v>28</v>
      </c>
      <c r="Q3" s="17" t="s">
        <v>23</v>
      </c>
      <c r="R3" s="18" t="s">
        <v>28</v>
      </c>
      <c r="S3" s="17" t="s">
        <v>23</v>
      </c>
      <c r="T3" s="18" t="s">
        <v>28</v>
      </c>
      <c r="U3" s="17" t="s">
        <v>23</v>
      </c>
      <c r="V3" s="18" t="s">
        <v>28</v>
      </c>
      <c r="W3" s="17" t="s">
        <v>23</v>
      </c>
      <c r="X3" s="18" t="s">
        <v>28</v>
      </c>
      <c r="Y3" s="17" t="s">
        <v>23</v>
      </c>
      <c r="Z3" s="18" t="s">
        <v>28</v>
      </c>
      <c r="AA3" s="17" t="s">
        <v>23</v>
      </c>
      <c r="AB3" s="18" t="s">
        <v>28</v>
      </c>
      <c r="AC3" s="308"/>
    </row>
    <row r="4" spans="1:29" ht="26.25" customHeight="1" thickBot="1" x14ac:dyDescent="0.3">
      <c r="A4" s="309" t="s">
        <v>59</v>
      </c>
      <c r="B4" s="310"/>
      <c r="C4" s="310"/>
      <c r="D4" s="310"/>
      <c r="E4" s="310"/>
      <c r="F4" s="85">
        <f>+F5+F24+F32+F48+F61</f>
        <v>3500000</v>
      </c>
      <c r="G4" s="86">
        <f>+G5+G24+G32+G48+G61</f>
        <v>672400</v>
      </c>
      <c r="H4" s="127">
        <f>G4+F4</f>
        <v>4172400</v>
      </c>
      <c r="I4" s="85">
        <f>+I5</f>
        <v>20000</v>
      </c>
      <c r="J4" s="86">
        <f>+J5</f>
        <v>4400</v>
      </c>
      <c r="K4" s="85">
        <f t="shared" ref="K4:AB4" si="0">+K5</f>
        <v>127000</v>
      </c>
      <c r="L4" s="86">
        <f t="shared" si="0"/>
        <v>27940</v>
      </c>
      <c r="M4" s="85">
        <f t="shared" si="0"/>
        <v>111600</v>
      </c>
      <c r="N4" s="86">
        <f t="shared" si="0"/>
        <v>24552</v>
      </c>
      <c r="O4" s="85">
        <f t="shared" si="0"/>
        <v>127400</v>
      </c>
      <c r="P4" s="86">
        <f t="shared" si="0"/>
        <v>28028</v>
      </c>
      <c r="Q4" s="85">
        <f t="shared" si="0"/>
        <v>125200</v>
      </c>
      <c r="R4" s="86">
        <f t="shared" si="0"/>
        <v>27544</v>
      </c>
      <c r="S4" s="85">
        <f t="shared" si="0"/>
        <v>83600</v>
      </c>
      <c r="T4" s="86">
        <f t="shared" si="0"/>
        <v>18392</v>
      </c>
      <c r="U4" s="85">
        <f t="shared" si="0"/>
        <v>60400</v>
      </c>
      <c r="V4" s="86">
        <f t="shared" si="0"/>
        <v>13288</v>
      </c>
      <c r="W4" s="85">
        <f t="shared" si="0"/>
        <v>50400</v>
      </c>
      <c r="X4" s="86">
        <f t="shared" si="0"/>
        <v>11088</v>
      </c>
      <c r="Y4" s="85">
        <f t="shared" si="0"/>
        <v>5400</v>
      </c>
      <c r="Z4" s="86">
        <f t="shared" si="0"/>
        <v>1188</v>
      </c>
      <c r="AA4" s="85">
        <f t="shared" si="0"/>
        <v>0</v>
      </c>
      <c r="AB4" s="86">
        <f t="shared" si="0"/>
        <v>0</v>
      </c>
      <c r="AC4" s="86">
        <f>SUM(AC5:AC66)</f>
        <v>12649800</v>
      </c>
    </row>
    <row r="5" spans="1:29" s="26" customFormat="1" ht="28.5" customHeight="1" x14ac:dyDescent="0.25">
      <c r="A5" s="55" t="s">
        <v>143</v>
      </c>
      <c r="B5" s="61"/>
      <c r="C5" s="50"/>
      <c r="D5" s="50"/>
      <c r="E5" s="64">
        <f>+E6+E10+E14+E21</f>
        <v>711000</v>
      </c>
      <c r="F5" s="84">
        <f t="shared" ref="F5:G5" si="1">+F6+F10+F14+F21</f>
        <v>711000</v>
      </c>
      <c r="G5" s="56">
        <f t="shared" si="1"/>
        <v>156420</v>
      </c>
      <c r="H5" s="128">
        <f t="shared" ref="H5:H7" si="2">+G5+F5</f>
        <v>867420</v>
      </c>
      <c r="I5" s="84">
        <f t="shared" ref="I5" si="3">+I6+I10+I14+I21</f>
        <v>20000</v>
      </c>
      <c r="J5" s="56">
        <f t="shared" ref="J5" si="4">+J6+J10+J14+J21</f>
        <v>4400</v>
      </c>
      <c r="K5" s="84">
        <f t="shared" ref="K5" si="5">+K6+K10+K14+K21</f>
        <v>127000</v>
      </c>
      <c r="L5" s="56">
        <f t="shared" ref="L5" si="6">+L6+L10+L14+L21</f>
        <v>27940</v>
      </c>
      <c r="M5" s="84">
        <f t="shared" ref="M5" si="7">+M6+M10+M14+M21</f>
        <v>111600</v>
      </c>
      <c r="N5" s="56">
        <f t="shared" ref="N5" si="8">+N6+N10+N14+N21</f>
        <v>24552</v>
      </c>
      <c r="O5" s="84">
        <f t="shared" ref="O5" si="9">+O6+O10+O14+O21</f>
        <v>127400</v>
      </c>
      <c r="P5" s="56">
        <f t="shared" ref="P5" si="10">+P6+P10+P14+P21</f>
        <v>28028</v>
      </c>
      <c r="Q5" s="84">
        <f t="shared" ref="Q5" si="11">+Q6+Q10+Q14+Q21</f>
        <v>125200</v>
      </c>
      <c r="R5" s="56">
        <f t="shared" ref="R5" si="12">+R6+R10+R14+R21</f>
        <v>27544</v>
      </c>
      <c r="S5" s="84">
        <f t="shared" ref="S5" si="13">+S6+S10+S14+S21</f>
        <v>83600</v>
      </c>
      <c r="T5" s="56">
        <f t="shared" ref="T5" si="14">+T6+T10+T14+T21</f>
        <v>18392</v>
      </c>
      <c r="U5" s="84">
        <f t="shared" ref="U5" si="15">+U6+U10+U14+U21</f>
        <v>60400</v>
      </c>
      <c r="V5" s="56">
        <f t="shared" ref="V5" si="16">+V6+V10+V14+V21</f>
        <v>13288</v>
      </c>
      <c r="W5" s="84">
        <f t="shared" ref="W5" si="17">+W6+W10+W14+W21</f>
        <v>50400</v>
      </c>
      <c r="X5" s="56">
        <f t="shared" ref="X5" si="18">+X6+X10+X14+X21</f>
        <v>11088</v>
      </c>
      <c r="Y5" s="84">
        <f t="shared" ref="Y5" si="19">+Y6+Y10+Y14+Y21</f>
        <v>5400</v>
      </c>
      <c r="Z5" s="56">
        <f t="shared" ref="Z5" si="20">+Z6+Z10+Z14+Z21</f>
        <v>1188</v>
      </c>
      <c r="AA5" s="84">
        <f t="shared" ref="AA5" si="21">+AA6+AA10+AA14+AA21</f>
        <v>0</v>
      </c>
      <c r="AB5" s="56">
        <f t="shared" ref="AB5" si="22">+AB6+AB10+AB14+AB21</f>
        <v>0</v>
      </c>
      <c r="AC5" s="56">
        <f>SUM(I5:AB5)</f>
        <v>867420</v>
      </c>
    </row>
    <row r="6" spans="1:29" s="41" customFormat="1" x14ac:dyDescent="0.25">
      <c r="A6" s="52" t="s">
        <v>144</v>
      </c>
      <c r="B6" s="60"/>
      <c r="C6" s="45"/>
      <c r="D6" s="45"/>
      <c r="E6" s="62">
        <f>+E7+E8+E9</f>
        <v>130000</v>
      </c>
      <c r="F6" s="68">
        <f t="shared" ref="F6:G6" si="23">+F7+F8+F9</f>
        <v>130000</v>
      </c>
      <c r="G6" s="46">
        <f t="shared" si="23"/>
        <v>28600</v>
      </c>
      <c r="H6" s="129">
        <f>+G6+F6</f>
        <v>158600</v>
      </c>
      <c r="I6" s="68">
        <f t="shared" ref="I6" si="24">+I7+I8+I9</f>
        <v>0</v>
      </c>
      <c r="J6" s="46">
        <f t="shared" ref="J6" si="25">+J7+J8+J9</f>
        <v>0</v>
      </c>
      <c r="K6" s="68">
        <f t="shared" ref="K6" si="26">+K7+K8+K9</f>
        <v>20000</v>
      </c>
      <c r="L6" s="46">
        <f t="shared" ref="L6" si="27">+L7+L8+L9</f>
        <v>4400</v>
      </c>
      <c r="M6" s="68">
        <f t="shared" ref="M6" si="28">+M7+M8+M9</f>
        <v>25000</v>
      </c>
      <c r="N6" s="46">
        <f t="shared" ref="N6" si="29">+N7+N8+N9</f>
        <v>5500</v>
      </c>
      <c r="O6" s="68">
        <f t="shared" ref="O6" si="30">+O7+O8+O9</f>
        <v>29000</v>
      </c>
      <c r="P6" s="46">
        <f t="shared" ref="P6" si="31">+P7+P8+P9</f>
        <v>6380</v>
      </c>
      <c r="Q6" s="68">
        <f t="shared" ref="Q6" si="32">+Q7+Q8+Q9</f>
        <v>36000</v>
      </c>
      <c r="R6" s="46">
        <f t="shared" ref="R6" si="33">+R7+R8+R9</f>
        <v>7920</v>
      </c>
      <c r="S6" s="68">
        <f t="shared" ref="S6" si="34">+S7+S8+S9</f>
        <v>20000</v>
      </c>
      <c r="T6" s="46">
        <f t="shared" ref="T6" si="35">+T7+T8+T9</f>
        <v>4400</v>
      </c>
      <c r="U6" s="68">
        <f t="shared" ref="U6" si="36">+U7+U8+U9</f>
        <v>0</v>
      </c>
      <c r="V6" s="46">
        <f t="shared" ref="V6" si="37">+V7+V8+V9</f>
        <v>0</v>
      </c>
      <c r="W6" s="68">
        <f t="shared" ref="W6" si="38">+W7+W8+W9</f>
        <v>0</v>
      </c>
      <c r="X6" s="46">
        <f t="shared" ref="X6" si="39">+X7+X8+X9</f>
        <v>0</v>
      </c>
      <c r="Y6" s="68">
        <f t="shared" ref="Y6" si="40">+Y7+Y8+Y9</f>
        <v>0</v>
      </c>
      <c r="Z6" s="46">
        <f t="shared" ref="Z6" si="41">+Z7+Z8+Z9</f>
        <v>0</v>
      </c>
      <c r="AA6" s="68">
        <f t="shared" ref="AA6" si="42">+AA7+AA8+AA9</f>
        <v>0</v>
      </c>
      <c r="AB6" s="46">
        <f t="shared" ref="AB6:AC6" si="43">+AB7+AB8+AB9</f>
        <v>0</v>
      </c>
      <c r="AC6" s="46">
        <f t="shared" si="43"/>
        <v>158600</v>
      </c>
    </row>
    <row r="7" spans="1:29" s="44" customFormat="1" ht="15.75" customHeight="1" x14ac:dyDescent="0.25">
      <c r="A7" s="54" t="s">
        <v>197</v>
      </c>
      <c r="B7" s="59" t="s">
        <v>58</v>
      </c>
      <c r="C7" s="43">
        <v>15000</v>
      </c>
      <c r="D7" s="43">
        <v>1</v>
      </c>
      <c r="E7" s="65">
        <f>+D7*C7</f>
        <v>15000</v>
      </c>
      <c r="F7" s="69">
        <f>+E7</f>
        <v>15000</v>
      </c>
      <c r="G7" s="70">
        <f>+F7*0.22</f>
        <v>3300</v>
      </c>
      <c r="H7" s="130">
        <f t="shared" si="2"/>
        <v>18300</v>
      </c>
      <c r="I7" s="69">
        <v>0</v>
      </c>
      <c r="J7" s="70">
        <v>0</v>
      </c>
      <c r="K7" s="69">
        <v>0</v>
      </c>
      <c r="L7" s="70">
        <v>0</v>
      </c>
      <c r="M7" s="69">
        <f>+F7*0.5</f>
        <v>7500</v>
      </c>
      <c r="N7" s="70">
        <f>+G7*0.5</f>
        <v>1650</v>
      </c>
      <c r="O7" s="69">
        <f>+F7*0.3</f>
        <v>4500</v>
      </c>
      <c r="P7" s="70">
        <f>+G7*0.3</f>
        <v>990</v>
      </c>
      <c r="Q7" s="69">
        <f>+C7*0.2</f>
        <v>3000</v>
      </c>
      <c r="R7" s="70">
        <f>+G7*0.2</f>
        <v>660</v>
      </c>
      <c r="S7" s="69">
        <v>0</v>
      </c>
      <c r="T7" s="70">
        <v>0</v>
      </c>
      <c r="U7" s="69">
        <v>0</v>
      </c>
      <c r="V7" s="70">
        <v>0</v>
      </c>
      <c r="W7" s="69">
        <v>0</v>
      </c>
      <c r="X7" s="70">
        <v>0</v>
      </c>
      <c r="Y7" s="69">
        <v>0</v>
      </c>
      <c r="Z7" s="70">
        <v>0</v>
      </c>
      <c r="AA7" s="69">
        <v>0</v>
      </c>
      <c r="AB7" s="70">
        <v>0</v>
      </c>
      <c r="AC7" s="70">
        <f t="shared" ref="AC7:AC9" si="44">SUM(I7:AB7)</f>
        <v>18300</v>
      </c>
    </row>
    <row r="8" spans="1:29" s="29" customFormat="1" x14ac:dyDescent="0.25">
      <c r="A8" s="54" t="s">
        <v>198</v>
      </c>
      <c r="B8" s="59" t="s">
        <v>58</v>
      </c>
      <c r="C8" s="28">
        <v>15000</v>
      </c>
      <c r="D8" s="28">
        <v>1</v>
      </c>
      <c r="E8" s="65">
        <f>+D8*C8</f>
        <v>15000</v>
      </c>
      <c r="F8" s="71">
        <f>+E8</f>
        <v>15000</v>
      </c>
      <c r="G8" s="70">
        <f>+F8*0.22</f>
        <v>3300</v>
      </c>
      <c r="H8" s="130">
        <f>+G8+F8</f>
        <v>18300</v>
      </c>
      <c r="I8" s="69">
        <v>0</v>
      </c>
      <c r="J8" s="70">
        <v>0</v>
      </c>
      <c r="K8" s="69">
        <v>0</v>
      </c>
      <c r="L8" s="70">
        <v>0</v>
      </c>
      <c r="M8" s="69">
        <f>+F8*0.5</f>
        <v>7500</v>
      </c>
      <c r="N8" s="70">
        <f>+G8*0.5</f>
        <v>1650</v>
      </c>
      <c r="O8" s="69">
        <f>+F8*0.3</f>
        <v>4500</v>
      </c>
      <c r="P8" s="70">
        <f>+G8*0.3</f>
        <v>990</v>
      </c>
      <c r="Q8" s="69">
        <f>+C8*0.2</f>
        <v>3000</v>
      </c>
      <c r="R8" s="70">
        <f>+G8*0.2</f>
        <v>660</v>
      </c>
      <c r="S8" s="69">
        <v>0</v>
      </c>
      <c r="T8" s="70">
        <v>0</v>
      </c>
      <c r="U8" s="69">
        <v>0</v>
      </c>
      <c r="V8" s="70">
        <v>0</v>
      </c>
      <c r="W8" s="69">
        <v>0</v>
      </c>
      <c r="X8" s="70">
        <v>0</v>
      </c>
      <c r="Y8" s="69">
        <v>0</v>
      </c>
      <c r="Z8" s="70">
        <v>0</v>
      </c>
      <c r="AA8" s="69">
        <v>0</v>
      </c>
      <c r="AB8" s="70">
        <v>0</v>
      </c>
      <c r="AC8" s="70">
        <f t="shared" ref="AC8" si="45">SUM(I8:AB8)</f>
        <v>18300</v>
      </c>
    </row>
    <row r="9" spans="1:29" s="29" customFormat="1" x14ac:dyDescent="0.25">
      <c r="A9" s="54" t="s">
        <v>223</v>
      </c>
      <c r="B9" s="59" t="s">
        <v>58</v>
      </c>
      <c r="C9" s="28">
        <v>100000</v>
      </c>
      <c r="D9" s="28">
        <v>1</v>
      </c>
      <c r="E9" s="65">
        <f>+D9*C9</f>
        <v>100000</v>
      </c>
      <c r="F9" s="77">
        <f>+E9</f>
        <v>100000</v>
      </c>
      <c r="G9" s="70">
        <f>+F9*0.22</f>
        <v>22000</v>
      </c>
      <c r="H9" s="131">
        <f>+G9+F9</f>
        <v>122000</v>
      </c>
      <c r="I9" s="77">
        <v>0</v>
      </c>
      <c r="J9" s="70">
        <v>0</v>
      </c>
      <c r="K9" s="77">
        <f>+F9*0.2</f>
        <v>20000</v>
      </c>
      <c r="L9" s="70">
        <f>+G9*0.2</f>
        <v>4400</v>
      </c>
      <c r="M9" s="77">
        <f>+F9*0.1</f>
        <v>10000</v>
      </c>
      <c r="N9" s="70">
        <f>+G9*0.1</f>
        <v>2200</v>
      </c>
      <c r="O9" s="77">
        <f>+F9*0.2</f>
        <v>20000</v>
      </c>
      <c r="P9" s="70">
        <f>+G9*0.2</f>
        <v>4400</v>
      </c>
      <c r="Q9" s="77">
        <f>+F9*0.3</f>
        <v>30000</v>
      </c>
      <c r="R9" s="70">
        <f>+G9*0.3</f>
        <v>6600</v>
      </c>
      <c r="S9" s="77">
        <f>+F9*0.2</f>
        <v>20000</v>
      </c>
      <c r="T9" s="70">
        <f>+G9*0.2</f>
        <v>4400</v>
      </c>
      <c r="U9" s="77">
        <v>0</v>
      </c>
      <c r="V9" s="70">
        <v>0</v>
      </c>
      <c r="W9" s="77">
        <v>0</v>
      </c>
      <c r="X9" s="70">
        <v>0</v>
      </c>
      <c r="Y9" s="77">
        <v>0</v>
      </c>
      <c r="Z9" s="70">
        <v>0</v>
      </c>
      <c r="AA9" s="77">
        <v>0</v>
      </c>
      <c r="AB9" s="70">
        <v>0</v>
      </c>
      <c r="AC9" s="70">
        <f t="shared" si="44"/>
        <v>122000</v>
      </c>
    </row>
    <row r="10" spans="1:29" s="41" customFormat="1" x14ac:dyDescent="0.25">
      <c r="A10" s="52" t="s">
        <v>145</v>
      </c>
      <c r="B10" s="60"/>
      <c r="C10" s="45"/>
      <c r="D10" s="45"/>
      <c r="E10" s="62">
        <f>+E11+E13</f>
        <v>240000</v>
      </c>
      <c r="F10" s="68">
        <f t="shared" ref="F10:G10" si="46">+F11+F13</f>
        <v>240000</v>
      </c>
      <c r="G10" s="46">
        <f t="shared" si="46"/>
        <v>52800</v>
      </c>
      <c r="H10" s="129">
        <f>+G10+F10</f>
        <v>292800</v>
      </c>
      <c r="I10" s="68">
        <f t="shared" ref="I10" si="47">+I11+I13</f>
        <v>5000</v>
      </c>
      <c r="J10" s="46">
        <f t="shared" ref="J10" si="48">+J11+J13</f>
        <v>1100</v>
      </c>
      <c r="K10" s="68">
        <f t="shared" ref="K10" si="49">+K11+K13</f>
        <v>15000</v>
      </c>
      <c r="L10" s="46">
        <f t="shared" ref="L10" si="50">+L11+L13</f>
        <v>3300</v>
      </c>
      <c r="M10" s="68">
        <f t="shared" ref="M10" si="51">+M11+M13</f>
        <v>15000</v>
      </c>
      <c r="N10" s="46">
        <f t="shared" ref="N10" si="52">+N11+N13</f>
        <v>3300</v>
      </c>
      <c r="O10" s="68">
        <f t="shared" ref="O10" si="53">+O11+O13</f>
        <v>33000</v>
      </c>
      <c r="P10" s="46">
        <f t="shared" ref="P10" si="54">+P11+P13</f>
        <v>7260</v>
      </c>
      <c r="Q10" s="68">
        <f t="shared" ref="Q10" si="55">+Q11+Q13</f>
        <v>37000</v>
      </c>
      <c r="R10" s="46">
        <f t="shared" ref="R10" si="56">+R11+R13</f>
        <v>8140</v>
      </c>
      <c r="S10" s="68">
        <f t="shared" ref="S10" si="57">+S11+S13</f>
        <v>45000</v>
      </c>
      <c r="T10" s="46">
        <f t="shared" ref="T10" si="58">+T11+T13</f>
        <v>9900</v>
      </c>
      <c r="U10" s="68">
        <f t="shared" ref="U10" si="59">+U11+U13</f>
        <v>45000</v>
      </c>
      <c r="V10" s="46">
        <f t="shared" ref="V10" si="60">+V11+V13</f>
        <v>9900</v>
      </c>
      <c r="W10" s="68">
        <f t="shared" ref="W10" si="61">+W11+W13</f>
        <v>45000</v>
      </c>
      <c r="X10" s="46">
        <f t="shared" ref="X10" si="62">+X11+X13</f>
        <v>9900</v>
      </c>
      <c r="Y10" s="68">
        <f t="shared" ref="Y10" si="63">+Y11+Y13</f>
        <v>0</v>
      </c>
      <c r="Z10" s="46">
        <f t="shared" ref="Z10" si="64">+Z11+Z13</f>
        <v>0</v>
      </c>
      <c r="AA10" s="68">
        <f t="shared" ref="AA10" si="65">+AA11+AA13</f>
        <v>0</v>
      </c>
      <c r="AB10" s="46">
        <f t="shared" ref="AB10:AC10" si="66">+AB11+AB13</f>
        <v>0</v>
      </c>
      <c r="AC10" s="46">
        <f t="shared" si="66"/>
        <v>292800</v>
      </c>
    </row>
    <row r="11" spans="1:29" s="29" customFormat="1" x14ac:dyDescent="0.25">
      <c r="A11" s="54" t="s">
        <v>216</v>
      </c>
      <c r="B11" s="59"/>
      <c r="C11" s="28"/>
      <c r="D11" s="28"/>
      <c r="E11" s="65">
        <f>+E12</f>
        <v>60000</v>
      </c>
      <c r="F11" s="117">
        <f>+F12</f>
        <v>60000</v>
      </c>
      <c r="G11" s="118">
        <f>+G12</f>
        <v>13200</v>
      </c>
      <c r="H11" s="132">
        <f t="shared" ref="H11:H13" si="67">+G11+F11</f>
        <v>73200</v>
      </c>
      <c r="I11" s="117">
        <f t="shared" ref="I11:AC11" si="68">+I12</f>
        <v>5000</v>
      </c>
      <c r="J11" s="118">
        <f t="shared" si="68"/>
        <v>1100</v>
      </c>
      <c r="K11" s="117">
        <f t="shared" si="68"/>
        <v>15000</v>
      </c>
      <c r="L11" s="118">
        <f t="shared" si="68"/>
        <v>3300</v>
      </c>
      <c r="M11" s="117">
        <f t="shared" si="68"/>
        <v>15000</v>
      </c>
      <c r="N11" s="118">
        <f t="shared" si="68"/>
        <v>3300</v>
      </c>
      <c r="O11" s="117">
        <f t="shared" si="68"/>
        <v>15000</v>
      </c>
      <c r="P11" s="118">
        <f t="shared" si="68"/>
        <v>3300</v>
      </c>
      <c r="Q11" s="117">
        <f t="shared" si="68"/>
        <v>10000</v>
      </c>
      <c r="R11" s="118">
        <f t="shared" si="68"/>
        <v>2200</v>
      </c>
      <c r="S11" s="117">
        <f t="shared" si="68"/>
        <v>0</v>
      </c>
      <c r="T11" s="118">
        <f t="shared" si="68"/>
        <v>0</v>
      </c>
      <c r="U11" s="117">
        <f t="shared" si="68"/>
        <v>0</v>
      </c>
      <c r="V11" s="118">
        <f t="shared" si="68"/>
        <v>0</v>
      </c>
      <c r="W11" s="117">
        <f t="shared" si="68"/>
        <v>0</v>
      </c>
      <c r="X11" s="118">
        <f t="shared" si="68"/>
        <v>0</v>
      </c>
      <c r="Y11" s="117">
        <f t="shared" si="68"/>
        <v>0</v>
      </c>
      <c r="Z11" s="118">
        <f t="shared" si="68"/>
        <v>0</v>
      </c>
      <c r="AA11" s="117">
        <f t="shared" si="68"/>
        <v>0</v>
      </c>
      <c r="AB11" s="118">
        <f t="shared" si="68"/>
        <v>0</v>
      </c>
      <c r="AC11" s="118">
        <f t="shared" si="68"/>
        <v>73200</v>
      </c>
    </row>
    <row r="12" spans="1:29" s="116" customFormat="1" ht="11.25" x14ac:dyDescent="0.2">
      <c r="A12" s="120" t="s">
        <v>159</v>
      </c>
      <c r="B12" s="121" t="s">
        <v>44</v>
      </c>
      <c r="C12" s="122">
        <v>2500</v>
      </c>
      <c r="D12" s="122">
        <f>1*24</f>
        <v>24</v>
      </c>
      <c r="E12" s="123">
        <f t="shared" ref="E12" si="69">+D12*C12</f>
        <v>60000</v>
      </c>
      <c r="F12" s="124">
        <f>+E12</f>
        <v>60000</v>
      </c>
      <c r="G12" s="125">
        <f>+F12*0.22</f>
        <v>13200</v>
      </c>
      <c r="H12" s="133">
        <f>+G12+F12</f>
        <v>73200</v>
      </c>
      <c r="I12" s="124">
        <f>+C12*2</f>
        <v>5000</v>
      </c>
      <c r="J12" s="125">
        <f>+I12*0.22</f>
        <v>1100</v>
      </c>
      <c r="K12" s="124">
        <f>+C12*6</f>
        <v>15000</v>
      </c>
      <c r="L12" s="125">
        <f>+K12*0.22</f>
        <v>3300</v>
      </c>
      <c r="M12" s="124">
        <f t="shared" ref="M12:P12" si="70">+K12</f>
        <v>15000</v>
      </c>
      <c r="N12" s="125">
        <f t="shared" si="70"/>
        <v>3300</v>
      </c>
      <c r="O12" s="124">
        <f t="shared" si="70"/>
        <v>15000</v>
      </c>
      <c r="P12" s="125">
        <f t="shared" si="70"/>
        <v>3300</v>
      </c>
      <c r="Q12" s="124">
        <f>+C12*4</f>
        <v>10000</v>
      </c>
      <c r="R12" s="125">
        <f>+Q12*0.22</f>
        <v>2200</v>
      </c>
      <c r="S12" s="124">
        <v>0</v>
      </c>
      <c r="T12" s="125">
        <v>0</v>
      </c>
      <c r="U12" s="124">
        <v>0</v>
      </c>
      <c r="V12" s="125">
        <v>0</v>
      </c>
      <c r="W12" s="124">
        <v>0</v>
      </c>
      <c r="X12" s="125">
        <v>0</v>
      </c>
      <c r="Y12" s="124">
        <v>0</v>
      </c>
      <c r="Z12" s="125">
        <v>0</v>
      </c>
      <c r="AA12" s="124">
        <v>0</v>
      </c>
      <c r="AB12" s="125">
        <v>0</v>
      </c>
      <c r="AC12" s="125">
        <f t="shared" ref="AC12:AC13" si="71">SUM(I12:AB12)</f>
        <v>73200</v>
      </c>
    </row>
    <row r="13" spans="1:29" s="29" customFormat="1" ht="33.75" x14ac:dyDescent="0.25">
      <c r="A13" s="54" t="s">
        <v>199</v>
      </c>
      <c r="B13" s="59" t="s">
        <v>58</v>
      </c>
      <c r="C13" s="28">
        <v>180000</v>
      </c>
      <c r="D13" s="28">
        <v>1</v>
      </c>
      <c r="E13" s="65">
        <f>+D13*C13</f>
        <v>180000</v>
      </c>
      <c r="F13" s="117">
        <f>+E13</f>
        <v>180000</v>
      </c>
      <c r="G13" s="118">
        <f>+F13*0.22</f>
        <v>39600</v>
      </c>
      <c r="H13" s="132">
        <f t="shared" si="67"/>
        <v>219600</v>
      </c>
      <c r="I13" s="117">
        <v>0</v>
      </c>
      <c r="J13" s="118">
        <v>0</v>
      </c>
      <c r="K13" s="117">
        <v>0</v>
      </c>
      <c r="L13" s="118">
        <v>0</v>
      </c>
      <c r="M13" s="117">
        <v>0</v>
      </c>
      <c r="N13" s="118">
        <v>0</v>
      </c>
      <c r="O13" s="117">
        <f>+F13*0.1</f>
        <v>18000</v>
      </c>
      <c r="P13" s="118">
        <f>+G13*0.1</f>
        <v>3960</v>
      </c>
      <c r="Q13" s="117">
        <f>+F13*0.15</f>
        <v>27000</v>
      </c>
      <c r="R13" s="118">
        <f>+G13*0.15</f>
        <v>5940</v>
      </c>
      <c r="S13" s="117">
        <f>+F13*0.25</f>
        <v>45000</v>
      </c>
      <c r="T13" s="118">
        <f>+G13*0.25</f>
        <v>9900</v>
      </c>
      <c r="U13" s="117">
        <f>+F13*0.25</f>
        <v>45000</v>
      </c>
      <c r="V13" s="118">
        <f>+G13*0.25</f>
        <v>9900</v>
      </c>
      <c r="W13" s="117">
        <f>+F13*0.25</f>
        <v>45000</v>
      </c>
      <c r="X13" s="118">
        <f>+G13*0.25</f>
        <v>9900</v>
      </c>
      <c r="Y13" s="117">
        <v>0</v>
      </c>
      <c r="Z13" s="118">
        <v>0</v>
      </c>
      <c r="AA13" s="117">
        <v>0</v>
      </c>
      <c r="AB13" s="118">
        <v>0</v>
      </c>
      <c r="AC13" s="118">
        <f t="shared" si="71"/>
        <v>219600</v>
      </c>
    </row>
    <row r="14" spans="1:29" s="41" customFormat="1" x14ac:dyDescent="0.25">
      <c r="A14" s="52" t="s">
        <v>153</v>
      </c>
      <c r="B14" s="60"/>
      <c r="C14" s="45"/>
      <c r="D14" s="45"/>
      <c r="E14" s="62">
        <f>+E15+E18+E19+E20</f>
        <v>281000</v>
      </c>
      <c r="F14" s="68">
        <f t="shared" ref="F14:G14" si="72">+F15+F18+F19+F20</f>
        <v>281000</v>
      </c>
      <c r="G14" s="46">
        <f t="shared" si="72"/>
        <v>61820</v>
      </c>
      <c r="H14" s="129">
        <f>+G14+F14</f>
        <v>342820</v>
      </c>
      <c r="I14" s="68">
        <f t="shared" ref="I14" si="73">+I15+I18+I19+I20</f>
        <v>10000</v>
      </c>
      <c r="J14" s="46">
        <f t="shared" ref="J14" si="74">+J15+J18+J19+J20</f>
        <v>2200</v>
      </c>
      <c r="K14" s="68">
        <f t="shared" ref="K14" si="75">+K15+K18+K19+K20</f>
        <v>77000</v>
      </c>
      <c r="L14" s="46">
        <f t="shared" ref="L14" si="76">+L15+L18+L19+L20</f>
        <v>16940</v>
      </c>
      <c r="M14" s="68">
        <f t="shared" ref="M14" si="77">+M15+M18+M19+M20</f>
        <v>56600</v>
      </c>
      <c r="N14" s="46">
        <f t="shared" ref="N14" si="78">+N15+N18+N19+N20</f>
        <v>12452</v>
      </c>
      <c r="O14" s="68">
        <f t="shared" ref="O14" si="79">+O15+O18+O19+O20</f>
        <v>50400</v>
      </c>
      <c r="P14" s="46">
        <f t="shared" ref="P14" si="80">+P15+P18+P19+P20</f>
        <v>11088</v>
      </c>
      <c r="Q14" s="68">
        <f t="shared" ref="Q14" si="81">+Q15+Q18+Q19+Q20</f>
        <v>42200</v>
      </c>
      <c r="R14" s="46">
        <f t="shared" ref="R14" si="82">+R15+R18+R19+R20</f>
        <v>9284</v>
      </c>
      <c r="S14" s="68">
        <f t="shared" ref="S14" si="83">+S15+S18+S19+S20</f>
        <v>18600</v>
      </c>
      <c r="T14" s="46">
        <f t="shared" ref="T14" si="84">+T15+T18+T19+T20</f>
        <v>4092</v>
      </c>
      <c r="U14" s="68">
        <f t="shared" ref="U14" si="85">+U15+U18+U19+U20</f>
        <v>15400</v>
      </c>
      <c r="V14" s="46">
        <f t="shared" ref="V14" si="86">+V15+V18+V19+V20</f>
        <v>3388</v>
      </c>
      <c r="W14" s="68">
        <f t="shared" ref="W14" si="87">+W15+W18+W19+W20</f>
        <v>5400</v>
      </c>
      <c r="X14" s="46">
        <f t="shared" ref="X14" si="88">+X15+X18+X19+X20</f>
        <v>1188</v>
      </c>
      <c r="Y14" s="68">
        <f t="shared" ref="Y14" si="89">+Y15+Y18+Y19+Y20</f>
        <v>5400</v>
      </c>
      <c r="Z14" s="46">
        <f t="shared" ref="Z14" si="90">+Z15+Z18+Z19+Z20</f>
        <v>1188</v>
      </c>
      <c r="AA14" s="68">
        <f t="shared" ref="AA14" si="91">+AA15+AA18+AA19+AA20</f>
        <v>0</v>
      </c>
      <c r="AB14" s="46">
        <f t="shared" ref="AB14:AC14" si="92">+AB15+AB18+AB19+AB20</f>
        <v>0</v>
      </c>
      <c r="AC14" s="46">
        <f t="shared" si="92"/>
        <v>342820</v>
      </c>
    </row>
    <row r="15" spans="1:29" s="29" customFormat="1" ht="22.5" x14ac:dyDescent="0.25">
      <c r="A15" s="54" t="s">
        <v>217</v>
      </c>
      <c r="B15" s="59"/>
      <c r="C15" s="28"/>
      <c r="D15" s="28"/>
      <c r="E15" s="65">
        <f>+E16+E17</f>
        <v>205000</v>
      </c>
      <c r="F15" s="119">
        <f>+F16+F17</f>
        <v>205000</v>
      </c>
      <c r="G15" s="118">
        <f>+G16+G17</f>
        <v>45100</v>
      </c>
      <c r="H15" s="132">
        <f t="shared" ref="H15:H19" si="93">+G15+F15</f>
        <v>250100</v>
      </c>
      <c r="I15" s="119">
        <f t="shared" ref="I15:AC15" si="94">+I16+I17</f>
        <v>10000</v>
      </c>
      <c r="J15" s="118">
        <f t="shared" si="94"/>
        <v>2200</v>
      </c>
      <c r="K15" s="119">
        <f t="shared" si="94"/>
        <v>45000</v>
      </c>
      <c r="L15" s="118">
        <f t="shared" si="94"/>
        <v>9900</v>
      </c>
      <c r="M15" s="119">
        <f t="shared" si="94"/>
        <v>45000</v>
      </c>
      <c r="N15" s="118">
        <f t="shared" si="94"/>
        <v>9900</v>
      </c>
      <c r="O15" s="119">
        <f t="shared" si="94"/>
        <v>45000</v>
      </c>
      <c r="P15" s="118">
        <f t="shared" si="94"/>
        <v>9900</v>
      </c>
      <c r="Q15" s="119">
        <f t="shared" si="94"/>
        <v>35000</v>
      </c>
      <c r="R15" s="118">
        <f t="shared" si="94"/>
        <v>7700</v>
      </c>
      <c r="S15" s="119">
        <f t="shared" si="94"/>
        <v>15000</v>
      </c>
      <c r="T15" s="118">
        <f t="shared" si="94"/>
        <v>3300</v>
      </c>
      <c r="U15" s="119">
        <f t="shared" si="94"/>
        <v>10000</v>
      </c>
      <c r="V15" s="118">
        <f t="shared" si="94"/>
        <v>2200</v>
      </c>
      <c r="W15" s="119">
        <f t="shared" si="94"/>
        <v>0</v>
      </c>
      <c r="X15" s="118">
        <f t="shared" si="94"/>
        <v>0</v>
      </c>
      <c r="Y15" s="119">
        <f t="shared" si="94"/>
        <v>0</v>
      </c>
      <c r="Z15" s="118">
        <f t="shared" si="94"/>
        <v>0</v>
      </c>
      <c r="AA15" s="119">
        <f t="shared" si="94"/>
        <v>0</v>
      </c>
      <c r="AB15" s="118">
        <f t="shared" si="94"/>
        <v>0</v>
      </c>
      <c r="AC15" s="118">
        <f t="shared" si="94"/>
        <v>250100</v>
      </c>
    </row>
    <row r="16" spans="1:29" s="116" customFormat="1" ht="11.25" x14ac:dyDescent="0.2">
      <c r="A16" s="120" t="s">
        <v>159</v>
      </c>
      <c r="B16" s="121" t="s">
        <v>44</v>
      </c>
      <c r="C16" s="122">
        <v>2500</v>
      </c>
      <c r="D16" s="122">
        <f>2*24</f>
        <v>48</v>
      </c>
      <c r="E16" s="123">
        <f t="shared" ref="E16:E17" si="95">+D16*C16</f>
        <v>120000</v>
      </c>
      <c r="F16" s="124">
        <f>+E16</f>
        <v>120000</v>
      </c>
      <c r="G16" s="125">
        <f>+F16*0.22</f>
        <v>26400</v>
      </c>
      <c r="H16" s="133">
        <f>+G16+F16</f>
        <v>146400</v>
      </c>
      <c r="I16" s="124">
        <f>+C16*2*2</f>
        <v>10000</v>
      </c>
      <c r="J16" s="125">
        <f>+I16*0.22</f>
        <v>2200</v>
      </c>
      <c r="K16" s="124">
        <f>+C16*6*2</f>
        <v>30000</v>
      </c>
      <c r="L16" s="125">
        <f>+K16*0.22</f>
        <v>6600</v>
      </c>
      <c r="M16" s="124">
        <f t="shared" ref="M16" si="96">+K16</f>
        <v>30000</v>
      </c>
      <c r="N16" s="125">
        <f t="shared" ref="N16" si="97">+L16</f>
        <v>6600</v>
      </c>
      <c r="O16" s="124">
        <f t="shared" ref="O16" si="98">+M16</f>
        <v>30000</v>
      </c>
      <c r="P16" s="125">
        <f t="shared" ref="P16" si="99">+N16</f>
        <v>6600</v>
      </c>
      <c r="Q16" s="124">
        <f>+C16*4*2</f>
        <v>20000</v>
      </c>
      <c r="R16" s="125">
        <f>+Q16*0.22</f>
        <v>4400</v>
      </c>
      <c r="S16" s="124">
        <v>0</v>
      </c>
      <c r="T16" s="125"/>
      <c r="U16" s="124"/>
      <c r="V16" s="125"/>
      <c r="W16" s="124"/>
      <c r="X16" s="125"/>
      <c r="Y16" s="124"/>
      <c r="Z16" s="125"/>
      <c r="AA16" s="124"/>
      <c r="AB16" s="125"/>
      <c r="AC16" s="125">
        <f t="shared" ref="AC16:AC20" si="100">SUM(I16:AB16)</f>
        <v>146400</v>
      </c>
    </row>
    <row r="17" spans="1:29" s="116" customFormat="1" ht="11.25" x14ac:dyDescent="0.2">
      <c r="A17" s="120" t="s">
        <v>160</v>
      </c>
      <c r="B17" s="121" t="s">
        <v>44</v>
      </c>
      <c r="C17" s="122">
        <v>2500</v>
      </c>
      <c r="D17" s="122">
        <f>+(1*24)+(1*10)</f>
        <v>34</v>
      </c>
      <c r="E17" s="123">
        <f t="shared" si="95"/>
        <v>85000</v>
      </c>
      <c r="F17" s="124">
        <f>+E17</f>
        <v>85000</v>
      </c>
      <c r="G17" s="125">
        <f>+F17*0.22</f>
        <v>18700</v>
      </c>
      <c r="H17" s="133">
        <f>+G17+F17</f>
        <v>103700</v>
      </c>
      <c r="I17" s="124">
        <v>0</v>
      </c>
      <c r="J17" s="125">
        <v>0</v>
      </c>
      <c r="K17" s="124">
        <f>+C17*6</f>
        <v>15000</v>
      </c>
      <c r="L17" s="125">
        <f>+K17*0.22</f>
        <v>3300</v>
      </c>
      <c r="M17" s="124">
        <f t="shared" ref="M17:T17" si="101">+K17</f>
        <v>15000</v>
      </c>
      <c r="N17" s="125">
        <f t="shared" si="101"/>
        <v>3300</v>
      </c>
      <c r="O17" s="124">
        <f t="shared" si="101"/>
        <v>15000</v>
      </c>
      <c r="P17" s="125">
        <f t="shared" si="101"/>
        <v>3300</v>
      </c>
      <c r="Q17" s="124">
        <f t="shared" si="101"/>
        <v>15000</v>
      </c>
      <c r="R17" s="125">
        <f t="shared" si="101"/>
        <v>3300</v>
      </c>
      <c r="S17" s="124">
        <f t="shared" si="101"/>
        <v>15000</v>
      </c>
      <c r="T17" s="125">
        <f t="shared" si="101"/>
        <v>3300</v>
      </c>
      <c r="U17" s="124">
        <f>+C17*4</f>
        <v>10000</v>
      </c>
      <c r="V17" s="125">
        <f>+U17*0.22</f>
        <v>2200</v>
      </c>
      <c r="W17" s="124">
        <v>0</v>
      </c>
      <c r="X17" s="125">
        <v>0</v>
      </c>
      <c r="Y17" s="124">
        <v>0</v>
      </c>
      <c r="Z17" s="125">
        <v>0</v>
      </c>
      <c r="AA17" s="124">
        <v>0</v>
      </c>
      <c r="AB17" s="125">
        <v>0</v>
      </c>
      <c r="AC17" s="125">
        <f t="shared" si="100"/>
        <v>103700</v>
      </c>
    </row>
    <row r="18" spans="1:29" s="44" customFormat="1" ht="15.75" customHeight="1" x14ac:dyDescent="0.25">
      <c r="A18" s="54" t="s">
        <v>200</v>
      </c>
      <c r="B18" s="59" t="s">
        <v>58</v>
      </c>
      <c r="C18" s="43">
        <v>20000</v>
      </c>
      <c r="D18" s="43">
        <v>1</v>
      </c>
      <c r="E18" s="65">
        <f>+D18*C18</f>
        <v>20000</v>
      </c>
      <c r="F18" s="69">
        <f>+E18</f>
        <v>20000</v>
      </c>
      <c r="G18" s="70">
        <f>+F18*0.22</f>
        <v>4400</v>
      </c>
      <c r="H18" s="130">
        <f t="shared" si="93"/>
        <v>24400</v>
      </c>
      <c r="I18" s="69">
        <v>0</v>
      </c>
      <c r="J18" s="70">
        <v>0</v>
      </c>
      <c r="K18" s="69">
        <f>+F18*0.8</f>
        <v>16000</v>
      </c>
      <c r="L18" s="70">
        <f>+G18*0.8</f>
        <v>3520</v>
      </c>
      <c r="M18" s="69">
        <f>+F18*0.2</f>
        <v>4000</v>
      </c>
      <c r="N18" s="70">
        <f>+G18*0.2</f>
        <v>880</v>
      </c>
      <c r="O18" s="69">
        <v>0</v>
      </c>
      <c r="P18" s="70">
        <v>0</v>
      </c>
      <c r="Q18" s="69">
        <v>0</v>
      </c>
      <c r="R18" s="70">
        <v>0</v>
      </c>
      <c r="S18" s="69">
        <v>0</v>
      </c>
      <c r="T18" s="70">
        <v>0</v>
      </c>
      <c r="U18" s="69">
        <v>0</v>
      </c>
      <c r="V18" s="70">
        <v>0</v>
      </c>
      <c r="W18" s="69">
        <v>0</v>
      </c>
      <c r="X18" s="70">
        <v>0</v>
      </c>
      <c r="Y18" s="69">
        <v>0</v>
      </c>
      <c r="Z18" s="70">
        <v>0</v>
      </c>
      <c r="AA18" s="69">
        <v>0</v>
      </c>
      <c r="AB18" s="70">
        <v>0</v>
      </c>
      <c r="AC18" s="118">
        <f t="shared" si="100"/>
        <v>24400</v>
      </c>
    </row>
    <row r="19" spans="1:29" s="44" customFormat="1" ht="15.75" customHeight="1" x14ac:dyDescent="0.25">
      <c r="A19" s="54" t="s">
        <v>201</v>
      </c>
      <c r="B19" s="59" t="s">
        <v>58</v>
      </c>
      <c r="C19" s="43">
        <v>20000</v>
      </c>
      <c r="D19" s="43">
        <v>1</v>
      </c>
      <c r="E19" s="65">
        <f>+D19*C19</f>
        <v>20000</v>
      </c>
      <c r="F19" s="69">
        <f>+E19</f>
        <v>20000</v>
      </c>
      <c r="G19" s="70">
        <f>+F19*0.22</f>
        <v>4400</v>
      </c>
      <c r="H19" s="130">
        <f t="shared" si="93"/>
        <v>24400</v>
      </c>
      <c r="I19" s="69">
        <v>0</v>
      </c>
      <c r="J19" s="70">
        <v>0</v>
      </c>
      <c r="K19" s="69">
        <f>+F19*0.8</f>
        <v>16000</v>
      </c>
      <c r="L19" s="70">
        <f>+G19*0.8</f>
        <v>3520</v>
      </c>
      <c r="M19" s="69">
        <f>+F19*0.2</f>
        <v>4000</v>
      </c>
      <c r="N19" s="70">
        <f>+G19*0.2</f>
        <v>880</v>
      </c>
      <c r="O19" s="69">
        <v>0</v>
      </c>
      <c r="P19" s="70">
        <v>0</v>
      </c>
      <c r="Q19" s="69">
        <v>0</v>
      </c>
      <c r="R19" s="70">
        <v>0</v>
      </c>
      <c r="S19" s="69">
        <v>0</v>
      </c>
      <c r="T19" s="70">
        <v>0</v>
      </c>
      <c r="U19" s="69">
        <v>0</v>
      </c>
      <c r="V19" s="70">
        <v>0</v>
      </c>
      <c r="W19" s="69">
        <v>0</v>
      </c>
      <c r="X19" s="70">
        <v>0</v>
      </c>
      <c r="Y19" s="69">
        <v>0</v>
      </c>
      <c r="Z19" s="70">
        <v>0</v>
      </c>
      <c r="AA19" s="69">
        <v>0</v>
      </c>
      <c r="AB19" s="70">
        <v>0</v>
      </c>
      <c r="AC19" s="118">
        <f t="shared" ref="AC19" si="102">SUM(I19:AB19)</f>
        <v>24400</v>
      </c>
    </row>
    <row r="20" spans="1:29" s="29" customFormat="1" ht="39.75" customHeight="1" x14ac:dyDescent="0.25">
      <c r="A20" s="54" t="s">
        <v>202</v>
      </c>
      <c r="B20" s="59" t="s">
        <v>58</v>
      </c>
      <c r="C20" s="28">
        <v>36000</v>
      </c>
      <c r="D20" s="43">
        <v>1</v>
      </c>
      <c r="E20" s="65">
        <f t="shared" ref="E20" si="103">+D20*C20</f>
        <v>36000</v>
      </c>
      <c r="F20" s="117">
        <f>+E20</f>
        <v>36000</v>
      </c>
      <c r="G20" s="118">
        <f>+F20*0.22</f>
        <v>7920</v>
      </c>
      <c r="H20" s="132">
        <f>+G20+F20</f>
        <v>43920</v>
      </c>
      <c r="I20" s="117">
        <v>0</v>
      </c>
      <c r="J20" s="118">
        <v>0</v>
      </c>
      <c r="K20" s="117">
        <v>0</v>
      </c>
      <c r="L20" s="118">
        <v>0</v>
      </c>
      <c r="M20" s="117">
        <f>+F20*0.1</f>
        <v>3600</v>
      </c>
      <c r="N20" s="118">
        <f>+G20*0.1</f>
        <v>792</v>
      </c>
      <c r="O20" s="117">
        <f>+F20*0.15</f>
        <v>5400</v>
      </c>
      <c r="P20" s="118">
        <f>+G20*0.15</f>
        <v>1188</v>
      </c>
      <c r="Q20" s="117">
        <f>+F20*0.2</f>
        <v>7200</v>
      </c>
      <c r="R20" s="118">
        <f>+G20*0.2</f>
        <v>1584</v>
      </c>
      <c r="S20" s="117">
        <f>+F20*0.1</f>
        <v>3600</v>
      </c>
      <c r="T20" s="118">
        <f>+G20*0.1</f>
        <v>792</v>
      </c>
      <c r="U20" s="117">
        <f>+F20*0.15</f>
        <v>5400</v>
      </c>
      <c r="V20" s="118">
        <f>+G20*0.15</f>
        <v>1188</v>
      </c>
      <c r="W20" s="117">
        <f>+F20*0.15</f>
        <v>5400</v>
      </c>
      <c r="X20" s="118">
        <f>+G20*0.15</f>
        <v>1188</v>
      </c>
      <c r="Y20" s="117">
        <f>+F20*0.15</f>
        <v>5400</v>
      </c>
      <c r="Z20" s="118">
        <f>+G20*0.15</f>
        <v>1188</v>
      </c>
      <c r="AA20" s="117">
        <v>0</v>
      </c>
      <c r="AB20" s="118">
        <v>0</v>
      </c>
      <c r="AC20" s="118">
        <f t="shared" si="100"/>
        <v>43920</v>
      </c>
    </row>
    <row r="21" spans="1:29" s="41" customFormat="1" x14ac:dyDescent="0.25">
      <c r="A21" s="52" t="s">
        <v>152</v>
      </c>
      <c r="B21" s="60"/>
      <c r="C21" s="45"/>
      <c r="D21" s="45"/>
      <c r="E21" s="62">
        <f t="shared" ref="E21:G22" si="104">+E22</f>
        <v>60000</v>
      </c>
      <c r="F21" s="68">
        <f t="shared" si="104"/>
        <v>60000</v>
      </c>
      <c r="G21" s="46">
        <f t="shared" si="104"/>
        <v>13200</v>
      </c>
      <c r="H21" s="129">
        <f>+G21+F21</f>
        <v>73200</v>
      </c>
      <c r="I21" s="68">
        <f t="shared" ref="I21:R22" si="105">+I22</f>
        <v>5000</v>
      </c>
      <c r="J21" s="46">
        <f t="shared" si="105"/>
        <v>1100</v>
      </c>
      <c r="K21" s="68">
        <f t="shared" si="105"/>
        <v>15000</v>
      </c>
      <c r="L21" s="46">
        <f t="shared" si="105"/>
        <v>3300</v>
      </c>
      <c r="M21" s="68">
        <f t="shared" si="105"/>
        <v>15000</v>
      </c>
      <c r="N21" s="46">
        <f t="shared" si="105"/>
        <v>3300</v>
      </c>
      <c r="O21" s="68">
        <f t="shared" si="105"/>
        <v>15000</v>
      </c>
      <c r="P21" s="46">
        <f t="shared" si="105"/>
        <v>3300</v>
      </c>
      <c r="Q21" s="68">
        <f t="shared" si="105"/>
        <v>10000</v>
      </c>
      <c r="R21" s="46">
        <f t="shared" si="105"/>
        <v>2200</v>
      </c>
      <c r="S21" s="68">
        <f t="shared" ref="S21:AB22" si="106">+S22</f>
        <v>0</v>
      </c>
      <c r="T21" s="46">
        <f t="shared" si="106"/>
        <v>0</v>
      </c>
      <c r="U21" s="68">
        <f t="shared" si="106"/>
        <v>0</v>
      </c>
      <c r="V21" s="46">
        <f t="shared" si="106"/>
        <v>0</v>
      </c>
      <c r="W21" s="68">
        <f t="shared" si="106"/>
        <v>0</v>
      </c>
      <c r="X21" s="46">
        <f t="shared" si="106"/>
        <v>0</v>
      </c>
      <c r="Y21" s="68">
        <f t="shared" si="106"/>
        <v>0</v>
      </c>
      <c r="Z21" s="46">
        <f t="shared" si="106"/>
        <v>0</v>
      </c>
      <c r="AA21" s="68">
        <f t="shared" si="106"/>
        <v>0</v>
      </c>
      <c r="AB21" s="46">
        <f t="shared" si="106"/>
        <v>0</v>
      </c>
      <c r="AC21" s="46">
        <f t="shared" ref="AC21:AC22" si="107">+AC22</f>
        <v>73200</v>
      </c>
    </row>
    <row r="22" spans="1:29" s="29" customFormat="1" x14ac:dyDescent="0.25">
      <c r="A22" s="54" t="s">
        <v>218</v>
      </c>
      <c r="B22" s="59"/>
      <c r="C22" s="28"/>
      <c r="D22" s="28"/>
      <c r="E22" s="65">
        <f t="shared" si="104"/>
        <v>60000</v>
      </c>
      <c r="F22" s="69">
        <f t="shared" si="104"/>
        <v>60000</v>
      </c>
      <c r="G22" s="70">
        <f t="shared" si="104"/>
        <v>13200</v>
      </c>
      <c r="H22" s="130">
        <f t="shared" ref="H22" si="108">+G22+F22</f>
        <v>73200</v>
      </c>
      <c r="I22" s="69">
        <f t="shared" si="105"/>
        <v>5000</v>
      </c>
      <c r="J22" s="70">
        <f t="shared" si="105"/>
        <v>1100</v>
      </c>
      <c r="K22" s="69">
        <f t="shared" si="105"/>
        <v>15000</v>
      </c>
      <c r="L22" s="70">
        <f t="shared" si="105"/>
        <v>3300</v>
      </c>
      <c r="M22" s="69">
        <f t="shared" si="105"/>
        <v>15000</v>
      </c>
      <c r="N22" s="70">
        <f t="shared" si="105"/>
        <v>3300</v>
      </c>
      <c r="O22" s="69">
        <f t="shared" si="105"/>
        <v>15000</v>
      </c>
      <c r="P22" s="70">
        <f t="shared" si="105"/>
        <v>3300</v>
      </c>
      <c r="Q22" s="69">
        <f t="shared" si="105"/>
        <v>10000</v>
      </c>
      <c r="R22" s="70">
        <f t="shared" si="105"/>
        <v>2200</v>
      </c>
      <c r="S22" s="69">
        <f t="shared" si="106"/>
        <v>0</v>
      </c>
      <c r="T22" s="70">
        <f t="shared" si="106"/>
        <v>0</v>
      </c>
      <c r="U22" s="69">
        <f t="shared" si="106"/>
        <v>0</v>
      </c>
      <c r="V22" s="70">
        <f t="shared" si="106"/>
        <v>0</v>
      </c>
      <c r="W22" s="69">
        <f t="shared" si="106"/>
        <v>0</v>
      </c>
      <c r="X22" s="70">
        <f t="shared" si="106"/>
        <v>0</v>
      </c>
      <c r="Y22" s="69">
        <f t="shared" si="106"/>
        <v>0</v>
      </c>
      <c r="Z22" s="70">
        <f t="shared" si="106"/>
        <v>0</v>
      </c>
      <c r="AA22" s="69">
        <f t="shared" si="106"/>
        <v>0</v>
      </c>
      <c r="AB22" s="70">
        <f t="shared" si="106"/>
        <v>0</v>
      </c>
      <c r="AC22" s="70">
        <f t="shared" si="107"/>
        <v>73200</v>
      </c>
    </row>
    <row r="23" spans="1:29" s="116" customFormat="1" ht="11.25" x14ac:dyDescent="0.2">
      <c r="A23" s="120" t="s">
        <v>159</v>
      </c>
      <c r="B23" s="121" t="s">
        <v>44</v>
      </c>
      <c r="C23" s="122">
        <v>2500</v>
      </c>
      <c r="D23" s="122">
        <f>1*24</f>
        <v>24</v>
      </c>
      <c r="E23" s="123">
        <f t="shared" ref="E23" si="109">+D23*C23</f>
        <v>60000</v>
      </c>
      <c r="F23" s="124">
        <f>+E23</f>
        <v>60000</v>
      </c>
      <c r="G23" s="125">
        <f>+F23*0.22</f>
        <v>13200</v>
      </c>
      <c r="H23" s="133">
        <f>+G23+F23</f>
        <v>73200</v>
      </c>
      <c r="I23" s="124">
        <f>+C23*2</f>
        <v>5000</v>
      </c>
      <c r="J23" s="125">
        <f>+I23*0.22</f>
        <v>1100</v>
      </c>
      <c r="K23" s="124">
        <f>+C23*6</f>
        <v>15000</v>
      </c>
      <c r="L23" s="125">
        <f>+K23*0.22</f>
        <v>3300</v>
      </c>
      <c r="M23" s="124">
        <f t="shared" ref="M23" si="110">+K23</f>
        <v>15000</v>
      </c>
      <c r="N23" s="125">
        <f t="shared" ref="N23" si="111">+L23</f>
        <v>3300</v>
      </c>
      <c r="O23" s="124">
        <f t="shared" ref="O23" si="112">+M23</f>
        <v>15000</v>
      </c>
      <c r="P23" s="125">
        <f t="shared" ref="P23" si="113">+N23</f>
        <v>3300</v>
      </c>
      <c r="Q23" s="124">
        <f>+C23*4</f>
        <v>10000</v>
      </c>
      <c r="R23" s="125">
        <f>+Q23*0.22</f>
        <v>2200</v>
      </c>
      <c r="S23" s="124">
        <v>0</v>
      </c>
      <c r="T23" s="125">
        <v>0</v>
      </c>
      <c r="U23" s="124">
        <v>0</v>
      </c>
      <c r="V23" s="125">
        <v>0</v>
      </c>
      <c r="W23" s="124">
        <v>0</v>
      </c>
      <c r="X23" s="125">
        <v>0</v>
      </c>
      <c r="Y23" s="124">
        <v>0</v>
      </c>
      <c r="Z23" s="125">
        <v>0</v>
      </c>
      <c r="AA23" s="124">
        <v>0</v>
      </c>
      <c r="AB23" s="125">
        <v>0</v>
      </c>
      <c r="AC23" s="125">
        <f t="shared" ref="AC23" si="114">SUM(I23:AB23)</f>
        <v>73200</v>
      </c>
    </row>
    <row r="24" spans="1:29" s="26" customFormat="1" ht="28.5" customHeight="1" x14ac:dyDescent="0.25">
      <c r="A24" s="55" t="s">
        <v>146</v>
      </c>
      <c r="B24" s="61"/>
      <c r="C24" s="50"/>
      <c r="D24" s="50"/>
      <c r="E24" s="64">
        <f>+E29+E30+E31+E25+E26</f>
        <v>610000</v>
      </c>
      <c r="F24" s="67">
        <f>+F29+F30+F31+F25+F26</f>
        <v>610000</v>
      </c>
      <c r="G24" s="51">
        <f>+G29+G30+G31+G25+G26</f>
        <v>134200</v>
      </c>
      <c r="H24" s="128">
        <f t="shared" ref="H24:H29" si="115">+G24+F24</f>
        <v>744200</v>
      </c>
      <c r="I24" s="67">
        <f t="shared" ref="I24:AC24" si="116">+I29+I30+I31+I25+I26</f>
        <v>10000</v>
      </c>
      <c r="J24" s="51">
        <f t="shared" si="116"/>
        <v>2200</v>
      </c>
      <c r="K24" s="67">
        <f t="shared" si="116"/>
        <v>127000</v>
      </c>
      <c r="L24" s="51">
        <f t="shared" si="116"/>
        <v>27940</v>
      </c>
      <c r="M24" s="67">
        <f t="shared" si="116"/>
        <v>140000</v>
      </c>
      <c r="N24" s="51">
        <f t="shared" si="116"/>
        <v>30800</v>
      </c>
      <c r="O24" s="67">
        <f t="shared" si="116"/>
        <v>140000</v>
      </c>
      <c r="P24" s="51">
        <f t="shared" si="116"/>
        <v>30800</v>
      </c>
      <c r="Q24" s="67">
        <f t="shared" si="116"/>
        <v>117000</v>
      </c>
      <c r="R24" s="51">
        <f t="shared" si="116"/>
        <v>25740</v>
      </c>
      <c r="S24" s="67">
        <f t="shared" si="116"/>
        <v>26000</v>
      </c>
      <c r="T24" s="51">
        <f t="shared" si="116"/>
        <v>5720</v>
      </c>
      <c r="U24" s="67">
        <f t="shared" si="116"/>
        <v>30000</v>
      </c>
      <c r="V24" s="51">
        <f t="shared" si="116"/>
        <v>6600</v>
      </c>
      <c r="W24" s="67">
        <f t="shared" si="116"/>
        <v>20000</v>
      </c>
      <c r="X24" s="51">
        <f t="shared" si="116"/>
        <v>4400</v>
      </c>
      <c r="Y24" s="67">
        <f t="shared" si="116"/>
        <v>0</v>
      </c>
      <c r="Z24" s="51">
        <f t="shared" si="116"/>
        <v>0</v>
      </c>
      <c r="AA24" s="67">
        <f t="shared" si="116"/>
        <v>0</v>
      </c>
      <c r="AB24" s="51">
        <f t="shared" si="116"/>
        <v>0</v>
      </c>
      <c r="AC24" s="51">
        <f t="shared" si="116"/>
        <v>744200</v>
      </c>
    </row>
    <row r="25" spans="1:29" s="48" customFormat="1" ht="22.5" x14ac:dyDescent="0.25">
      <c r="A25" s="54" t="s">
        <v>203</v>
      </c>
      <c r="B25" s="59" t="s">
        <v>58</v>
      </c>
      <c r="C25" s="47">
        <v>80000</v>
      </c>
      <c r="D25" s="47">
        <v>1</v>
      </c>
      <c r="E25" s="65">
        <f>+D25*C25</f>
        <v>80000</v>
      </c>
      <c r="F25" s="119">
        <f>+E25</f>
        <v>80000</v>
      </c>
      <c r="G25" s="118">
        <f>+F25*0.22</f>
        <v>17600</v>
      </c>
      <c r="H25" s="132">
        <f>+G25+F25</f>
        <v>97600</v>
      </c>
      <c r="I25" s="119">
        <v>0</v>
      </c>
      <c r="J25" s="118">
        <v>0</v>
      </c>
      <c r="K25" s="119">
        <v>0</v>
      </c>
      <c r="L25" s="118">
        <v>0</v>
      </c>
      <c r="M25" s="119">
        <f>+F25*0.2</f>
        <v>16000</v>
      </c>
      <c r="N25" s="118">
        <f>+G25*0.2</f>
        <v>3520</v>
      </c>
      <c r="O25" s="119">
        <f>+F25*0.2</f>
        <v>16000</v>
      </c>
      <c r="P25" s="118">
        <f>+G25*0.2</f>
        <v>3520</v>
      </c>
      <c r="Q25" s="119">
        <f>+F25*0.4</f>
        <v>32000</v>
      </c>
      <c r="R25" s="118">
        <f>+G25*0.4</f>
        <v>7040</v>
      </c>
      <c r="S25" s="119">
        <f>+F25*0.2</f>
        <v>16000</v>
      </c>
      <c r="T25" s="118">
        <f>+G25*0.2</f>
        <v>3520</v>
      </c>
      <c r="U25" s="119"/>
      <c r="V25" s="118"/>
      <c r="W25" s="119"/>
      <c r="X25" s="118"/>
      <c r="Y25" s="119"/>
      <c r="Z25" s="118"/>
      <c r="AA25" s="119"/>
      <c r="AB25" s="118"/>
      <c r="AC25" s="118">
        <f t="shared" ref="AC25" si="117">SUM(I25:AB25)</f>
        <v>97600</v>
      </c>
    </row>
    <row r="26" spans="1:29" s="48" customFormat="1" x14ac:dyDescent="0.25">
      <c r="A26" s="54" t="s">
        <v>219</v>
      </c>
      <c r="B26" s="59"/>
      <c r="C26" s="47"/>
      <c r="D26" s="47"/>
      <c r="E26" s="65">
        <f>+E27+E28</f>
        <v>300000</v>
      </c>
      <c r="F26" s="119">
        <f>+F27+F28</f>
        <v>300000</v>
      </c>
      <c r="G26" s="118">
        <f>+G27+G28</f>
        <v>66000</v>
      </c>
      <c r="H26" s="132">
        <f t="shared" ref="H26" si="118">+G26+F26</f>
        <v>366000</v>
      </c>
      <c r="I26" s="119">
        <f t="shared" ref="I26:AC26" si="119">+I27+I28</f>
        <v>10000</v>
      </c>
      <c r="J26" s="118">
        <f t="shared" si="119"/>
        <v>2200</v>
      </c>
      <c r="K26" s="119">
        <f t="shared" si="119"/>
        <v>75000</v>
      </c>
      <c r="L26" s="118">
        <f t="shared" si="119"/>
        <v>16500</v>
      </c>
      <c r="M26" s="119">
        <f t="shared" si="119"/>
        <v>75000</v>
      </c>
      <c r="N26" s="118">
        <f t="shared" si="119"/>
        <v>16500</v>
      </c>
      <c r="O26" s="119">
        <f t="shared" si="119"/>
        <v>75000</v>
      </c>
      <c r="P26" s="118">
        <f t="shared" si="119"/>
        <v>16500</v>
      </c>
      <c r="Q26" s="119">
        <f t="shared" si="119"/>
        <v>65000</v>
      </c>
      <c r="R26" s="118">
        <f t="shared" si="119"/>
        <v>14300</v>
      </c>
      <c r="S26" s="119">
        <f t="shared" si="119"/>
        <v>0</v>
      </c>
      <c r="T26" s="118">
        <f t="shared" si="119"/>
        <v>0</v>
      </c>
      <c r="U26" s="119">
        <f t="shared" si="119"/>
        <v>0</v>
      </c>
      <c r="V26" s="118">
        <f t="shared" si="119"/>
        <v>0</v>
      </c>
      <c r="W26" s="119">
        <f t="shared" si="119"/>
        <v>0</v>
      </c>
      <c r="X26" s="118">
        <f t="shared" si="119"/>
        <v>0</v>
      </c>
      <c r="Y26" s="119">
        <f t="shared" si="119"/>
        <v>0</v>
      </c>
      <c r="Z26" s="118">
        <f t="shared" si="119"/>
        <v>0</v>
      </c>
      <c r="AA26" s="119">
        <f t="shared" si="119"/>
        <v>0</v>
      </c>
      <c r="AB26" s="118">
        <f t="shared" si="119"/>
        <v>0</v>
      </c>
      <c r="AC26" s="118">
        <f t="shared" si="119"/>
        <v>366000</v>
      </c>
    </row>
    <row r="27" spans="1:29" s="116" customFormat="1" ht="11.25" x14ac:dyDescent="0.2">
      <c r="A27" s="120" t="s">
        <v>159</v>
      </c>
      <c r="B27" s="121" t="s">
        <v>44</v>
      </c>
      <c r="C27" s="122">
        <v>2500</v>
      </c>
      <c r="D27" s="122">
        <f>2*24</f>
        <v>48</v>
      </c>
      <c r="E27" s="123">
        <f t="shared" ref="E27" si="120">+D27*C27</f>
        <v>120000</v>
      </c>
      <c r="F27" s="124">
        <f>+E27</f>
        <v>120000</v>
      </c>
      <c r="G27" s="125">
        <f>+F27*0.22</f>
        <v>26400</v>
      </c>
      <c r="H27" s="133">
        <f>+G27+F27</f>
        <v>146400</v>
      </c>
      <c r="I27" s="124">
        <f>+C27*2*2</f>
        <v>10000</v>
      </c>
      <c r="J27" s="125">
        <f>+I27*0.22</f>
        <v>2200</v>
      </c>
      <c r="K27" s="124">
        <f>+C27*2*6</f>
        <v>30000</v>
      </c>
      <c r="L27" s="125">
        <f>+K27*0.22</f>
        <v>6600</v>
      </c>
      <c r="M27" s="124">
        <f t="shared" ref="M27:P27" si="121">+K27</f>
        <v>30000</v>
      </c>
      <c r="N27" s="125">
        <f t="shared" si="121"/>
        <v>6600</v>
      </c>
      <c r="O27" s="124">
        <f t="shared" si="121"/>
        <v>30000</v>
      </c>
      <c r="P27" s="125">
        <f t="shared" si="121"/>
        <v>6600</v>
      </c>
      <c r="Q27" s="124">
        <f>+C27*2*4</f>
        <v>20000</v>
      </c>
      <c r="R27" s="125">
        <f>+Q27*0.22</f>
        <v>4400</v>
      </c>
      <c r="S27" s="124">
        <v>0</v>
      </c>
      <c r="T27" s="125">
        <v>0</v>
      </c>
      <c r="U27" s="124">
        <v>0</v>
      </c>
      <c r="V27" s="125">
        <v>0</v>
      </c>
      <c r="W27" s="124">
        <v>0</v>
      </c>
      <c r="X27" s="125">
        <v>0</v>
      </c>
      <c r="Y27" s="124">
        <v>0</v>
      </c>
      <c r="Z27" s="125">
        <v>0</v>
      </c>
      <c r="AA27" s="124">
        <v>0</v>
      </c>
      <c r="AB27" s="125">
        <v>0</v>
      </c>
      <c r="AC27" s="125">
        <f t="shared" ref="AC27:AC31" si="122">SUM(I27:AB27)</f>
        <v>146400</v>
      </c>
    </row>
    <row r="28" spans="1:29" s="116" customFormat="1" ht="11.25" x14ac:dyDescent="0.2">
      <c r="A28" s="120" t="s">
        <v>160</v>
      </c>
      <c r="B28" s="121" t="s">
        <v>44</v>
      </c>
      <c r="C28" s="122">
        <v>2500</v>
      </c>
      <c r="D28" s="122">
        <f>3*24</f>
        <v>72</v>
      </c>
      <c r="E28" s="123">
        <f t="shared" ref="E28" si="123">+D28*C28</f>
        <v>180000</v>
      </c>
      <c r="F28" s="124">
        <f>+E28</f>
        <v>180000</v>
      </c>
      <c r="G28" s="125">
        <f>+F28*0.22</f>
        <v>39600</v>
      </c>
      <c r="H28" s="133">
        <f>+G28+F28</f>
        <v>219600</v>
      </c>
      <c r="I28" s="124">
        <v>0</v>
      </c>
      <c r="J28" s="125">
        <v>0</v>
      </c>
      <c r="K28" s="124">
        <f>+C28*6*3</f>
        <v>45000</v>
      </c>
      <c r="L28" s="125">
        <f>+K28*0.22</f>
        <v>9900</v>
      </c>
      <c r="M28" s="124">
        <f t="shared" ref="M28:R28" si="124">+K28</f>
        <v>45000</v>
      </c>
      <c r="N28" s="125">
        <f t="shared" si="124"/>
        <v>9900</v>
      </c>
      <c r="O28" s="124">
        <f t="shared" si="124"/>
        <v>45000</v>
      </c>
      <c r="P28" s="125">
        <f t="shared" si="124"/>
        <v>9900</v>
      </c>
      <c r="Q28" s="124">
        <f t="shared" si="124"/>
        <v>45000</v>
      </c>
      <c r="R28" s="125">
        <f t="shared" si="124"/>
        <v>9900</v>
      </c>
      <c r="S28" s="124">
        <v>0</v>
      </c>
      <c r="T28" s="125">
        <v>0</v>
      </c>
      <c r="U28" s="124">
        <v>0</v>
      </c>
      <c r="V28" s="125">
        <v>0</v>
      </c>
      <c r="W28" s="124">
        <v>0</v>
      </c>
      <c r="X28" s="125">
        <v>0</v>
      </c>
      <c r="Y28" s="124">
        <v>0</v>
      </c>
      <c r="Z28" s="125">
        <v>0</v>
      </c>
      <c r="AA28" s="124">
        <v>0</v>
      </c>
      <c r="AB28" s="125">
        <v>0</v>
      </c>
      <c r="AC28" s="125">
        <f t="shared" si="122"/>
        <v>219600</v>
      </c>
    </row>
    <row r="29" spans="1:29" s="29" customFormat="1" x14ac:dyDescent="0.25">
      <c r="A29" s="54" t="s">
        <v>204</v>
      </c>
      <c r="B29" s="59" t="s">
        <v>58</v>
      </c>
      <c r="C29" s="47">
        <v>96000</v>
      </c>
      <c r="D29" s="47">
        <v>1</v>
      </c>
      <c r="E29" s="65">
        <f>+D29*C29</f>
        <v>96000</v>
      </c>
      <c r="F29" s="71">
        <v>96000</v>
      </c>
      <c r="G29" s="70">
        <f>+F29*0.22</f>
        <v>21120</v>
      </c>
      <c r="H29" s="130">
        <f t="shared" si="115"/>
        <v>117120</v>
      </c>
      <c r="I29" s="71">
        <v>0</v>
      </c>
      <c r="J29" s="70">
        <v>0</v>
      </c>
      <c r="K29" s="71">
        <f>+F29*0.4</f>
        <v>38400</v>
      </c>
      <c r="L29" s="70">
        <f>+G29*0.4</f>
        <v>8448</v>
      </c>
      <c r="M29" s="71">
        <f>+F29*0.3</f>
        <v>28800</v>
      </c>
      <c r="N29" s="70">
        <f>+G29*0.3</f>
        <v>6336</v>
      </c>
      <c r="O29" s="71">
        <f>+F29*0.3</f>
        <v>28800</v>
      </c>
      <c r="P29" s="70">
        <f>+G29*0.3</f>
        <v>6336</v>
      </c>
      <c r="Q29" s="71">
        <v>0</v>
      </c>
      <c r="R29" s="70">
        <v>0</v>
      </c>
      <c r="S29" s="71">
        <v>0</v>
      </c>
      <c r="T29" s="70">
        <v>0</v>
      </c>
      <c r="U29" s="71">
        <v>0</v>
      </c>
      <c r="V29" s="70">
        <v>0</v>
      </c>
      <c r="W29" s="71">
        <v>0</v>
      </c>
      <c r="X29" s="70">
        <v>0</v>
      </c>
      <c r="Y29" s="71">
        <v>0</v>
      </c>
      <c r="Z29" s="70">
        <v>0</v>
      </c>
      <c r="AA29" s="71">
        <v>0</v>
      </c>
      <c r="AB29" s="70">
        <v>0</v>
      </c>
      <c r="AC29" s="118">
        <f t="shared" si="122"/>
        <v>117120</v>
      </c>
    </row>
    <row r="30" spans="1:29" s="29" customFormat="1" x14ac:dyDescent="0.25">
      <c r="A30" s="54" t="s">
        <v>205</v>
      </c>
      <c r="B30" s="59" t="s">
        <v>58</v>
      </c>
      <c r="C30" s="28">
        <v>100000</v>
      </c>
      <c r="D30" s="28">
        <v>1</v>
      </c>
      <c r="E30" s="65">
        <f>+D30*C30</f>
        <v>100000</v>
      </c>
      <c r="F30" s="71">
        <f>+E30</f>
        <v>100000</v>
      </c>
      <c r="G30" s="70">
        <f>+F30*0.22</f>
        <v>22000</v>
      </c>
      <c r="H30" s="130">
        <f t="shared" ref="H30" si="125">+G30+F30</f>
        <v>122000</v>
      </c>
      <c r="I30" s="71">
        <v>0</v>
      </c>
      <c r="J30" s="70">
        <v>0</v>
      </c>
      <c r="K30" s="71">
        <v>0</v>
      </c>
      <c r="L30" s="70">
        <v>0</v>
      </c>
      <c r="M30" s="71">
        <f>+F30*0.1</f>
        <v>10000</v>
      </c>
      <c r="N30" s="70">
        <f>+G30*0.1</f>
        <v>2200</v>
      </c>
      <c r="O30" s="71">
        <f>+F30*0.1</f>
        <v>10000</v>
      </c>
      <c r="P30" s="70">
        <f>+G30*0.1</f>
        <v>2200</v>
      </c>
      <c r="Q30" s="71">
        <f>+F30*0.2</f>
        <v>20000</v>
      </c>
      <c r="R30" s="70">
        <f>+G30*0.2</f>
        <v>4400</v>
      </c>
      <c r="S30" s="71">
        <f>+F30*0.1</f>
        <v>10000</v>
      </c>
      <c r="T30" s="70">
        <f>+G30*0.1</f>
        <v>2200</v>
      </c>
      <c r="U30" s="71">
        <f>+F30*0.3</f>
        <v>30000</v>
      </c>
      <c r="V30" s="70">
        <f>+G30*0.3</f>
        <v>6600</v>
      </c>
      <c r="W30" s="71">
        <f>+F30*0.2</f>
        <v>20000</v>
      </c>
      <c r="X30" s="70">
        <f>+G30*0.2</f>
        <v>4400</v>
      </c>
      <c r="Y30" s="71">
        <v>0</v>
      </c>
      <c r="Z30" s="70">
        <v>0</v>
      </c>
      <c r="AA30" s="71">
        <v>0</v>
      </c>
      <c r="AB30" s="70">
        <v>0</v>
      </c>
      <c r="AC30" s="118">
        <f t="shared" si="122"/>
        <v>122000</v>
      </c>
    </row>
    <row r="31" spans="1:29" s="29" customFormat="1" x14ac:dyDescent="0.25">
      <c r="A31" s="54" t="s">
        <v>206</v>
      </c>
      <c r="B31" s="59" t="s">
        <v>58</v>
      </c>
      <c r="C31" s="28">
        <v>34000</v>
      </c>
      <c r="D31" s="28">
        <v>1</v>
      </c>
      <c r="E31" s="65">
        <f>+D31*C31</f>
        <v>34000</v>
      </c>
      <c r="F31" s="71">
        <f>+E31</f>
        <v>34000</v>
      </c>
      <c r="G31" s="70">
        <f>+F31*0.22</f>
        <v>7480</v>
      </c>
      <c r="H31" s="130">
        <f t="shared" ref="H31:H37" si="126">+G31+F31</f>
        <v>41480</v>
      </c>
      <c r="I31" s="71">
        <v>0</v>
      </c>
      <c r="J31" s="70">
        <v>0</v>
      </c>
      <c r="K31" s="71">
        <f>+F31*0.4</f>
        <v>13600</v>
      </c>
      <c r="L31" s="70">
        <f>+G31*0.4</f>
        <v>2992</v>
      </c>
      <c r="M31" s="71">
        <f>+F31*0.3</f>
        <v>10200</v>
      </c>
      <c r="N31" s="70">
        <f>+G31*0.3</f>
        <v>2244</v>
      </c>
      <c r="O31" s="71">
        <f>+F31*0.3</f>
        <v>10200</v>
      </c>
      <c r="P31" s="70">
        <f>+G31*0.3</f>
        <v>2244</v>
      </c>
      <c r="Q31" s="71">
        <v>0</v>
      </c>
      <c r="R31" s="70">
        <v>0</v>
      </c>
      <c r="S31" s="71">
        <v>0</v>
      </c>
      <c r="T31" s="70">
        <v>0</v>
      </c>
      <c r="U31" s="71">
        <v>0</v>
      </c>
      <c r="V31" s="70">
        <v>0</v>
      </c>
      <c r="W31" s="71">
        <v>0</v>
      </c>
      <c r="X31" s="70">
        <v>0</v>
      </c>
      <c r="Y31" s="71">
        <v>0</v>
      </c>
      <c r="Z31" s="70">
        <v>0</v>
      </c>
      <c r="AA31" s="71">
        <v>0</v>
      </c>
      <c r="AB31" s="70">
        <v>0</v>
      </c>
      <c r="AC31" s="118">
        <f t="shared" si="122"/>
        <v>41480</v>
      </c>
    </row>
    <row r="32" spans="1:29" s="26" customFormat="1" ht="28.5" customHeight="1" x14ac:dyDescent="0.25">
      <c r="A32" s="55" t="s">
        <v>154</v>
      </c>
      <c r="B32" s="61"/>
      <c r="C32" s="50"/>
      <c r="D32" s="50"/>
      <c r="E32" s="64">
        <f>+E33+E40+E42</f>
        <v>845000</v>
      </c>
      <c r="F32" s="67">
        <f t="shared" ref="F32:G32" si="127">+F33+F40+F42</f>
        <v>845000</v>
      </c>
      <c r="G32" s="51">
        <f t="shared" si="127"/>
        <v>185900</v>
      </c>
      <c r="H32" s="128">
        <f t="shared" si="126"/>
        <v>1030900</v>
      </c>
      <c r="I32" s="67">
        <f t="shared" ref="I32" si="128">+I33+I40+I42</f>
        <v>45000</v>
      </c>
      <c r="J32" s="51">
        <f t="shared" ref="J32" si="129">+J33+J40+J42</f>
        <v>9900</v>
      </c>
      <c r="K32" s="67">
        <f t="shared" ref="K32" si="130">+K33+K40+K42</f>
        <v>231000</v>
      </c>
      <c r="L32" s="51">
        <f t="shared" ref="L32" si="131">+L33+L40+L42</f>
        <v>50820</v>
      </c>
      <c r="M32" s="67">
        <f t="shared" ref="M32" si="132">+M33+M40+M42</f>
        <v>218000</v>
      </c>
      <c r="N32" s="51">
        <f t="shared" ref="N32" si="133">+N33+N40+N42</f>
        <v>47960</v>
      </c>
      <c r="O32" s="67">
        <f t="shared" ref="O32" si="134">+O33+O40+O42</f>
        <v>175200</v>
      </c>
      <c r="P32" s="51">
        <f t="shared" ref="P32" si="135">+P33+P40+P42</f>
        <v>38544</v>
      </c>
      <c r="Q32" s="67">
        <f t="shared" ref="Q32" si="136">+Q33+Q40+Q42</f>
        <v>75000</v>
      </c>
      <c r="R32" s="51">
        <f t="shared" ref="R32" si="137">+R33+R40+R42</f>
        <v>16500</v>
      </c>
      <c r="S32" s="67">
        <f t="shared" ref="S32" si="138">+S33+S40+S42</f>
        <v>25200</v>
      </c>
      <c r="T32" s="51">
        <f t="shared" ref="T32" si="139">+T33+T40+T42</f>
        <v>5544</v>
      </c>
      <c r="U32" s="67">
        <f t="shared" ref="U32" si="140">+U33+U40+U42</f>
        <v>0</v>
      </c>
      <c r="V32" s="51">
        <f t="shared" ref="V32" si="141">+V33+V40+V42</f>
        <v>0</v>
      </c>
      <c r="W32" s="67">
        <f t="shared" ref="W32" si="142">+W33+W40+W42</f>
        <v>75600</v>
      </c>
      <c r="X32" s="51">
        <f t="shared" ref="X32" si="143">+X33+X40+X42</f>
        <v>16632</v>
      </c>
      <c r="Y32" s="67">
        <f t="shared" ref="Y32" si="144">+Y33+Y40+Y42</f>
        <v>0</v>
      </c>
      <c r="Z32" s="51">
        <f t="shared" ref="Z32" si="145">+Z33+Z40+Z42</f>
        <v>0</v>
      </c>
      <c r="AA32" s="67">
        <f t="shared" ref="AA32" si="146">+AA33+AA40+AA42</f>
        <v>0</v>
      </c>
      <c r="AB32" s="51">
        <f t="shared" ref="AB32:AC32" si="147">+AB33+AB40+AB42</f>
        <v>0</v>
      </c>
      <c r="AC32" s="51">
        <f t="shared" si="147"/>
        <v>1030900</v>
      </c>
    </row>
    <row r="33" spans="1:29" s="41" customFormat="1" x14ac:dyDescent="0.25">
      <c r="A33" s="52" t="s">
        <v>155</v>
      </c>
      <c r="B33" s="60"/>
      <c r="C33" s="45"/>
      <c r="D33" s="45"/>
      <c r="E33" s="62">
        <f>+E34+E37</f>
        <v>389000</v>
      </c>
      <c r="F33" s="68">
        <f t="shared" ref="F33:G33" si="148">+F34+F37</f>
        <v>389000</v>
      </c>
      <c r="G33" s="46">
        <f t="shared" si="148"/>
        <v>85580</v>
      </c>
      <c r="H33" s="129">
        <f>+G33+F33</f>
        <v>474580</v>
      </c>
      <c r="I33" s="68">
        <f t="shared" ref="I33" si="149">+I34+I37</f>
        <v>15000</v>
      </c>
      <c r="J33" s="46">
        <f t="shared" ref="J33" si="150">+J34+J37</f>
        <v>3300</v>
      </c>
      <c r="K33" s="68">
        <f t="shared" ref="K33" si="151">+K34+K37</f>
        <v>105000</v>
      </c>
      <c r="L33" s="46">
        <f t="shared" ref="L33" si="152">+L34+L37</f>
        <v>23100</v>
      </c>
      <c r="M33" s="68">
        <f t="shared" ref="M33" si="153">+M34+M37</f>
        <v>104000</v>
      </c>
      <c r="N33" s="46">
        <f t="shared" ref="N33" si="154">+N34+N37</f>
        <v>22880</v>
      </c>
      <c r="O33" s="68">
        <f t="shared" ref="O33" si="155">+O34+O37</f>
        <v>90000</v>
      </c>
      <c r="P33" s="46">
        <f t="shared" ref="P33" si="156">+P34+P37</f>
        <v>19800</v>
      </c>
      <c r="Q33" s="68">
        <f t="shared" ref="Q33" si="157">+Q34+Q37</f>
        <v>75000</v>
      </c>
      <c r="R33" s="46">
        <f t="shared" ref="R33" si="158">+R34+R37</f>
        <v>16500</v>
      </c>
      <c r="S33" s="68">
        <f t="shared" ref="S33" si="159">+S34+S37</f>
        <v>0</v>
      </c>
      <c r="T33" s="46">
        <f t="shared" ref="T33" si="160">+T34+T37</f>
        <v>0</v>
      </c>
      <c r="U33" s="68">
        <f t="shared" ref="U33" si="161">+U34+U37</f>
        <v>0</v>
      </c>
      <c r="V33" s="46">
        <f t="shared" ref="V33" si="162">+V34+V37</f>
        <v>0</v>
      </c>
      <c r="W33" s="68">
        <f t="shared" ref="W33" si="163">+W34+W37</f>
        <v>0</v>
      </c>
      <c r="X33" s="46">
        <f t="shared" ref="X33" si="164">+X34+X37</f>
        <v>0</v>
      </c>
      <c r="Y33" s="68">
        <f t="shared" ref="Y33" si="165">+Y34+Y37</f>
        <v>0</v>
      </c>
      <c r="Z33" s="46">
        <f t="shared" ref="Z33" si="166">+Z34+Z37</f>
        <v>0</v>
      </c>
      <c r="AA33" s="68">
        <f t="shared" ref="AA33" si="167">+AA34+AA37</f>
        <v>0</v>
      </c>
      <c r="AB33" s="46">
        <f t="shared" ref="AB33:AC33" si="168">+AB34+AB37</f>
        <v>0</v>
      </c>
      <c r="AC33" s="46">
        <f t="shared" si="168"/>
        <v>474580</v>
      </c>
    </row>
    <row r="34" spans="1:29" s="29" customFormat="1" ht="22.5" x14ac:dyDescent="0.25">
      <c r="A34" s="54" t="s">
        <v>220</v>
      </c>
      <c r="B34" s="59"/>
      <c r="C34" s="28"/>
      <c r="D34" s="28"/>
      <c r="E34" s="65">
        <f>+E35+E36</f>
        <v>209000</v>
      </c>
      <c r="F34" s="117">
        <f t="shared" ref="F34:G34" si="169">+F35+F36</f>
        <v>209000</v>
      </c>
      <c r="G34" s="118">
        <f t="shared" si="169"/>
        <v>45980</v>
      </c>
      <c r="H34" s="132">
        <f t="shared" si="126"/>
        <v>254980</v>
      </c>
      <c r="I34" s="117">
        <f t="shared" ref="I34" si="170">+I35+I36</f>
        <v>10000</v>
      </c>
      <c r="J34" s="118">
        <f t="shared" ref="J34" si="171">+J35+J36</f>
        <v>2200</v>
      </c>
      <c r="K34" s="117">
        <f t="shared" ref="K34" si="172">+K35+K36</f>
        <v>60000</v>
      </c>
      <c r="L34" s="118">
        <f t="shared" ref="L34" si="173">+L35+L36</f>
        <v>13200</v>
      </c>
      <c r="M34" s="117">
        <f t="shared" ref="M34" si="174">+M35+M36</f>
        <v>59000</v>
      </c>
      <c r="N34" s="118">
        <f t="shared" ref="N34" si="175">+N35+N36</f>
        <v>12980</v>
      </c>
      <c r="O34" s="117">
        <f t="shared" ref="O34" si="176">+O35+O36</f>
        <v>45000</v>
      </c>
      <c r="P34" s="118">
        <f t="shared" ref="P34" si="177">+P35+P36</f>
        <v>9900</v>
      </c>
      <c r="Q34" s="117">
        <f t="shared" ref="Q34" si="178">+Q35+Q36</f>
        <v>35000</v>
      </c>
      <c r="R34" s="118">
        <f t="shared" ref="R34" si="179">+R35+R36</f>
        <v>7700</v>
      </c>
      <c r="S34" s="117">
        <f t="shared" ref="S34" si="180">+S35+S36</f>
        <v>0</v>
      </c>
      <c r="T34" s="118">
        <f t="shared" ref="T34" si="181">+T35+T36</f>
        <v>0</v>
      </c>
      <c r="U34" s="117">
        <f t="shared" ref="U34" si="182">+U35+U36</f>
        <v>0</v>
      </c>
      <c r="V34" s="118">
        <f t="shared" ref="V34" si="183">+V35+V36</f>
        <v>0</v>
      </c>
      <c r="W34" s="117">
        <f t="shared" ref="W34" si="184">+W35+W36</f>
        <v>0</v>
      </c>
      <c r="X34" s="118">
        <f t="shared" ref="X34" si="185">+X35+X36</f>
        <v>0</v>
      </c>
      <c r="Y34" s="117">
        <f t="shared" ref="Y34" si="186">+Y35+Y36</f>
        <v>0</v>
      </c>
      <c r="Z34" s="118">
        <f t="shared" ref="Z34" si="187">+Z35+Z36</f>
        <v>0</v>
      </c>
      <c r="AA34" s="117">
        <f t="shared" ref="AA34" si="188">+AA35+AA36</f>
        <v>0</v>
      </c>
      <c r="AB34" s="118">
        <f t="shared" ref="AB34:AC34" si="189">+AB35+AB36</f>
        <v>0</v>
      </c>
      <c r="AC34" s="118">
        <f t="shared" si="189"/>
        <v>254980</v>
      </c>
    </row>
    <row r="35" spans="1:29" s="116" customFormat="1" ht="11.25" x14ac:dyDescent="0.2">
      <c r="A35" s="120" t="s">
        <v>159</v>
      </c>
      <c r="B35" s="121" t="s">
        <v>44</v>
      </c>
      <c r="C35" s="122">
        <v>2500</v>
      </c>
      <c r="D35" s="122">
        <f>2*24</f>
        <v>48</v>
      </c>
      <c r="E35" s="123">
        <f t="shared" ref="E35:E36" si="190">+D35*C35</f>
        <v>120000</v>
      </c>
      <c r="F35" s="124">
        <f>+E35</f>
        <v>120000</v>
      </c>
      <c r="G35" s="125">
        <f>+F35*0.22</f>
        <v>26400</v>
      </c>
      <c r="H35" s="133">
        <f>+G35+F35</f>
        <v>146400</v>
      </c>
      <c r="I35" s="124">
        <f>+C35*2*2</f>
        <v>10000</v>
      </c>
      <c r="J35" s="125">
        <f>+I35*0.22</f>
        <v>2200</v>
      </c>
      <c r="K35" s="124">
        <f>+C35*2*6</f>
        <v>30000</v>
      </c>
      <c r="L35" s="125">
        <f>+K35*0.22</f>
        <v>6600</v>
      </c>
      <c r="M35" s="124">
        <f t="shared" ref="M35:P35" si="191">+K35</f>
        <v>30000</v>
      </c>
      <c r="N35" s="125">
        <f t="shared" si="191"/>
        <v>6600</v>
      </c>
      <c r="O35" s="124">
        <f t="shared" si="191"/>
        <v>30000</v>
      </c>
      <c r="P35" s="125">
        <f t="shared" si="191"/>
        <v>6600</v>
      </c>
      <c r="Q35" s="124">
        <f>+C35*2*4</f>
        <v>20000</v>
      </c>
      <c r="R35" s="125">
        <f>+Q35*0.22</f>
        <v>4400</v>
      </c>
      <c r="S35" s="124">
        <v>0</v>
      </c>
      <c r="T35" s="125">
        <v>0</v>
      </c>
      <c r="U35" s="124">
        <v>0</v>
      </c>
      <c r="V35" s="125">
        <v>0</v>
      </c>
      <c r="W35" s="124">
        <v>0</v>
      </c>
      <c r="X35" s="125">
        <v>0</v>
      </c>
      <c r="Y35" s="124">
        <v>0</v>
      </c>
      <c r="Z35" s="125">
        <v>0</v>
      </c>
      <c r="AA35" s="124">
        <v>0</v>
      </c>
      <c r="AB35" s="125">
        <v>0</v>
      </c>
      <c r="AC35" s="125">
        <f t="shared" ref="AC35:AC39" si="192">SUM(I35:AB35)</f>
        <v>146400</v>
      </c>
    </row>
    <row r="36" spans="1:29" s="116" customFormat="1" ht="11.25" x14ac:dyDescent="0.2">
      <c r="A36" s="120" t="s">
        <v>160</v>
      </c>
      <c r="B36" s="121" t="s">
        <v>44</v>
      </c>
      <c r="C36" s="122">
        <v>2500</v>
      </c>
      <c r="D36" s="122">
        <f>+(1*24)+(1*11.6)</f>
        <v>35.6</v>
      </c>
      <c r="E36" s="123">
        <f t="shared" si="190"/>
        <v>89000</v>
      </c>
      <c r="F36" s="124">
        <f>+E36</f>
        <v>89000</v>
      </c>
      <c r="G36" s="125">
        <f>+F36*0.22</f>
        <v>19580</v>
      </c>
      <c r="H36" s="133">
        <f>+G36+F36</f>
        <v>108580</v>
      </c>
      <c r="I36" s="124">
        <v>0</v>
      </c>
      <c r="J36" s="125">
        <v>0</v>
      </c>
      <c r="K36" s="124">
        <f>+C36*6*2</f>
        <v>30000</v>
      </c>
      <c r="L36" s="125">
        <f>+K36*0.22</f>
        <v>6600</v>
      </c>
      <c r="M36" s="124">
        <f>(C36*6)+14000</f>
        <v>29000</v>
      </c>
      <c r="N36" s="125">
        <f>+M36*0.22</f>
        <v>6380</v>
      </c>
      <c r="O36" s="124">
        <f>+C36*6</f>
        <v>15000</v>
      </c>
      <c r="P36" s="125">
        <f>+O36*0.22</f>
        <v>3300</v>
      </c>
      <c r="Q36" s="124">
        <f>+C36*6</f>
        <v>15000</v>
      </c>
      <c r="R36" s="125">
        <f>+Q36*0.22</f>
        <v>3300</v>
      </c>
      <c r="S36" s="124">
        <v>0</v>
      </c>
      <c r="T36" s="125">
        <v>0</v>
      </c>
      <c r="U36" s="124">
        <v>0</v>
      </c>
      <c r="V36" s="125">
        <v>0</v>
      </c>
      <c r="W36" s="124">
        <v>0</v>
      </c>
      <c r="X36" s="125">
        <v>0</v>
      </c>
      <c r="Y36" s="124">
        <v>0</v>
      </c>
      <c r="Z36" s="125">
        <v>0</v>
      </c>
      <c r="AA36" s="124">
        <v>0</v>
      </c>
      <c r="AB36" s="125">
        <v>0</v>
      </c>
      <c r="AC36" s="125">
        <f t="shared" si="192"/>
        <v>108580</v>
      </c>
    </row>
    <row r="37" spans="1:29" s="29" customFormat="1" ht="24" customHeight="1" x14ac:dyDescent="0.25">
      <c r="A37" s="54" t="s">
        <v>221</v>
      </c>
      <c r="B37" s="59"/>
      <c r="C37" s="28"/>
      <c r="D37" s="28"/>
      <c r="E37" s="65">
        <f>+E38+E39</f>
        <v>180000</v>
      </c>
      <c r="F37" s="117">
        <f t="shared" ref="F37:G37" si="193">+F38+F39</f>
        <v>180000</v>
      </c>
      <c r="G37" s="118">
        <f t="shared" si="193"/>
        <v>39600</v>
      </c>
      <c r="H37" s="132">
        <f t="shared" si="126"/>
        <v>219600</v>
      </c>
      <c r="I37" s="117">
        <f t="shared" ref="I37" si="194">+I38+I39</f>
        <v>5000</v>
      </c>
      <c r="J37" s="118">
        <f t="shared" ref="J37" si="195">+J38+J39</f>
        <v>1100</v>
      </c>
      <c r="K37" s="117">
        <f t="shared" ref="K37" si="196">+K38+K39</f>
        <v>45000</v>
      </c>
      <c r="L37" s="118">
        <f t="shared" ref="L37" si="197">+L38+L39</f>
        <v>9900</v>
      </c>
      <c r="M37" s="117">
        <f t="shared" ref="M37" si="198">+M38+M39</f>
        <v>45000</v>
      </c>
      <c r="N37" s="118">
        <f t="shared" ref="N37" si="199">+N38+N39</f>
        <v>9900</v>
      </c>
      <c r="O37" s="117">
        <f t="shared" ref="O37" si="200">+O38+O39</f>
        <v>45000</v>
      </c>
      <c r="P37" s="118">
        <f t="shared" ref="P37" si="201">+P38+P39</f>
        <v>9900</v>
      </c>
      <c r="Q37" s="117">
        <f t="shared" ref="Q37" si="202">+Q38+Q39</f>
        <v>40000</v>
      </c>
      <c r="R37" s="118">
        <f t="shared" ref="R37" si="203">+R38+R39</f>
        <v>8800</v>
      </c>
      <c r="S37" s="117">
        <f t="shared" ref="S37" si="204">+S38+S39</f>
        <v>0</v>
      </c>
      <c r="T37" s="118">
        <f t="shared" ref="T37" si="205">+T38+T39</f>
        <v>0</v>
      </c>
      <c r="U37" s="117">
        <f t="shared" ref="U37" si="206">+U38+U39</f>
        <v>0</v>
      </c>
      <c r="V37" s="118">
        <f t="shared" ref="V37" si="207">+V38+V39</f>
        <v>0</v>
      </c>
      <c r="W37" s="117">
        <f t="shared" ref="W37" si="208">+W38+W39</f>
        <v>0</v>
      </c>
      <c r="X37" s="118">
        <f t="shared" ref="X37" si="209">+X38+X39</f>
        <v>0</v>
      </c>
      <c r="Y37" s="117">
        <f t="shared" ref="Y37" si="210">+Y38+Y39</f>
        <v>0</v>
      </c>
      <c r="Z37" s="118">
        <f t="shared" ref="Z37" si="211">+Z38+Z39</f>
        <v>0</v>
      </c>
      <c r="AA37" s="117">
        <f t="shared" ref="AA37" si="212">+AA38+AA39</f>
        <v>0</v>
      </c>
      <c r="AB37" s="118">
        <f t="shared" ref="AB37:AC37" si="213">+AB38+AB39</f>
        <v>0</v>
      </c>
      <c r="AC37" s="118">
        <f t="shared" si="213"/>
        <v>219600</v>
      </c>
    </row>
    <row r="38" spans="1:29" s="116" customFormat="1" ht="11.25" x14ac:dyDescent="0.2">
      <c r="A38" s="120" t="s">
        <v>159</v>
      </c>
      <c r="B38" s="121" t="s">
        <v>44</v>
      </c>
      <c r="C38" s="122">
        <v>2500</v>
      </c>
      <c r="D38" s="122">
        <f>1*24</f>
        <v>24</v>
      </c>
      <c r="E38" s="123">
        <f t="shared" ref="E38:E39" si="214">+D38*C38</f>
        <v>60000</v>
      </c>
      <c r="F38" s="124">
        <f>+E38</f>
        <v>60000</v>
      </c>
      <c r="G38" s="125">
        <f>+F38*0.22</f>
        <v>13200</v>
      </c>
      <c r="H38" s="133">
        <f>+G38+F38</f>
        <v>73200</v>
      </c>
      <c r="I38" s="124">
        <f>+C38*2</f>
        <v>5000</v>
      </c>
      <c r="J38" s="125">
        <f>+I38*0.22</f>
        <v>1100</v>
      </c>
      <c r="K38" s="124">
        <f>+C38*6</f>
        <v>15000</v>
      </c>
      <c r="L38" s="125">
        <f>+K38*0.22</f>
        <v>3300</v>
      </c>
      <c r="M38" s="124">
        <f t="shared" ref="M38:P38" si="215">+K38</f>
        <v>15000</v>
      </c>
      <c r="N38" s="125">
        <f t="shared" si="215"/>
        <v>3300</v>
      </c>
      <c r="O38" s="124">
        <f t="shared" si="215"/>
        <v>15000</v>
      </c>
      <c r="P38" s="125">
        <f t="shared" si="215"/>
        <v>3300</v>
      </c>
      <c r="Q38" s="124">
        <f>+C38*4</f>
        <v>10000</v>
      </c>
      <c r="R38" s="125">
        <f>+Q38*0.22</f>
        <v>2200</v>
      </c>
      <c r="S38" s="124">
        <v>0</v>
      </c>
      <c r="T38" s="125">
        <v>0</v>
      </c>
      <c r="U38" s="124">
        <v>0</v>
      </c>
      <c r="V38" s="125">
        <v>0</v>
      </c>
      <c r="W38" s="124">
        <v>0</v>
      </c>
      <c r="X38" s="125">
        <v>0</v>
      </c>
      <c r="Y38" s="124">
        <v>0</v>
      </c>
      <c r="Z38" s="125">
        <v>0</v>
      </c>
      <c r="AA38" s="124">
        <v>0</v>
      </c>
      <c r="AB38" s="125">
        <v>0</v>
      </c>
      <c r="AC38" s="125">
        <f t="shared" si="192"/>
        <v>73200</v>
      </c>
    </row>
    <row r="39" spans="1:29" s="116" customFormat="1" ht="11.25" x14ac:dyDescent="0.2">
      <c r="A39" s="120" t="s">
        <v>160</v>
      </c>
      <c r="B39" s="121" t="s">
        <v>44</v>
      </c>
      <c r="C39" s="122">
        <v>2500</v>
      </c>
      <c r="D39" s="122">
        <f>2*24</f>
        <v>48</v>
      </c>
      <c r="E39" s="123">
        <f t="shared" si="214"/>
        <v>120000</v>
      </c>
      <c r="F39" s="124">
        <f>+E39</f>
        <v>120000</v>
      </c>
      <c r="G39" s="125">
        <f>+F39*0.22</f>
        <v>26400</v>
      </c>
      <c r="H39" s="133">
        <f>+G39+F39</f>
        <v>146400</v>
      </c>
      <c r="I39" s="124">
        <v>0</v>
      </c>
      <c r="J39" s="125">
        <v>0</v>
      </c>
      <c r="K39" s="124">
        <f>+C39*6*2</f>
        <v>30000</v>
      </c>
      <c r="L39" s="125">
        <f>+K39*0.22</f>
        <v>6600</v>
      </c>
      <c r="M39" s="124">
        <f t="shared" ref="M39:R39" si="216">+K39</f>
        <v>30000</v>
      </c>
      <c r="N39" s="125">
        <f t="shared" si="216"/>
        <v>6600</v>
      </c>
      <c r="O39" s="124">
        <f t="shared" si="216"/>
        <v>30000</v>
      </c>
      <c r="P39" s="125">
        <f t="shared" si="216"/>
        <v>6600</v>
      </c>
      <c r="Q39" s="124">
        <f t="shared" si="216"/>
        <v>30000</v>
      </c>
      <c r="R39" s="125">
        <f t="shared" si="216"/>
        <v>6600</v>
      </c>
      <c r="S39" s="124">
        <v>0</v>
      </c>
      <c r="T39" s="125">
        <v>0</v>
      </c>
      <c r="U39" s="124">
        <v>0</v>
      </c>
      <c r="V39" s="125">
        <v>0</v>
      </c>
      <c r="W39" s="124">
        <v>0</v>
      </c>
      <c r="X39" s="125">
        <v>0</v>
      </c>
      <c r="Y39" s="124">
        <v>0</v>
      </c>
      <c r="Z39" s="125">
        <v>0</v>
      </c>
      <c r="AA39" s="124">
        <v>0</v>
      </c>
      <c r="AB39" s="125">
        <v>0</v>
      </c>
      <c r="AC39" s="125">
        <f t="shared" si="192"/>
        <v>146400</v>
      </c>
    </row>
    <row r="40" spans="1:29" s="41" customFormat="1" x14ac:dyDescent="0.25">
      <c r="A40" s="52" t="s">
        <v>157</v>
      </c>
      <c r="B40" s="60"/>
      <c r="C40" s="45"/>
      <c r="D40" s="45"/>
      <c r="E40" s="62">
        <f>+E41</f>
        <v>60000</v>
      </c>
      <c r="F40" s="155">
        <f>+F41</f>
        <v>60000</v>
      </c>
      <c r="G40" s="46">
        <f>+G41</f>
        <v>13200</v>
      </c>
      <c r="H40" s="129">
        <f>+G40+F40</f>
        <v>73200</v>
      </c>
      <c r="I40" s="68">
        <f t="shared" ref="I40:AC40" si="217">+I41</f>
        <v>0</v>
      </c>
      <c r="J40" s="46">
        <f t="shared" si="217"/>
        <v>0</v>
      </c>
      <c r="K40" s="68">
        <f t="shared" si="217"/>
        <v>36000</v>
      </c>
      <c r="L40" s="46">
        <f t="shared" si="217"/>
        <v>7920</v>
      </c>
      <c r="M40" s="68">
        <f t="shared" si="217"/>
        <v>24000</v>
      </c>
      <c r="N40" s="46">
        <f t="shared" si="217"/>
        <v>5280</v>
      </c>
      <c r="O40" s="68">
        <f t="shared" si="217"/>
        <v>0</v>
      </c>
      <c r="P40" s="46">
        <f t="shared" si="217"/>
        <v>0</v>
      </c>
      <c r="Q40" s="68">
        <f t="shared" si="217"/>
        <v>0</v>
      </c>
      <c r="R40" s="46">
        <f t="shared" si="217"/>
        <v>0</v>
      </c>
      <c r="S40" s="68">
        <f t="shared" si="217"/>
        <v>0</v>
      </c>
      <c r="T40" s="46">
        <f t="shared" si="217"/>
        <v>0</v>
      </c>
      <c r="U40" s="68">
        <f t="shared" si="217"/>
        <v>0</v>
      </c>
      <c r="V40" s="46">
        <f t="shared" si="217"/>
        <v>0</v>
      </c>
      <c r="W40" s="68">
        <f t="shared" si="217"/>
        <v>0</v>
      </c>
      <c r="X40" s="46">
        <f t="shared" si="217"/>
        <v>0</v>
      </c>
      <c r="Y40" s="68">
        <f t="shared" si="217"/>
        <v>0</v>
      </c>
      <c r="Z40" s="46">
        <f t="shared" si="217"/>
        <v>0</v>
      </c>
      <c r="AA40" s="68">
        <f t="shared" si="217"/>
        <v>0</v>
      </c>
      <c r="AB40" s="46">
        <f t="shared" si="217"/>
        <v>0</v>
      </c>
      <c r="AC40" s="46">
        <f t="shared" si="217"/>
        <v>73200</v>
      </c>
    </row>
    <row r="41" spans="1:29" s="29" customFormat="1" ht="22.5" x14ac:dyDescent="0.25">
      <c r="A41" s="54" t="s">
        <v>156</v>
      </c>
      <c r="B41" s="59" t="s">
        <v>58</v>
      </c>
      <c r="C41" s="28">
        <v>60000</v>
      </c>
      <c r="D41" s="28">
        <v>1</v>
      </c>
      <c r="E41" s="65">
        <f>+D41*C41</f>
        <v>60000</v>
      </c>
      <c r="F41" s="117">
        <f>+E41</f>
        <v>60000</v>
      </c>
      <c r="G41" s="118">
        <f>+F41*0.22</f>
        <v>13200</v>
      </c>
      <c r="H41" s="132">
        <f>+G41+F41</f>
        <v>73200</v>
      </c>
      <c r="I41" s="117">
        <v>0</v>
      </c>
      <c r="J41" s="118">
        <v>0</v>
      </c>
      <c r="K41" s="117">
        <f>+F41*0.6</f>
        <v>36000</v>
      </c>
      <c r="L41" s="118">
        <f>+G41*0.6</f>
        <v>7920</v>
      </c>
      <c r="M41" s="117">
        <f>+F41*0.4</f>
        <v>24000</v>
      </c>
      <c r="N41" s="118">
        <f>+G41*0.4</f>
        <v>5280</v>
      </c>
      <c r="O41" s="117">
        <v>0</v>
      </c>
      <c r="P41" s="118">
        <v>0</v>
      </c>
      <c r="Q41" s="117">
        <v>0</v>
      </c>
      <c r="R41" s="118">
        <v>0</v>
      </c>
      <c r="S41" s="117">
        <v>0</v>
      </c>
      <c r="T41" s="118">
        <v>0</v>
      </c>
      <c r="U41" s="117">
        <v>0</v>
      </c>
      <c r="V41" s="118">
        <v>0</v>
      </c>
      <c r="W41" s="117">
        <v>0</v>
      </c>
      <c r="X41" s="118">
        <v>0</v>
      </c>
      <c r="Y41" s="117">
        <v>0</v>
      </c>
      <c r="Z41" s="118">
        <v>0</v>
      </c>
      <c r="AA41" s="117">
        <v>0</v>
      </c>
      <c r="AB41" s="118">
        <v>0</v>
      </c>
      <c r="AC41" s="118">
        <f t="shared" ref="AC41" si="218">SUM(I41:AB41)</f>
        <v>73200</v>
      </c>
    </row>
    <row r="42" spans="1:29" s="41" customFormat="1" x14ac:dyDescent="0.25">
      <c r="A42" s="52" t="s">
        <v>158</v>
      </c>
      <c r="B42" s="60"/>
      <c r="C42" s="45"/>
      <c r="D42" s="45"/>
      <c r="E42" s="62">
        <f>+E43+E45+E46</f>
        <v>396000</v>
      </c>
      <c r="F42" s="68">
        <f t="shared" ref="F42:G42" si="219">+F43+F45+F46</f>
        <v>396000</v>
      </c>
      <c r="G42" s="46">
        <f t="shared" si="219"/>
        <v>87120</v>
      </c>
      <c r="H42" s="129">
        <f>+G42+F42</f>
        <v>483120</v>
      </c>
      <c r="I42" s="68">
        <f t="shared" ref="I42" si="220">+I43+I45+I46</f>
        <v>30000</v>
      </c>
      <c r="J42" s="46">
        <f t="shared" ref="J42" si="221">+J43+J45+J46</f>
        <v>6600</v>
      </c>
      <c r="K42" s="68">
        <f t="shared" ref="K42" si="222">+K43+K45+K46</f>
        <v>90000</v>
      </c>
      <c r="L42" s="46">
        <f t="shared" ref="L42" si="223">+L43+L45+L46</f>
        <v>19800</v>
      </c>
      <c r="M42" s="68">
        <f t="shared" ref="M42" si="224">+M43+M45+M46</f>
        <v>90000</v>
      </c>
      <c r="N42" s="46">
        <f t="shared" ref="N42" si="225">+N43+N45+N46</f>
        <v>19800</v>
      </c>
      <c r="O42" s="68">
        <f t="shared" ref="O42" si="226">+O43+O45+O46</f>
        <v>85200</v>
      </c>
      <c r="P42" s="46">
        <f t="shared" ref="P42" si="227">+P43+P45+P46</f>
        <v>18744</v>
      </c>
      <c r="Q42" s="68">
        <f t="shared" ref="Q42" si="228">+Q43+Q45+Q46</f>
        <v>0</v>
      </c>
      <c r="R42" s="46">
        <f t="shared" ref="R42" si="229">+R43+R45+R46</f>
        <v>0</v>
      </c>
      <c r="S42" s="68">
        <f t="shared" ref="S42" si="230">+S43+S45+S46</f>
        <v>25200</v>
      </c>
      <c r="T42" s="46">
        <f t="shared" ref="T42" si="231">+T43+T45+T46</f>
        <v>5544</v>
      </c>
      <c r="U42" s="68">
        <f t="shared" ref="U42" si="232">+U43+U45+U46</f>
        <v>0</v>
      </c>
      <c r="V42" s="46">
        <f t="shared" ref="V42" si="233">+V43+V45+V46</f>
        <v>0</v>
      </c>
      <c r="W42" s="68">
        <f t="shared" ref="W42" si="234">+W43+W45+W46</f>
        <v>75600</v>
      </c>
      <c r="X42" s="46">
        <f t="shared" ref="X42" si="235">+X43+X45+X46</f>
        <v>16632</v>
      </c>
      <c r="Y42" s="68">
        <f t="shared" ref="Y42" si="236">+Y43+Y45+Y46</f>
        <v>0</v>
      </c>
      <c r="Z42" s="46">
        <f t="shared" ref="Z42" si="237">+Z43+Z45+Z46</f>
        <v>0</v>
      </c>
      <c r="AA42" s="68">
        <f t="shared" ref="AA42" si="238">+AA43+AA45+AA46</f>
        <v>0</v>
      </c>
      <c r="AB42" s="46">
        <f t="shared" ref="AB42:AC42" si="239">+AB43+AB45+AB46</f>
        <v>0</v>
      </c>
      <c r="AC42" s="46">
        <f t="shared" si="239"/>
        <v>483120</v>
      </c>
    </row>
    <row r="43" spans="1:29" s="29" customFormat="1" x14ac:dyDescent="0.25">
      <c r="A43" s="54" t="s">
        <v>148</v>
      </c>
      <c r="B43" s="59" t="s">
        <v>58</v>
      </c>
      <c r="C43" s="28">
        <v>180000</v>
      </c>
      <c r="D43" s="28">
        <v>1</v>
      </c>
      <c r="E43" s="65">
        <f>+D43*C43</f>
        <v>180000</v>
      </c>
      <c r="F43" s="117">
        <f>+F44</f>
        <v>180000</v>
      </c>
      <c r="G43" s="70">
        <f>+G44</f>
        <v>39600</v>
      </c>
      <c r="H43" s="130">
        <f t="shared" ref="H43:H46" si="240">+G43+F43</f>
        <v>219600</v>
      </c>
      <c r="I43" s="71">
        <f t="shared" ref="I43:AC43" si="241">+I44</f>
        <v>20000</v>
      </c>
      <c r="J43" s="70">
        <f t="shared" si="241"/>
        <v>4400</v>
      </c>
      <c r="K43" s="117">
        <f t="shared" si="241"/>
        <v>60000</v>
      </c>
      <c r="L43" s="70">
        <f t="shared" si="241"/>
        <v>13200</v>
      </c>
      <c r="M43" s="71">
        <f t="shared" si="241"/>
        <v>60000</v>
      </c>
      <c r="N43" s="70">
        <f t="shared" si="241"/>
        <v>13200</v>
      </c>
      <c r="O43" s="71">
        <f t="shared" si="241"/>
        <v>40000</v>
      </c>
      <c r="P43" s="70">
        <f t="shared" si="241"/>
        <v>8800</v>
      </c>
      <c r="Q43" s="71">
        <f t="shared" si="241"/>
        <v>0</v>
      </c>
      <c r="R43" s="70">
        <f t="shared" si="241"/>
        <v>0</v>
      </c>
      <c r="S43" s="71">
        <f t="shared" si="241"/>
        <v>0</v>
      </c>
      <c r="T43" s="70">
        <f t="shared" si="241"/>
        <v>0</v>
      </c>
      <c r="U43" s="71">
        <f t="shared" si="241"/>
        <v>0</v>
      </c>
      <c r="V43" s="70">
        <f t="shared" si="241"/>
        <v>0</v>
      </c>
      <c r="W43" s="71">
        <f t="shared" si="241"/>
        <v>0</v>
      </c>
      <c r="X43" s="70">
        <f t="shared" si="241"/>
        <v>0</v>
      </c>
      <c r="Y43" s="71">
        <f t="shared" si="241"/>
        <v>0</v>
      </c>
      <c r="Z43" s="70">
        <f t="shared" si="241"/>
        <v>0</v>
      </c>
      <c r="AA43" s="71">
        <f t="shared" si="241"/>
        <v>0</v>
      </c>
      <c r="AB43" s="70">
        <f t="shared" si="241"/>
        <v>0</v>
      </c>
      <c r="AC43" s="70">
        <f t="shared" si="241"/>
        <v>219600</v>
      </c>
    </row>
    <row r="44" spans="1:29" s="116" customFormat="1" ht="11.25" x14ac:dyDescent="0.2">
      <c r="A44" s="268" t="s">
        <v>159</v>
      </c>
      <c r="B44" s="121" t="s">
        <v>44</v>
      </c>
      <c r="C44" s="122">
        <v>2500</v>
      </c>
      <c r="D44" s="122">
        <f>4*18</f>
        <v>72</v>
      </c>
      <c r="E44" s="123">
        <f>+D44*C44</f>
        <v>180000</v>
      </c>
      <c r="F44" s="124">
        <f>+E44</f>
        <v>180000</v>
      </c>
      <c r="G44" s="125">
        <f>+F44*0.22</f>
        <v>39600</v>
      </c>
      <c r="H44" s="133">
        <f>+G44+F44</f>
        <v>219600</v>
      </c>
      <c r="I44" s="124">
        <f>+C44*2*4</f>
        <v>20000</v>
      </c>
      <c r="J44" s="125">
        <f>+I44*0.22</f>
        <v>4400</v>
      </c>
      <c r="K44" s="124">
        <f>+C44*4*6</f>
        <v>60000</v>
      </c>
      <c r="L44" s="125">
        <f>+K44*0.22</f>
        <v>13200</v>
      </c>
      <c r="M44" s="124">
        <f>+K44</f>
        <v>60000</v>
      </c>
      <c r="N44" s="125">
        <f>+L44</f>
        <v>13200</v>
      </c>
      <c r="O44" s="124">
        <f>+C44*4*4</f>
        <v>40000</v>
      </c>
      <c r="P44" s="125">
        <f>+O44*0.22</f>
        <v>8800</v>
      </c>
      <c r="Q44" s="124">
        <v>0</v>
      </c>
      <c r="R44" s="125">
        <v>0</v>
      </c>
      <c r="S44" s="124">
        <v>0</v>
      </c>
      <c r="T44" s="125">
        <v>0</v>
      </c>
      <c r="U44" s="124">
        <v>0</v>
      </c>
      <c r="V44" s="125">
        <v>0</v>
      </c>
      <c r="W44" s="124">
        <v>0</v>
      </c>
      <c r="X44" s="125">
        <v>0</v>
      </c>
      <c r="Y44" s="124">
        <v>0</v>
      </c>
      <c r="Z44" s="125">
        <v>0</v>
      </c>
      <c r="AA44" s="124">
        <v>0</v>
      </c>
      <c r="AB44" s="125">
        <v>0</v>
      </c>
      <c r="AC44" s="125">
        <f t="shared" ref="AC44" si="242">SUM(I44:AB44)</f>
        <v>219600</v>
      </c>
    </row>
    <row r="45" spans="1:29" s="29" customFormat="1" x14ac:dyDescent="0.25">
      <c r="A45" s="54" t="s">
        <v>196</v>
      </c>
      <c r="B45" s="59" t="s">
        <v>58</v>
      </c>
      <c r="C45" s="28">
        <v>126000</v>
      </c>
      <c r="D45" s="28">
        <v>1</v>
      </c>
      <c r="E45" s="65">
        <f>+D45*C45</f>
        <v>126000</v>
      </c>
      <c r="F45" s="71">
        <f>+E45</f>
        <v>126000</v>
      </c>
      <c r="G45" s="72">
        <f>+F45*0.22</f>
        <v>27720</v>
      </c>
      <c r="H45" s="130">
        <f t="shared" si="240"/>
        <v>153720</v>
      </c>
      <c r="I45" s="71">
        <v>0</v>
      </c>
      <c r="J45" s="72">
        <v>0</v>
      </c>
      <c r="K45" s="71">
        <v>0</v>
      </c>
      <c r="L45" s="72">
        <v>0</v>
      </c>
      <c r="M45" s="71">
        <v>0</v>
      </c>
      <c r="N45" s="72">
        <v>0</v>
      </c>
      <c r="O45" s="71">
        <f>+F45*0.2</f>
        <v>25200</v>
      </c>
      <c r="P45" s="72">
        <f>+G45*0.2</f>
        <v>5544</v>
      </c>
      <c r="Q45" s="71">
        <v>0</v>
      </c>
      <c r="R45" s="72">
        <v>0</v>
      </c>
      <c r="S45" s="71">
        <f>+F45*0.2</f>
        <v>25200</v>
      </c>
      <c r="T45" s="72">
        <f>+G45*0.2</f>
        <v>5544</v>
      </c>
      <c r="U45" s="71">
        <v>0</v>
      </c>
      <c r="V45" s="72">
        <v>0</v>
      </c>
      <c r="W45" s="71">
        <f>+F45*0.6</f>
        <v>75600</v>
      </c>
      <c r="X45" s="72">
        <f>+G45*0.6</f>
        <v>16632</v>
      </c>
      <c r="Y45" s="71">
        <v>0</v>
      </c>
      <c r="Z45" s="72">
        <v>0</v>
      </c>
      <c r="AA45" s="71">
        <v>0</v>
      </c>
      <c r="AB45" s="72">
        <v>0</v>
      </c>
      <c r="AC45" s="118">
        <f t="shared" ref="AC45" si="243">SUM(I45:AB45)</f>
        <v>153720</v>
      </c>
    </row>
    <row r="46" spans="1:29" s="29" customFormat="1" x14ac:dyDescent="0.25">
      <c r="A46" s="54" t="s">
        <v>147</v>
      </c>
      <c r="B46" s="59"/>
      <c r="C46" s="28"/>
      <c r="D46" s="28"/>
      <c r="E46" s="65">
        <f>+E47</f>
        <v>90000</v>
      </c>
      <c r="F46" s="117">
        <f>+F47</f>
        <v>90000</v>
      </c>
      <c r="G46" s="118">
        <f>+G47</f>
        <v>19800</v>
      </c>
      <c r="H46" s="132">
        <f t="shared" si="240"/>
        <v>109800</v>
      </c>
      <c r="I46" s="117">
        <f t="shared" ref="I46:AC46" si="244">+I47</f>
        <v>10000</v>
      </c>
      <c r="J46" s="118">
        <f t="shared" si="244"/>
        <v>2200</v>
      </c>
      <c r="K46" s="117">
        <f t="shared" si="244"/>
        <v>30000</v>
      </c>
      <c r="L46" s="118">
        <f t="shared" si="244"/>
        <v>6600</v>
      </c>
      <c r="M46" s="117">
        <f t="shared" si="244"/>
        <v>30000</v>
      </c>
      <c r="N46" s="118">
        <f t="shared" si="244"/>
        <v>6600</v>
      </c>
      <c r="O46" s="117">
        <f t="shared" si="244"/>
        <v>20000</v>
      </c>
      <c r="P46" s="118">
        <f t="shared" si="244"/>
        <v>4400</v>
      </c>
      <c r="Q46" s="117">
        <f t="shared" si="244"/>
        <v>0</v>
      </c>
      <c r="R46" s="118">
        <f t="shared" si="244"/>
        <v>0</v>
      </c>
      <c r="S46" s="117">
        <f t="shared" si="244"/>
        <v>0</v>
      </c>
      <c r="T46" s="118">
        <f t="shared" si="244"/>
        <v>0</v>
      </c>
      <c r="U46" s="117">
        <f t="shared" si="244"/>
        <v>0</v>
      </c>
      <c r="V46" s="118">
        <f t="shared" si="244"/>
        <v>0</v>
      </c>
      <c r="W46" s="117">
        <f t="shared" si="244"/>
        <v>0</v>
      </c>
      <c r="X46" s="118">
        <f t="shared" si="244"/>
        <v>0</v>
      </c>
      <c r="Y46" s="117">
        <f t="shared" si="244"/>
        <v>0</v>
      </c>
      <c r="Z46" s="118">
        <f t="shared" si="244"/>
        <v>0</v>
      </c>
      <c r="AA46" s="117">
        <f t="shared" si="244"/>
        <v>0</v>
      </c>
      <c r="AB46" s="118">
        <f t="shared" si="244"/>
        <v>0</v>
      </c>
      <c r="AC46" s="118">
        <f t="shared" si="244"/>
        <v>109800</v>
      </c>
    </row>
    <row r="47" spans="1:29" s="116" customFormat="1" ht="11.25" x14ac:dyDescent="0.2">
      <c r="A47" s="268" t="s">
        <v>159</v>
      </c>
      <c r="B47" s="121" t="s">
        <v>44</v>
      </c>
      <c r="C47" s="122">
        <v>2500</v>
      </c>
      <c r="D47" s="122">
        <f>18*2</f>
        <v>36</v>
      </c>
      <c r="E47" s="123">
        <f>+D47*C47</f>
        <v>90000</v>
      </c>
      <c r="F47" s="124">
        <f>+E47</f>
        <v>90000</v>
      </c>
      <c r="G47" s="125">
        <f>+F47*0.22</f>
        <v>19800</v>
      </c>
      <c r="H47" s="133">
        <f>+G47+F47</f>
        <v>109800</v>
      </c>
      <c r="I47" s="124">
        <f>+C47*2*2</f>
        <v>10000</v>
      </c>
      <c r="J47" s="125">
        <f>+I47*0.22</f>
        <v>2200</v>
      </c>
      <c r="K47" s="124">
        <f>+C47*2*6</f>
        <v>30000</v>
      </c>
      <c r="L47" s="125">
        <f>+K47*0.22</f>
        <v>6600</v>
      </c>
      <c r="M47" s="124">
        <f>+K47</f>
        <v>30000</v>
      </c>
      <c r="N47" s="125">
        <f>+L47</f>
        <v>6600</v>
      </c>
      <c r="O47" s="124">
        <f>+C47*2*4</f>
        <v>20000</v>
      </c>
      <c r="P47" s="125">
        <f>+O47*0.22</f>
        <v>4400</v>
      </c>
      <c r="Q47" s="124">
        <v>0</v>
      </c>
      <c r="R47" s="125">
        <v>0</v>
      </c>
      <c r="S47" s="124">
        <v>0</v>
      </c>
      <c r="T47" s="125">
        <v>0</v>
      </c>
      <c r="U47" s="124">
        <v>0</v>
      </c>
      <c r="V47" s="125">
        <v>0</v>
      </c>
      <c r="W47" s="124">
        <v>0</v>
      </c>
      <c r="X47" s="125">
        <v>0</v>
      </c>
      <c r="Y47" s="124">
        <v>0</v>
      </c>
      <c r="Z47" s="125">
        <v>0</v>
      </c>
      <c r="AA47" s="124">
        <v>0</v>
      </c>
      <c r="AB47" s="125">
        <v>0</v>
      </c>
      <c r="AC47" s="125">
        <f t="shared" ref="AC47" si="245">SUM(I47:AB47)</f>
        <v>109800</v>
      </c>
    </row>
    <row r="48" spans="1:29" s="26" customFormat="1" ht="28.5" customHeight="1" x14ac:dyDescent="0.25">
      <c r="A48" s="55" t="s">
        <v>177</v>
      </c>
      <c r="B48" s="61"/>
      <c r="C48" s="50"/>
      <c r="D48" s="50"/>
      <c r="E48" s="64">
        <f>+E49+E53+E57+E59+E60+E58</f>
        <v>1014000</v>
      </c>
      <c r="F48" s="67">
        <f t="shared" ref="F48:G48" si="246">+F49+F53+F57+F59+F60+F58</f>
        <v>1014000</v>
      </c>
      <c r="G48" s="51">
        <f t="shared" si="246"/>
        <v>125480</v>
      </c>
      <c r="H48" s="128">
        <f t="shared" ref="H48:H49" si="247">+G48+F48</f>
        <v>1139480</v>
      </c>
      <c r="I48" s="67">
        <f t="shared" ref="I48" si="248">+I49+I53+I57+I59+I60+I58</f>
        <v>10000</v>
      </c>
      <c r="J48" s="51">
        <f t="shared" ref="J48" si="249">+J49+J53+J57+J59+J60+J58</f>
        <v>2200</v>
      </c>
      <c r="K48" s="67">
        <f t="shared" ref="K48" si="250">+K49+K53+K57+K59+K60+K58</f>
        <v>30000</v>
      </c>
      <c r="L48" s="51">
        <f t="shared" ref="L48" si="251">+L49+L53+L57+L59+L60+L58</f>
        <v>6600</v>
      </c>
      <c r="M48" s="67">
        <f t="shared" ref="M48" si="252">+M49+M53+M57+M59+M60+M58</f>
        <v>142000</v>
      </c>
      <c r="N48" s="51">
        <f t="shared" ref="N48" si="253">+N49+N53+N57+N59+N60+N58</f>
        <v>24040</v>
      </c>
      <c r="O48" s="67">
        <f t="shared" ref="O48" si="254">+O49+O53+O57+O59+O60+O58</f>
        <v>142000</v>
      </c>
      <c r="P48" s="51">
        <f t="shared" ref="P48" si="255">+P49+P53+P57+P59+P60+P58</f>
        <v>24040</v>
      </c>
      <c r="Q48" s="67">
        <f t="shared" ref="Q48" si="256">+Q49+Q53+Q57+Q59+Q60+Q58</f>
        <v>220400</v>
      </c>
      <c r="R48" s="51">
        <f t="shared" ref="R48" si="257">+R49+R53+R57+R59+R60+R58</f>
        <v>37688</v>
      </c>
      <c r="S48" s="67">
        <f t="shared" ref="S48" si="258">+S49+S53+S57+S59+S60+S58</f>
        <v>357600</v>
      </c>
      <c r="T48" s="51">
        <f t="shared" ref="T48" si="259">+T49+T53+T57+T59+T60+T58</f>
        <v>22192</v>
      </c>
      <c r="U48" s="67">
        <f t="shared" ref="U48" si="260">+U49+U53+U57+U59+U60+U58</f>
        <v>112000</v>
      </c>
      <c r="V48" s="51">
        <f t="shared" ref="V48" si="261">+V49+V53+V57+V59+V60+V58</f>
        <v>8720</v>
      </c>
      <c r="W48" s="67">
        <f t="shared" ref="W48" si="262">+W49+W53+W57+W59+W60+W58</f>
        <v>0</v>
      </c>
      <c r="X48" s="51">
        <f t="shared" ref="X48" si="263">+X49+X53+X57+X59+X60+X58</f>
        <v>0</v>
      </c>
      <c r="Y48" s="67">
        <f t="shared" ref="Y48" si="264">+Y49+Y53+Y57+Y59+Y60+Y58</f>
        <v>0</v>
      </c>
      <c r="Z48" s="51">
        <f t="shared" ref="Z48" si="265">+Z49+Z53+Z57+Z59+Z60+Z58</f>
        <v>0</v>
      </c>
      <c r="AA48" s="67">
        <f t="shared" ref="AA48" si="266">+AA49+AA53+AA57+AA59+AA60+AA58</f>
        <v>0</v>
      </c>
      <c r="AB48" s="51">
        <f t="shared" ref="AB48:AC48" si="267">+AB49+AB53+AB57+AB59+AB60+AB58</f>
        <v>0</v>
      </c>
      <c r="AC48" s="51">
        <f t="shared" si="267"/>
        <v>1139480</v>
      </c>
    </row>
    <row r="49" spans="1:29" s="29" customFormat="1" ht="22.5" x14ac:dyDescent="0.25">
      <c r="A49" s="54" t="s">
        <v>193</v>
      </c>
      <c r="B49" s="59"/>
      <c r="C49" s="47"/>
      <c r="D49" s="47"/>
      <c r="E49" s="110">
        <f>+E50+E51+E52</f>
        <v>400000</v>
      </c>
      <c r="F49" s="111">
        <f t="shared" ref="F49:G49" si="268">+F50+F51+F52</f>
        <v>400000</v>
      </c>
      <c r="G49" s="118">
        <f t="shared" si="268"/>
        <v>26400</v>
      </c>
      <c r="H49" s="134">
        <f t="shared" si="247"/>
        <v>426400</v>
      </c>
      <c r="I49" s="111">
        <f t="shared" ref="I49" si="269">+I50+I51+I52</f>
        <v>10000</v>
      </c>
      <c r="J49" s="118">
        <f t="shared" ref="J49" si="270">+J50+J51+J52</f>
        <v>2200</v>
      </c>
      <c r="K49" s="111">
        <f t="shared" ref="K49" si="271">+K50+K51+K52</f>
        <v>30000</v>
      </c>
      <c r="L49" s="118">
        <f t="shared" ref="L49" si="272">+L50+L51+L52</f>
        <v>6600</v>
      </c>
      <c r="M49" s="111">
        <f t="shared" ref="M49" si="273">+M50+M51+M52</f>
        <v>30000</v>
      </c>
      <c r="N49" s="118">
        <f t="shared" ref="N49" si="274">+N50+N51+N52</f>
        <v>6600</v>
      </c>
      <c r="O49" s="111">
        <f t="shared" ref="O49" si="275">+O50+O51+O52</f>
        <v>30000</v>
      </c>
      <c r="P49" s="118">
        <f t="shared" ref="P49" si="276">+P50+P51+P52</f>
        <v>6600</v>
      </c>
      <c r="Q49" s="111">
        <f t="shared" ref="Q49" si="277">+Q50+Q51+Q52</f>
        <v>20000</v>
      </c>
      <c r="R49" s="118">
        <f t="shared" ref="R49" si="278">+R50+R51+R52</f>
        <v>4400</v>
      </c>
      <c r="S49" s="111">
        <f t="shared" ref="S49" si="279">+S50+S51+S52</f>
        <v>224000</v>
      </c>
      <c r="T49" s="118">
        <f t="shared" ref="T49" si="280">+T50+T51+T52</f>
        <v>0</v>
      </c>
      <c r="U49" s="111">
        <f t="shared" ref="U49" si="281">+U50+U51+U52</f>
        <v>56000</v>
      </c>
      <c r="V49" s="118">
        <f t="shared" ref="V49" si="282">+V50+V51+V52</f>
        <v>0</v>
      </c>
      <c r="W49" s="111">
        <f t="shared" ref="W49" si="283">+W50+W51+W52</f>
        <v>0</v>
      </c>
      <c r="X49" s="118">
        <f t="shared" ref="X49" si="284">+X50+X51+X52</f>
        <v>0</v>
      </c>
      <c r="Y49" s="111">
        <f t="shared" ref="Y49" si="285">+Y50+Y51+Y52</f>
        <v>0</v>
      </c>
      <c r="Z49" s="118">
        <f t="shared" ref="Z49" si="286">+Z50+Z51+Z52</f>
        <v>0</v>
      </c>
      <c r="AA49" s="111">
        <f t="shared" ref="AA49" si="287">+AA50+AA51+AA52</f>
        <v>0</v>
      </c>
      <c r="AB49" s="118">
        <f t="shared" ref="AB49:AC49" si="288">+AB50+AB51+AB52</f>
        <v>0</v>
      </c>
      <c r="AC49" s="118">
        <f t="shared" si="288"/>
        <v>426400</v>
      </c>
    </row>
    <row r="50" spans="1:29" s="116" customFormat="1" ht="11.25" x14ac:dyDescent="0.2">
      <c r="A50" s="120" t="s">
        <v>159</v>
      </c>
      <c r="B50" s="121" t="s">
        <v>44</v>
      </c>
      <c r="C50" s="122">
        <v>2500</v>
      </c>
      <c r="D50" s="122">
        <f>2*24</f>
        <v>48</v>
      </c>
      <c r="E50" s="123">
        <f t="shared" ref="E50:E51" si="289">+D50*C50</f>
        <v>120000</v>
      </c>
      <c r="F50" s="124">
        <f>+E50</f>
        <v>120000</v>
      </c>
      <c r="G50" s="125">
        <f>+F50*0.22</f>
        <v>26400</v>
      </c>
      <c r="H50" s="133">
        <f>+G50+F50</f>
        <v>146400</v>
      </c>
      <c r="I50" s="124">
        <f>+C50*2*2</f>
        <v>10000</v>
      </c>
      <c r="J50" s="125">
        <f>+I50*0.22</f>
        <v>2200</v>
      </c>
      <c r="K50" s="124">
        <f>+C50*2*6</f>
        <v>30000</v>
      </c>
      <c r="L50" s="125">
        <f>+K50*0.22</f>
        <v>6600</v>
      </c>
      <c r="M50" s="124">
        <f t="shared" ref="M50:P50" si="290">+K50</f>
        <v>30000</v>
      </c>
      <c r="N50" s="125">
        <f t="shared" si="290"/>
        <v>6600</v>
      </c>
      <c r="O50" s="124">
        <f t="shared" si="290"/>
        <v>30000</v>
      </c>
      <c r="P50" s="125">
        <f t="shared" si="290"/>
        <v>6600</v>
      </c>
      <c r="Q50" s="124">
        <f>+C50*2*4</f>
        <v>20000</v>
      </c>
      <c r="R50" s="125">
        <f>+Q50*0.22</f>
        <v>4400</v>
      </c>
      <c r="S50" s="124">
        <v>0</v>
      </c>
      <c r="T50" s="125">
        <v>0</v>
      </c>
      <c r="U50" s="124">
        <v>0</v>
      </c>
      <c r="V50" s="125">
        <v>0</v>
      </c>
      <c r="W50" s="124">
        <v>0</v>
      </c>
      <c r="X50" s="125">
        <v>0</v>
      </c>
      <c r="Y50" s="124">
        <v>0</v>
      </c>
      <c r="Z50" s="125">
        <v>0</v>
      </c>
      <c r="AA50" s="124">
        <v>0</v>
      </c>
      <c r="AB50" s="125">
        <v>0</v>
      </c>
      <c r="AC50" s="125">
        <f t="shared" ref="AC50:AC52" si="291">SUM(I50:AB50)</f>
        <v>146400</v>
      </c>
    </row>
    <row r="51" spans="1:29" s="116" customFormat="1" ht="11.25" x14ac:dyDescent="0.2">
      <c r="A51" s="120" t="s">
        <v>161</v>
      </c>
      <c r="B51" s="121" t="s">
        <v>58</v>
      </c>
      <c r="C51" s="122">
        <v>120000</v>
      </c>
      <c r="D51" s="122">
        <v>1</v>
      </c>
      <c r="E51" s="123">
        <f t="shared" si="289"/>
        <v>120000</v>
      </c>
      <c r="F51" s="124">
        <f>+E51</f>
        <v>120000</v>
      </c>
      <c r="G51" s="272">
        <v>0</v>
      </c>
      <c r="H51" s="133">
        <f>+G51+F51</f>
        <v>120000</v>
      </c>
      <c r="I51" s="124">
        <v>0</v>
      </c>
      <c r="J51" s="126">
        <v>0</v>
      </c>
      <c r="K51" s="124">
        <v>0</v>
      </c>
      <c r="L51" s="126">
        <v>0</v>
      </c>
      <c r="M51" s="124">
        <v>0</v>
      </c>
      <c r="N51" s="126">
        <v>0</v>
      </c>
      <c r="O51" s="124">
        <v>0</v>
      </c>
      <c r="P51" s="126">
        <v>0</v>
      </c>
      <c r="Q51" s="124">
        <v>0</v>
      </c>
      <c r="R51" s="126">
        <v>0</v>
      </c>
      <c r="S51" s="124">
        <f>+F51*0.8</f>
        <v>96000</v>
      </c>
      <c r="T51" s="126">
        <f>+G51*0.8</f>
        <v>0</v>
      </c>
      <c r="U51" s="124">
        <f>+F51*0.2</f>
        <v>24000</v>
      </c>
      <c r="V51" s="126">
        <f>+G51*0.2</f>
        <v>0</v>
      </c>
      <c r="W51" s="124">
        <v>0</v>
      </c>
      <c r="X51" s="126">
        <v>0</v>
      </c>
      <c r="Y51" s="124">
        <v>0</v>
      </c>
      <c r="Z51" s="126">
        <v>0</v>
      </c>
      <c r="AA51" s="124">
        <v>0</v>
      </c>
      <c r="AB51" s="126">
        <v>0</v>
      </c>
      <c r="AC51" s="125">
        <f t="shared" si="291"/>
        <v>120000</v>
      </c>
    </row>
    <row r="52" spans="1:29" s="116" customFormat="1" ht="11.25" x14ac:dyDescent="0.2">
      <c r="A52" s="120" t="s">
        <v>162</v>
      </c>
      <c r="B52" s="121" t="s">
        <v>58</v>
      </c>
      <c r="C52" s="122">
        <v>160000</v>
      </c>
      <c r="D52" s="122">
        <v>1</v>
      </c>
      <c r="E52" s="123">
        <f t="shared" ref="E52" si="292">+D52*C52</f>
        <v>160000</v>
      </c>
      <c r="F52" s="124">
        <f>+E52</f>
        <v>160000</v>
      </c>
      <c r="G52" s="125">
        <v>0</v>
      </c>
      <c r="H52" s="133">
        <f>+G52+F52</f>
        <v>160000</v>
      </c>
      <c r="I52" s="124">
        <v>0</v>
      </c>
      <c r="J52" s="126">
        <v>0</v>
      </c>
      <c r="K52" s="124">
        <v>0</v>
      </c>
      <c r="L52" s="126">
        <v>0</v>
      </c>
      <c r="M52" s="124">
        <v>0</v>
      </c>
      <c r="N52" s="126">
        <v>0</v>
      </c>
      <c r="O52" s="124">
        <v>0</v>
      </c>
      <c r="P52" s="126">
        <v>0</v>
      </c>
      <c r="Q52" s="124">
        <v>0</v>
      </c>
      <c r="R52" s="126">
        <v>0</v>
      </c>
      <c r="S52" s="124">
        <f>+F52*0.8</f>
        <v>128000</v>
      </c>
      <c r="T52" s="126">
        <v>0</v>
      </c>
      <c r="U52" s="124">
        <f>+F52*0.2</f>
        <v>32000</v>
      </c>
      <c r="V52" s="126">
        <v>0</v>
      </c>
      <c r="W52" s="124">
        <v>0</v>
      </c>
      <c r="X52" s="126">
        <v>0</v>
      </c>
      <c r="Y52" s="124">
        <v>0</v>
      </c>
      <c r="Z52" s="126">
        <v>0</v>
      </c>
      <c r="AA52" s="124">
        <v>0</v>
      </c>
      <c r="AB52" s="126">
        <v>0</v>
      </c>
      <c r="AC52" s="125">
        <f t="shared" si="291"/>
        <v>160000</v>
      </c>
    </row>
    <row r="53" spans="1:29" s="29" customFormat="1" x14ac:dyDescent="0.25">
      <c r="A53" s="54" t="s">
        <v>194</v>
      </c>
      <c r="B53" s="59" t="s">
        <v>58</v>
      </c>
      <c r="C53" s="28"/>
      <c r="D53" s="28"/>
      <c r="E53" s="65">
        <f>+E54+E55+E56</f>
        <v>250000</v>
      </c>
      <c r="F53" s="71">
        <f t="shared" ref="F53:G53" si="293">+F54+F55+F56</f>
        <v>250000</v>
      </c>
      <c r="G53" s="72">
        <f t="shared" si="293"/>
        <v>41800</v>
      </c>
      <c r="H53" s="130">
        <f t="shared" ref="H53:H56" si="294">+G53+F53</f>
        <v>291800</v>
      </c>
      <c r="I53" s="71">
        <f t="shared" ref="I53" si="295">+I54+I55+I56</f>
        <v>0</v>
      </c>
      <c r="J53" s="72">
        <f t="shared" ref="J53" si="296">+J54+J55+J56</f>
        <v>0</v>
      </c>
      <c r="K53" s="71">
        <f t="shared" ref="K53" si="297">+K54+K55+K56</f>
        <v>0</v>
      </c>
      <c r="L53" s="72">
        <f t="shared" ref="L53" si="298">+L54+L55+L56</f>
        <v>0</v>
      </c>
      <c r="M53" s="71">
        <f t="shared" ref="M53" si="299">+M54+M55+M56</f>
        <v>50000</v>
      </c>
      <c r="N53" s="72">
        <f t="shared" ref="N53" si="300">+N54+N55+N56</f>
        <v>8360</v>
      </c>
      <c r="O53" s="71">
        <f t="shared" ref="O53" si="301">+O54+O55+O56</f>
        <v>50000</v>
      </c>
      <c r="P53" s="72">
        <f t="shared" ref="P53" si="302">+P54+P55+P56</f>
        <v>8360</v>
      </c>
      <c r="Q53" s="71">
        <f t="shared" ref="Q53" si="303">+Q54+Q55+Q56</f>
        <v>75000</v>
      </c>
      <c r="R53" s="72">
        <f t="shared" ref="R53" si="304">+R54+R55+R56</f>
        <v>12540</v>
      </c>
      <c r="S53" s="71">
        <f t="shared" ref="S53" si="305">+S54+S55+S56</f>
        <v>50000</v>
      </c>
      <c r="T53" s="72">
        <f t="shared" ref="T53" si="306">+T54+T55+T56</f>
        <v>8360</v>
      </c>
      <c r="U53" s="71">
        <f t="shared" ref="U53" si="307">+U54+U55+U56</f>
        <v>25000</v>
      </c>
      <c r="V53" s="72">
        <f t="shared" ref="V53" si="308">+V54+V55+V56</f>
        <v>4180</v>
      </c>
      <c r="W53" s="71">
        <f t="shared" ref="W53" si="309">+W54+W55+W56</f>
        <v>0</v>
      </c>
      <c r="X53" s="72">
        <f t="shared" ref="X53" si="310">+X54+X55+X56</f>
        <v>0</v>
      </c>
      <c r="Y53" s="71">
        <f t="shared" ref="Y53" si="311">+Y54+Y55+Y56</f>
        <v>0</v>
      </c>
      <c r="Z53" s="72">
        <f t="shared" ref="Z53" si="312">+Z54+Z55+Z56</f>
        <v>0</v>
      </c>
      <c r="AA53" s="71">
        <f t="shared" ref="AA53" si="313">+AA54+AA55+AA56</f>
        <v>0</v>
      </c>
      <c r="AB53" s="72">
        <f t="shared" ref="AB53:AC53" si="314">+AB54+AB55+AB56</f>
        <v>0</v>
      </c>
      <c r="AC53" s="72">
        <f t="shared" si="314"/>
        <v>291800</v>
      </c>
    </row>
    <row r="54" spans="1:29" s="41" customFormat="1" ht="22.5" customHeight="1" x14ac:dyDescent="0.25">
      <c r="A54" s="120" t="s">
        <v>149</v>
      </c>
      <c r="B54" s="121" t="s">
        <v>58</v>
      </c>
      <c r="C54" s="122">
        <v>90000</v>
      </c>
      <c r="D54" s="122">
        <v>1</v>
      </c>
      <c r="E54" s="123">
        <f t="shared" ref="E54:E56" si="315">+D54*C54</f>
        <v>90000</v>
      </c>
      <c r="F54" s="124">
        <f t="shared" ref="F54:F60" si="316">+E54</f>
        <v>90000</v>
      </c>
      <c r="G54" s="125">
        <f>+F54*0.22</f>
        <v>19800</v>
      </c>
      <c r="H54" s="133">
        <f t="shared" si="294"/>
        <v>109800</v>
      </c>
      <c r="I54" s="124">
        <v>0</v>
      </c>
      <c r="J54" s="125">
        <v>0</v>
      </c>
      <c r="K54" s="124">
        <v>0</v>
      </c>
      <c r="L54" s="125">
        <v>0</v>
      </c>
      <c r="M54" s="124">
        <f t="shared" ref="M54:N59" si="317">+F54*0.2</f>
        <v>18000</v>
      </c>
      <c r="N54" s="125">
        <f t="shared" si="317"/>
        <v>3960</v>
      </c>
      <c r="O54" s="124">
        <f t="shared" ref="O54:P59" si="318">+F54*0.2</f>
        <v>18000</v>
      </c>
      <c r="P54" s="125">
        <f t="shared" si="318"/>
        <v>3960</v>
      </c>
      <c r="Q54" s="124">
        <f t="shared" ref="Q54:R59" si="319">+F54*0.3</f>
        <v>27000</v>
      </c>
      <c r="R54" s="125">
        <f t="shared" si="319"/>
        <v>5940</v>
      </c>
      <c r="S54" s="124">
        <f t="shared" ref="S54:T59" si="320">+F54*0.2</f>
        <v>18000</v>
      </c>
      <c r="T54" s="125">
        <f t="shared" si="320"/>
        <v>3960</v>
      </c>
      <c r="U54" s="124">
        <f t="shared" ref="U54:V59" si="321">+F54*0.1</f>
        <v>9000</v>
      </c>
      <c r="V54" s="125">
        <f t="shared" si="321"/>
        <v>1980</v>
      </c>
      <c r="W54" s="124">
        <v>0</v>
      </c>
      <c r="X54" s="125">
        <v>0</v>
      </c>
      <c r="Y54" s="124">
        <v>0</v>
      </c>
      <c r="Z54" s="125">
        <v>0</v>
      </c>
      <c r="AA54" s="124">
        <v>0</v>
      </c>
      <c r="AB54" s="125">
        <v>0</v>
      </c>
      <c r="AC54" s="125">
        <f t="shared" ref="AC54:AC60" si="322">SUM(I54:AB54)</f>
        <v>109800</v>
      </c>
    </row>
    <row r="55" spans="1:29" s="41" customFormat="1" ht="11.25" customHeight="1" x14ac:dyDescent="0.25">
      <c r="A55" s="120" t="s">
        <v>150</v>
      </c>
      <c r="B55" s="121" t="s">
        <v>58</v>
      </c>
      <c r="C55" s="122">
        <v>60000</v>
      </c>
      <c r="D55" s="122">
        <v>1</v>
      </c>
      <c r="E55" s="123">
        <f t="shared" si="315"/>
        <v>60000</v>
      </c>
      <c r="F55" s="124">
        <f t="shared" si="316"/>
        <v>60000</v>
      </c>
      <c r="G55" s="125">
        <v>0</v>
      </c>
      <c r="H55" s="133">
        <f t="shared" si="294"/>
        <v>60000</v>
      </c>
      <c r="I55" s="124">
        <v>0</v>
      </c>
      <c r="J55" s="125">
        <v>0</v>
      </c>
      <c r="K55" s="124">
        <v>0</v>
      </c>
      <c r="L55" s="125">
        <v>0</v>
      </c>
      <c r="M55" s="124">
        <f t="shared" si="317"/>
        <v>12000</v>
      </c>
      <c r="N55" s="125">
        <f t="shared" si="317"/>
        <v>0</v>
      </c>
      <c r="O55" s="124">
        <f t="shared" si="318"/>
        <v>12000</v>
      </c>
      <c r="P55" s="125">
        <f t="shared" si="318"/>
        <v>0</v>
      </c>
      <c r="Q55" s="124">
        <f t="shared" si="319"/>
        <v>18000</v>
      </c>
      <c r="R55" s="125">
        <f t="shared" si="319"/>
        <v>0</v>
      </c>
      <c r="S55" s="124">
        <f t="shared" si="320"/>
        <v>12000</v>
      </c>
      <c r="T55" s="125">
        <f t="shared" si="320"/>
        <v>0</v>
      </c>
      <c r="U55" s="124">
        <f t="shared" si="321"/>
        <v>6000</v>
      </c>
      <c r="V55" s="125">
        <f t="shared" si="321"/>
        <v>0</v>
      </c>
      <c r="W55" s="124">
        <v>0</v>
      </c>
      <c r="X55" s="125">
        <v>0</v>
      </c>
      <c r="Y55" s="124">
        <v>0</v>
      </c>
      <c r="Z55" s="125">
        <v>0</v>
      </c>
      <c r="AA55" s="124">
        <v>0</v>
      </c>
      <c r="AB55" s="125">
        <v>0</v>
      </c>
      <c r="AC55" s="125">
        <f t="shared" si="322"/>
        <v>60000</v>
      </c>
    </row>
    <row r="56" spans="1:29" s="41" customFormat="1" ht="10.5" customHeight="1" x14ac:dyDescent="0.25">
      <c r="A56" s="120" t="s">
        <v>151</v>
      </c>
      <c r="B56" s="121" t="s">
        <v>58</v>
      </c>
      <c r="C56" s="122">
        <v>100000</v>
      </c>
      <c r="D56" s="122">
        <v>1</v>
      </c>
      <c r="E56" s="123">
        <f t="shared" si="315"/>
        <v>100000</v>
      </c>
      <c r="F56" s="124">
        <f t="shared" si="316"/>
        <v>100000</v>
      </c>
      <c r="G56" s="126">
        <f>+F56*0.22</f>
        <v>22000</v>
      </c>
      <c r="H56" s="133">
        <f t="shared" si="294"/>
        <v>122000</v>
      </c>
      <c r="I56" s="124">
        <v>0</v>
      </c>
      <c r="J56" s="125">
        <v>0</v>
      </c>
      <c r="K56" s="124">
        <v>0</v>
      </c>
      <c r="L56" s="125">
        <v>0</v>
      </c>
      <c r="M56" s="124">
        <f t="shared" si="317"/>
        <v>20000</v>
      </c>
      <c r="N56" s="125">
        <f t="shared" si="317"/>
        <v>4400</v>
      </c>
      <c r="O56" s="124">
        <f t="shared" si="318"/>
        <v>20000</v>
      </c>
      <c r="P56" s="125">
        <f t="shared" si="318"/>
        <v>4400</v>
      </c>
      <c r="Q56" s="124">
        <f t="shared" si="319"/>
        <v>30000</v>
      </c>
      <c r="R56" s="125">
        <f t="shared" si="319"/>
        <v>6600</v>
      </c>
      <c r="S56" s="124">
        <f t="shared" si="320"/>
        <v>20000</v>
      </c>
      <c r="T56" s="125">
        <f t="shared" si="320"/>
        <v>4400</v>
      </c>
      <c r="U56" s="124">
        <f t="shared" si="321"/>
        <v>10000</v>
      </c>
      <c r="V56" s="125">
        <f t="shared" si="321"/>
        <v>2200</v>
      </c>
      <c r="W56" s="124">
        <v>0</v>
      </c>
      <c r="X56" s="125">
        <v>0</v>
      </c>
      <c r="Y56" s="124">
        <v>0</v>
      </c>
      <c r="Z56" s="125">
        <v>0</v>
      </c>
      <c r="AA56" s="124">
        <v>0</v>
      </c>
      <c r="AB56" s="125">
        <v>0</v>
      </c>
      <c r="AC56" s="125">
        <f t="shared" si="322"/>
        <v>122000</v>
      </c>
    </row>
    <row r="57" spans="1:29" s="273" customFormat="1" ht="22.5" x14ac:dyDescent="0.25">
      <c r="A57" s="54" t="s">
        <v>195</v>
      </c>
      <c r="B57" s="59" t="s">
        <v>58</v>
      </c>
      <c r="C57" s="112">
        <v>220000</v>
      </c>
      <c r="D57" s="112">
        <v>1</v>
      </c>
      <c r="E57" s="113">
        <f t="shared" ref="E57:E58" si="323">+D57*C57</f>
        <v>220000</v>
      </c>
      <c r="F57" s="269">
        <f t="shared" si="316"/>
        <v>220000</v>
      </c>
      <c r="G57" s="270">
        <v>25600</v>
      </c>
      <c r="H57" s="271">
        <f t="shared" ref="H57:H58" si="324">+G57+F57</f>
        <v>245600</v>
      </c>
      <c r="I57" s="114">
        <v>0</v>
      </c>
      <c r="J57" s="70">
        <v>0</v>
      </c>
      <c r="K57" s="114">
        <v>0</v>
      </c>
      <c r="L57" s="70">
        <v>0</v>
      </c>
      <c r="M57" s="114">
        <f t="shared" si="317"/>
        <v>44000</v>
      </c>
      <c r="N57" s="70">
        <f t="shared" si="317"/>
        <v>5120</v>
      </c>
      <c r="O57" s="114">
        <f t="shared" si="318"/>
        <v>44000</v>
      </c>
      <c r="P57" s="70">
        <f t="shared" si="318"/>
        <v>5120</v>
      </c>
      <c r="Q57" s="114">
        <f t="shared" si="319"/>
        <v>66000</v>
      </c>
      <c r="R57" s="70">
        <f t="shared" si="319"/>
        <v>7680</v>
      </c>
      <c r="S57" s="114">
        <f t="shared" si="320"/>
        <v>44000</v>
      </c>
      <c r="T57" s="70">
        <f t="shared" si="320"/>
        <v>5120</v>
      </c>
      <c r="U57" s="114">
        <f t="shared" si="321"/>
        <v>22000</v>
      </c>
      <c r="V57" s="70">
        <f t="shared" si="321"/>
        <v>2560</v>
      </c>
      <c r="W57" s="114">
        <v>0</v>
      </c>
      <c r="X57" s="70">
        <v>0</v>
      </c>
      <c r="Y57" s="114">
        <v>0</v>
      </c>
      <c r="Z57" s="70">
        <v>0</v>
      </c>
      <c r="AA57" s="114">
        <v>0</v>
      </c>
      <c r="AB57" s="70">
        <v>0</v>
      </c>
      <c r="AC57" s="118">
        <f t="shared" si="322"/>
        <v>245600</v>
      </c>
    </row>
    <row r="58" spans="1:29" s="29" customFormat="1" ht="22.5" x14ac:dyDescent="0.25">
      <c r="A58" s="54" t="s">
        <v>207</v>
      </c>
      <c r="B58" s="59" t="s">
        <v>58</v>
      </c>
      <c r="C58" s="112">
        <v>45000</v>
      </c>
      <c r="D58" s="112">
        <v>1</v>
      </c>
      <c r="E58" s="113">
        <f t="shared" si="323"/>
        <v>45000</v>
      </c>
      <c r="F58" s="114">
        <f t="shared" si="316"/>
        <v>45000</v>
      </c>
      <c r="G58" s="70">
        <f>+F58*0.22</f>
        <v>9900</v>
      </c>
      <c r="H58" s="135">
        <f t="shared" si="324"/>
        <v>54900</v>
      </c>
      <c r="I58" s="114">
        <v>0</v>
      </c>
      <c r="J58" s="70">
        <v>0</v>
      </c>
      <c r="K58" s="114">
        <v>0</v>
      </c>
      <c r="L58" s="70">
        <v>0</v>
      </c>
      <c r="M58" s="114">
        <f t="shared" si="317"/>
        <v>9000</v>
      </c>
      <c r="N58" s="70">
        <f t="shared" si="317"/>
        <v>1980</v>
      </c>
      <c r="O58" s="114">
        <f t="shared" si="318"/>
        <v>9000</v>
      </c>
      <c r="P58" s="70">
        <f t="shared" si="318"/>
        <v>1980</v>
      </c>
      <c r="Q58" s="114">
        <f t="shared" si="319"/>
        <v>13500</v>
      </c>
      <c r="R58" s="70">
        <f t="shared" si="319"/>
        <v>2970</v>
      </c>
      <c r="S58" s="114">
        <f t="shared" si="320"/>
        <v>9000</v>
      </c>
      <c r="T58" s="70">
        <f t="shared" si="320"/>
        <v>1980</v>
      </c>
      <c r="U58" s="114">
        <f t="shared" si="321"/>
        <v>4500</v>
      </c>
      <c r="V58" s="70">
        <f t="shared" si="321"/>
        <v>990</v>
      </c>
      <c r="W58" s="114">
        <v>0</v>
      </c>
      <c r="X58" s="70">
        <v>0</v>
      </c>
      <c r="Y58" s="114">
        <v>0</v>
      </c>
      <c r="Z58" s="70">
        <v>0</v>
      </c>
      <c r="AA58" s="114">
        <v>0</v>
      </c>
      <c r="AB58" s="70">
        <v>0</v>
      </c>
      <c r="AC58" s="118">
        <f t="shared" si="322"/>
        <v>54900</v>
      </c>
    </row>
    <row r="59" spans="1:29" s="29" customFormat="1" ht="22.5" x14ac:dyDescent="0.25">
      <c r="A59" s="54" t="s">
        <v>215</v>
      </c>
      <c r="B59" s="59" t="s">
        <v>58</v>
      </c>
      <c r="C59" s="112">
        <v>45000</v>
      </c>
      <c r="D59" s="112">
        <v>1</v>
      </c>
      <c r="E59" s="113">
        <f t="shared" ref="E59" si="325">+D59*C59</f>
        <v>45000</v>
      </c>
      <c r="F59" s="114">
        <f t="shared" si="316"/>
        <v>45000</v>
      </c>
      <c r="G59" s="70">
        <f>+F59*0.22</f>
        <v>9900</v>
      </c>
      <c r="H59" s="135">
        <f t="shared" ref="H59" si="326">+G59+F59</f>
        <v>54900</v>
      </c>
      <c r="I59" s="114">
        <v>0</v>
      </c>
      <c r="J59" s="70">
        <v>0</v>
      </c>
      <c r="K59" s="114">
        <v>0</v>
      </c>
      <c r="L59" s="70">
        <v>0</v>
      </c>
      <c r="M59" s="114">
        <f t="shared" si="317"/>
        <v>9000</v>
      </c>
      <c r="N59" s="70">
        <f t="shared" si="317"/>
        <v>1980</v>
      </c>
      <c r="O59" s="114">
        <f t="shared" si="318"/>
        <v>9000</v>
      </c>
      <c r="P59" s="70">
        <f t="shared" si="318"/>
        <v>1980</v>
      </c>
      <c r="Q59" s="114">
        <f t="shared" si="319"/>
        <v>13500</v>
      </c>
      <c r="R59" s="70">
        <f t="shared" si="319"/>
        <v>2970</v>
      </c>
      <c r="S59" s="114">
        <f t="shared" si="320"/>
        <v>9000</v>
      </c>
      <c r="T59" s="70">
        <f t="shared" si="320"/>
        <v>1980</v>
      </c>
      <c r="U59" s="114">
        <f t="shared" si="321"/>
        <v>4500</v>
      </c>
      <c r="V59" s="70">
        <f t="shared" si="321"/>
        <v>990</v>
      </c>
      <c r="W59" s="114">
        <v>0</v>
      </c>
      <c r="X59" s="70">
        <v>0</v>
      </c>
      <c r="Y59" s="114">
        <v>0</v>
      </c>
      <c r="Z59" s="70">
        <v>0</v>
      </c>
      <c r="AA59" s="114">
        <v>0</v>
      </c>
      <c r="AB59" s="70">
        <v>0</v>
      </c>
      <c r="AC59" s="118">
        <f t="shared" si="322"/>
        <v>54900</v>
      </c>
    </row>
    <row r="60" spans="1:29" s="29" customFormat="1" ht="22.5" x14ac:dyDescent="0.25">
      <c r="A60" s="54" t="s">
        <v>208</v>
      </c>
      <c r="B60" s="59" t="s">
        <v>58</v>
      </c>
      <c r="C60" s="112">
        <v>54000</v>
      </c>
      <c r="D60" s="112">
        <v>1</v>
      </c>
      <c r="E60" s="113">
        <f t="shared" ref="E60" si="327">+D60*C60</f>
        <v>54000</v>
      </c>
      <c r="F60" s="114">
        <f t="shared" si="316"/>
        <v>54000</v>
      </c>
      <c r="G60" s="70">
        <f>+F60*0.22</f>
        <v>11880</v>
      </c>
      <c r="H60" s="135">
        <f t="shared" ref="H60" si="328">+G60+F60</f>
        <v>65880</v>
      </c>
      <c r="I60" s="114">
        <v>0</v>
      </c>
      <c r="J60" s="70">
        <v>0</v>
      </c>
      <c r="K60" s="114">
        <v>0</v>
      </c>
      <c r="L60" s="70">
        <v>0</v>
      </c>
      <c r="M60" s="114">
        <v>0</v>
      </c>
      <c r="N60" s="70">
        <v>0</v>
      </c>
      <c r="O60" s="114">
        <v>0</v>
      </c>
      <c r="P60" s="70">
        <v>0</v>
      </c>
      <c r="Q60" s="114">
        <f>+F60*0.6</f>
        <v>32400</v>
      </c>
      <c r="R60" s="70">
        <f>+G60*0.6</f>
        <v>7128</v>
      </c>
      <c r="S60" s="114">
        <f>+F60*0.4</f>
        <v>21600</v>
      </c>
      <c r="T60" s="70">
        <f>+G60*0.4</f>
        <v>4752</v>
      </c>
      <c r="U60" s="114">
        <v>0</v>
      </c>
      <c r="V60" s="70">
        <v>0</v>
      </c>
      <c r="W60" s="114">
        <v>0</v>
      </c>
      <c r="X60" s="70">
        <v>0</v>
      </c>
      <c r="Y60" s="114">
        <v>0</v>
      </c>
      <c r="Z60" s="70">
        <v>0</v>
      </c>
      <c r="AA60" s="114">
        <v>0</v>
      </c>
      <c r="AB60" s="70">
        <v>0</v>
      </c>
      <c r="AC60" s="118">
        <f t="shared" si="322"/>
        <v>65880</v>
      </c>
    </row>
    <row r="61" spans="1:29" s="26" customFormat="1" ht="28.5" customHeight="1" x14ac:dyDescent="0.25">
      <c r="A61" s="55" t="s">
        <v>178</v>
      </c>
      <c r="B61" s="61"/>
      <c r="C61" s="50"/>
      <c r="D61" s="50"/>
      <c r="E61" s="64">
        <f>+E62+E66+E65</f>
        <v>320000</v>
      </c>
      <c r="F61" s="67">
        <f>+F62+F66+F65</f>
        <v>320000</v>
      </c>
      <c r="G61" s="51">
        <f>+G62+G66+G65</f>
        <v>70400</v>
      </c>
      <c r="H61" s="128">
        <f t="shared" ref="H61:H66" si="329">+G61+F61</f>
        <v>390400</v>
      </c>
      <c r="I61" s="67">
        <f t="shared" ref="I61:AC61" si="330">+I62+I66+I65</f>
        <v>5000</v>
      </c>
      <c r="J61" s="51">
        <f t="shared" si="330"/>
        <v>1100</v>
      </c>
      <c r="K61" s="67">
        <f t="shared" si="330"/>
        <v>30000</v>
      </c>
      <c r="L61" s="51">
        <f t="shared" si="330"/>
        <v>6600</v>
      </c>
      <c r="M61" s="67">
        <f t="shared" si="330"/>
        <v>30000</v>
      </c>
      <c r="N61" s="51">
        <f t="shared" si="330"/>
        <v>6600</v>
      </c>
      <c r="O61" s="67">
        <f t="shared" si="330"/>
        <v>157000</v>
      </c>
      <c r="P61" s="51">
        <f t="shared" si="330"/>
        <v>34540</v>
      </c>
      <c r="Q61" s="67">
        <f t="shared" si="330"/>
        <v>98000</v>
      </c>
      <c r="R61" s="51">
        <f t="shared" si="330"/>
        <v>21560</v>
      </c>
      <c r="S61" s="67">
        <f t="shared" si="330"/>
        <v>0</v>
      </c>
      <c r="T61" s="51">
        <f t="shared" si="330"/>
        <v>0</v>
      </c>
      <c r="U61" s="67">
        <f t="shared" si="330"/>
        <v>0</v>
      </c>
      <c r="V61" s="51">
        <f t="shared" si="330"/>
        <v>0</v>
      </c>
      <c r="W61" s="67">
        <f t="shared" si="330"/>
        <v>0</v>
      </c>
      <c r="X61" s="51">
        <f t="shared" si="330"/>
        <v>0</v>
      </c>
      <c r="Y61" s="67">
        <f t="shared" si="330"/>
        <v>0</v>
      </c>
      <c r="Z61" s="51">
        <f t="shared" si="330"/>
        <v>0</v>
      </c>
      <c r="AA61" s="67">
        <f t="shared" si="330"/>
        <v>0</v>
      </c>
      <c r="AB61" s="51">
        <f t="shared" si="330"/>
        <v>0</v>
      </c>
      <c r="AC61" s="51">
        <f t="shared" si="330"/>
        <v>390400</v>
      </c>
    </row>
    <row r="62" spans="1:29" s="29" customFormat="1" ht="22.5" x14ac:dyDescent="0.25">
      <c r="A62" s="54" t="s">
        <v>222</v>
      </c>
      <c r="B62" s="59"/>
      <c r="C62" s="28"/>
      <c r="D62" s="28"/>
      <c r="E62" s="65">
        <f>+E63+E64</f>
        <v>100000</v>
      </c>
      <c r="F62" s="117">
        <f t="shared" ref="F62:G62" si="331">+F63+F64</f>
        <v>100000</v>
      </c>
      <c r="G62" s="118">
        <f t="shared" si="331"/>
        <v>22000</v>
      </c>
      <c r="H62" s="132">
        <f t="shared" si="329"/>
        <v>122000</v>
      </c>
      <c r="I62" s="117">
        <f t="shared" ref="I62" si="332">+I63+I64</f>
        <v>5000</v>
      </c>
      <c r="J62" s="118">
        <f t="shared" ref="J62" si="333">+J63+J64</f>
        <v>1100</v>
      </c>
      <c r="K62" s="117">
        <f t="shared" ref="K62" si="334">+K63+K64</f>
        <v>30000</v>
      </c>
      <c r="L62" s="118">
        <f t="shared" ref="L62" si="335">+L63+L64</f>
        <v>6600</v>
      </c>
      <c r="M62" s="117">
        <f t="shared" ref="M62" si="336">+M63+M64</f>
        <v>30000</v>
      </c>
      <c r="N62" s="118">
        <f t="shared" ref="N62" si="337">+N63+N64</f>
        <v>6600</v>
      </c>
      <c r="O62" s="117">
        <f t="shared" ref="O62" si="338">+O63+O64</f>
        <v>25000</v>
      </c>
      <c r="P62" s="118">
        <f t="shared" ref="P62" si="339">+P63+P64</f>
        <v>5500</v>
      </c>
      <c r="Q62" s="117">
        <f t="shared" ref="Q62" si="340">+Q63+Q64</f>
        <v>10000</v>
      </c>
      <c r="R62" s="118">
        <f t="shared" ref="R62" si="341">+R63+R64</f>
        <v>2200</v>
      </c>
      <c r="S62" s="117">
        <f t="shared" ref="S62" si="342">+S63+S64</f>
        <v>0</v>
      </c>
      <c r="T62" s="118">
        <f t="shared" ref="T62" si="343">+T63+T64</f>
        <v>0</v>
      </c>
      <c r="U62" s="117">
        <f t="shared" ref="U62" si="344">+U63+U64</f>
        <v>0</v>
      </c>
      <c r="V62" s="118">
        <f t="shared" ref="V62" si="345">+V63+V64</f>
        <v>0</v>
      </c>
      <c r="W62" s="117">
        <f t="shared" ref="W62" si="346">+W63+W64</f>
        <v>0</v>
      </c>
      <c r="X62" s="118">
        <f t="shared" ref="X62" si="347">+X63+X64</f>
        <v>0</v>
      </c>
      <c r="Y62" s="117">
        <f t="shared" ref="Y62" si="348">+Y63+Y64</f>
        <v>0</v>
      </c>
      <c r="Z62" s="118">
        <f t="shared" ref="Z62" si="349">+Z63+Z64</f>
        <v>0</v>
      </c>
      <c r="AA62" s="117">
        <f t="shared" ref="AA62" si="350">+AA63+AA64</f>
        <v>0</v>
      </c>
      <c r="AB62" s="118">
        <f t="shared" ref="AB62:AC62" si="351">+AB63+AB64</f>
        <v>0</v>
      </c>
      <c r="AC62" s="118">
        <f t="shared" si="351"/>
        <v>122000</v>
      </c>
    </row>
    <row r="63" spans="1:29" s="116" customFormat="1" ht="11.25" x14ac:dyDescent="0.2">
      <c r="A63" s="120" t="s">
        <v>159</v>
      </c>
      <c r="B63" s="121" t="s">
        <v>44</v>
      </c>
      <c r="C63" s="122">
        <v>2500</v>
      </c>
      <c r="D63" s="122">
        <f>1*24</f>
        <v>24</v>
      </c>
      <c r="E63" s="123">
        <f t="shared" ref="E63" si="352">+D63*C63</f>
        <v>60000</v>
      </c>
      <c r="F63" s="124">
        <f>+E63</f>
        <v>60000</v>
      </c>
      <c r="G63" s="125">
        <f>+F63*0.22</f>
        <v>13200</v>
      </c>
      <c r="H63" s="133">
        <f>+G63+F63</f>
        <v>73200</v>
      </c>
      <c r="I63" s="124">
        <f>+C63*2</f>
        <v>5000</v>
      </c>
      <c r="J63" s="125">
        <f>+I63*0.22</f>
        <v>1100</v>
      </c>
      <c r="K63" s="124">
        <f>+C63*6</f>
        <v>15000</v>
      </c>
      <c r="L63" s="125">
        <f>+K63*0.22</f>
        <v>3300</v>
      </c>
      <c r="M63" s="124">
        <f t="shared" ref="M63:P63" si="353">+K63</f>
        <v>15000</v>
      </c>
      <c r="N63" s="125">
        <f t="shared" si="353"/>
        <v>3300</v>
      </c>
      <c r="O63" s="124">
        <f t="shared" si="353"/>
        <v>15000</v>
      </c>
      <c r="P63" s="125">
        <f t="shared" si="353"/>
        <v>3300</v>
      </c>
      <c r="Q63" s="124">
        <f>+C63*4</f>
        <v>10000</v>
      </c>
      <c r="R63" s="125">
        <f>+Q63*0.22</f>
        <v>2200</v>
      </c>
      <c r="S63" s="124">
        <v>0</v>
      </c>
      <c r="T63" s="125">
        <v>0</v>
      </c>
      <c r="U63" s="124">
        <v>0</v>
      </c>
      <c r="V63" s="125">
        <v>0</v>
      </c>
      <c r="W63" s="124">
        <v>0</v>
      </c>
      <c r="X63" s="125">
        <v>0</v>
      </c>
      <c r="Y63" s="124">
        <v>0</v>
      </c>
      <c r="Z63" s="125">
        <v>0</v>
      </c>
      <c r="AA63" s="124">
        <v>0</v>
      </c>
      <c r="AB63" s="125">
        <v>0</v>
      </c>
      <c r="AC63" s="125">
        <f t="shared" ref="AC63:AC66" si="354">SUM(I63:AB63)</f>
        <v>73200</v>
      </c>
    </row>
    <row r="64" spans="1:29" s="116" customFormat="1" ht="11.25" x14ac:dyDescent="0.2">
      <c r="A64" s="120" t="s">
        <v>160</v>
      </c>
      <c r="B64" s="121" t="s">
        <v>44</v>
      </c>
      <c r="C64" s="122">
        <v>2500</v>
      </c>
      <c r="D64" s="122">
        <f>1*16</f>
        <v>16</v>
      </c>
      <c r="E64" s="123">
        <f t="shared" ref="E64" si="355">+D64*C64</f>
        <v>40000</v>
      </c>
      <c r="F64" s="124">
        <f>+E64</f>
        <v>40000</v>
      </c>
      <c r="G64" s="125">
        <f>+F64*0.22</f>
        <v>8800</v>
      </c>
      <c r="H64" s="133">
        <f>+G64+F64</f>
        <v>48800</v>
      </c>
      <c r="I64" s="124">
        <v>0</v>
      </c>
      <c r="J64" s="125">
        <v>0</v>
      </c>
      <c r="K64" s="124">
        <f>+C64*6</f>
        <v>15000</v>
      </c>
      <c r="L64" s="125">
        <f>+K64*0.22</f>
        <v>3300</v>
      </c>
      <c r="M64" s="124">
        <f>+K64</f>
        <v>15000</v>
      </c>
      <c r="N64" s="125">
        <f>+L64</f>
        <v>3300</v>
      </c>
      <c r="O64" s="124">
        <f>+C64*4</f>
        <v>10000</v>
      </c>
      <c r="P64" s="125">
        <f>+O64*0.22</f>
        <v>2200</v>
      </c>
      <c r="Q64" s="124">
        <v>0</v>
      </c>
      <c r="R64" s="125">
        <v>0</v>
      </c>
      <c r="S64" s="124">
        <v>0</v>
      </c>
      <c r="T64" s="125">
        <v>0</v>
      </c>
      <c r="U64" s="124">
        <v>0</v>
      </c>
      <c r="V64" s="125">
        <v>0</v>
      </c>
      <c r="W64" s="124">
        <v>0</v>
      </c>
      <c r="X64" s="125">
        <v>0</v>
      </c>
      <c r="Y64" s="124">
        <v>0</v>
      </c>
      <c r="Z64" s="125">
        <v>0</v>
      </c>
      <c r="AA64" s="124">
        <v>0</v>
      </c>
      <c r="AB64" s="125">
        <v>0</v>
      </c>
      <c r="AC64" s="125">
        <f t="shared" si="354"/>
        <v>48800</v>
      </c>
    </row>
    <row r="65" spans="1:29" s="29" customFormat="1" ht="45" x14ac:dyDescent="0.25">
      <c r="A65" s="54" t="s">
        <v>209</v>
      </c>
      <c r="B65" s="59" t="s">
        <v>58</v>
      </c>
      <c r="C65" s="28">
        <v>120000</v>
      </c>
      <c r="D65" s="28">
        <v>1</v>
      </c>
      <c r="E65" s="65">
        <f>+D65*C65</f>
        <v>120000</v>
      </c>
      <c r="F65" s="73">
        <v>120000</v>
      </c>
      <c r="G65" s="118">
        <f>+F65*0.22</f>
        <v>26400</v>
      </c>
      <c r="H65" s="136">
        <f t="shared" ref="H65" si="356">+G65+F65</f>
        <v>146400</v>
      </c>
      <c r="I65" s="73">
        <v>0</v>
      </c>
      <c r="J65" s="118">
        <v>0</v>
      </c>
      <c r="K65" s="73">
        <v>0</v>
      </c>
      <c r="L65" s="118">
        <v>0</v>
      </c>
      <c r="M65" s="73">
        <v>0</v>
      </c>
      <c r="N65" s="118">
        <v>0</v>
      </c>
      <c r="O65" s="73">
        <f>+F65*0.6</f>
        <v>72000</v>
      </c>
      <c r="P65" s="118">
        <f>+G65*0.6</f>
        <v>15840</v>
      </c>
      <c r="Q65" s="73">
        <f>+F65*0.4</f>
        <v>48000</v>
      </c>
      <c r="R65" s="118">
        <f>+G65*0.4</f>
        <v>10560</v>
      </c>
      <c r="S65" s="73">
        <v>0</v>
      </c>
      <c r="T65" s="118">
        <v>0</v>
      </c>
      <c r="U65" s="73">
        <v>0</v>
      </c>
      <c r="V65" s="118">
        <v>0</v>
      </c>
      <c r="W65" s="73">
        <v>0</v>
      </c>
      <c r="X65" s="118">
        <v>0</v>
      </c>
      <c r="Y65" s="73">
        <v>0</v>
      </c>
      <c r="Z65" s="118">
        <v>0</v>
      </c>
      <c r="AA65" s="73">
        <v>0</v>
      </c>
      <c r="AB65" s="118">
        <v>0</v>
      </c>
      <c r="AC65" s="118">
        <f t="shared" si="354"/>
        <v>146400</v>
      </c>
    </row>
    <row r="66" spans="1:29" s="29" customFormat="1" ht="23.25" thickBot="1" x14ac:dyDescent="0.3">
      <c r="A66" s="156" t="s">
        <v>210</v>
      </c>
      <c r="B66" s="157" t="s">
        <v>58</v>
      </c>
      <c r="C66" s="158">
        <v>100000</v>
      </c>
      <c r="D66" s="158">
        <v>1</v>
      </c>
      <c r="E66" s="37">
        <f>+D66*C66</f>
        <v>100000</v>
      </c>
      <c r="F66" s="159">
        <f>+E66</f>
        <v>100000</v>
      </c>
      <c r="G66" s="160">
        <f>+F66*0.22</f>
        <v>22000</v>
      </c>
      <c r="H66" s="132">
        <f t="shared" si="329"/>
        <v>122000</v>
      </c>
      <c r="I66" s="73">
        <v>0</v>
      </c>
      <c r="J66" s="118">
        <v>0</v>
      </c>
      <c r="K66" s="73">
        <v>0</v>
      </c>
      <c r="L66" s="118">
        <v>0</v>
      </c>
      <c r="M66" s="73">
        <v>0</v>
      </c>
      <c r="N66" s="118">
        <v>0</v>
      </c>
      <c r="O66" s="73">
        <f>+F66*0.6</f>
        <v>60000</v>
      </c>
      <c r="P66" s="118">
        <f>+G66*0.6</f>
        <v>13200</v>
      </c>
      <c r="Q66" s="73">
        <f>+F66*0.4</f>
        <v>40000</v>
      </c>
      <c r="R66" s="118">
        <f>+G66*0.4</f>
        <v>8800</v>
      </c>
      <c r="S66" s="73">
        <v>0</v>
      </c>
      <c r="T66" s="118">
        <v>0</v>
      </c>
      <c r="U66" s="73">
        <v>0</v>
      </c>
      <c r="V66" s="118">
        <v>0</v>
      </c>
      <c r="W66" s="73">
        <v>0</v>
      </c>
      <c r="X66" s="118">
        <v>0</v>
      </c>
      <c r="Y66" s="73">
        <v>0</v>
      </c>
      <c r="Z66" s="118">
        <v>0</v>
      </c>
      <c r="AA66" s="73">
        <v>0</v>
      </c>
      <c r="AB66" s="118">
        <v>0</v>
      </c>
      <c r="AC66" s="118">
        <f t="shared" si="354"/>
        <v>122000</v>
      </c>
    </row>
    <row r="67" spans="1:29" ht="15.75" thickBot="1" x14ac:dyDescent="0.3">
      <c r="A67" s="311" t="s">
        <v>46</v>
      </c>
      <c r="B67" s="312"/>
      <c r="C67" s="312"/>
      <c r="D67" s="312"/>
      <c r="E67" s="66">
        <f>+E61+E48+E32+E24+E5</f>
        <v>3500000</v>
      </c>
      <c r="F67" s="161">
        <f>+F61+F48+F32+F24+F5</f>
        <v>3500000</v>
      </c>
      <c r="G67" s="57">
        <f>+G61+G48+G32+G24+G5</f>
        <v>672400</v>
      </c>
      <c r="H67" s="79">
        <f t="shared" ref="H67" si="357">+G67+F67</f>
        <v>4172400</v>
      </c>
      <c r="I67" s="161">
        <f t="shared" ref="I67:AC67" si="358">+I61+I48+I32+I24+I5</f>
        <v>90000</v>
      </c>
      <c r="J67" s="57">
        <f t="shared" si="358"/>
        <v>19800</v>
      </c>
      <c r="K67" s="161">
        <f t="shared" si="358"/>
        <v>545000</v>
      </c>
      <c r="L67" s="57">
        <f t="shared" si="358"/>
        <v>119900</v>
      </c>
      <c r="M67" s="161">
        <f t="shared" si="358"/>
        <v>641600</v>
      </c>
      <c r="N67" s="57">
        <f t="shared" si="358"/>
        <v>133952</v>
      </c>
      <c r="O67" s="161">
        <f t="shared" si="358"/>
        <v>741600</v>
      </c>
      <c r="P67" s="57">
        <f t="shared" si="358"/>
        <v>155952</v>
      </c>
      <c r="Q67" s="161">
        <f t="shared" si="358"/>
        <v>635600</v>
      </c>
      <c r="R67" s="57">
        <f t="shared" si="358"/>
        <v>129032</v>
      </c>
      <c r="S67" s="161">
        <f t="shared" si="358"/>
        <v>492400</v>
      </c>
      <c r="T67" s="57">
        <f t="shared" si="358"/>
        <v>51848</v>
      </c>
      <c r="U67" s="161">
        <f t="shared" si="358"/>
        <v>202400</v>
      </c>
      <c r="V67" s="57">
        <f t="shared" si="358"/>
        <v>28608</v>
      </c>
      <c r="W67" s="161">
        <f t="shared" si="358"/>
        <v>146000</v>
      </c>
      <c r="X67" s="57">
        <f t="shared" si="358"/>
        <v>32120</v>
      </c>
      <c r="Y67" s="161">
        <f t="shared" si="358"/>
        <v>5400</v>
      </c>
      <c r="Z67" s="57">
        <f t="shared" si="358"/>
        <v>1188</v>
      </c>
      <c r="AA67" s="161">
        <f t="shared" si="358"/>
        <v>0</v>
      </c>
      <c r="AB67" s="57">
        <f t="shared" si="358"/>
        <v>0</v>
      </c>
      <c r="AC67" s="57">
        <f t="shared" si="358"/>
        <v>4172400</v>
      </c>
    </row>
    <row r="68" spans="1:29" ht="15.75" thickBot="1" x14ac:dyDescent="0.3">
      <c r="F68" s="167">
        <f>+F67/H67</f>
        <v>0.83884574825040747</v>
      </c>
      <c r="G68" s="168">
        <f>+G67/H67</f>
        <v>0.16115425174959255</v>
      </c>
      <c r="H68" s="137">
        <f>SUM(F68:G68)</f>
        <v>1</v>
      </c>
      <c r="I68" s="167">
        <f>+I67/$F$67</f>
        <v>2.5714285714285714E-2</v>
      </c>
      <c r="J68" s="168">
        <f>+J67/$G$67</f>
        <v>2.944675788221297E-2</v>
      </c>
      <c r="K68" s="167">
        <f>+K67/$F$67</f>
        <v>0.15571428571428572</v>
      </c>
      <c r="L68" s="168">
        <f>+L67/$G$67</f>
        <v>0.17831647828673408</v>
      </c>
      <c r="M68" s="167">
        <f>+M67/$F$67</f>
        <v>0.18331428571428571</v>
      </c>
      <c r="N68" s="168">
        <f>+N67/$G$67</f>
        <v>0.19921475312314099</v>
      </c>
      <c r="O68" s="167">
        <f>+O67/$F$67</f>
        <v>0.21188571428571429</v>
      </c>
      <c r="P68" s="168">
        <f>+P67/$G$67</f>
        <v>0.23193337299226652</v>
      </c>
      <c r="Q68" s="167">
        <f>+Q67/$F$67</f>
        <v>0.18160000000000001</v>
      </c>
      <c r="R68" s="168">
        <f>+R67/$G$67</f>
        <v>0.19189767995240928</v>
      </c>
      <c r="S68" s="167">
        <f>+S67/$F$67</f>
        <v>0.14068571428571428</v>
      </c>
      <c r="T68" s="168">
        <f>+T67/$G$67</f>
        <v>7.7108863771564548E-2</v>
      </c>
      <c r="U68" s="167">
        <f>+U67/$F$67</f>
        <v>5.7828571428571431E-2</v>
      </c>
      <c r="V68" s="168">
        <f>+V67/$G$67</f>
        <v>4.2546103509815587E-2</v>
      </c>
      <c r="W68" s="167">
        <f>+W67/$F$67</f>
        <v>4.1714285714285718E-2</v>
      </c>
      <c r="X68" s="168">
        <f>+X67/$G$67</f>
        <v>4.7769185008923257E-2</v>
      </c>
      <c r="Y68" s="167">
        <f>+Y67/$F$67</f>
        <v>1.5428571428571429E-3</v>
      </c>
      <c r="Z68" s="168">
        <f>+Z67/$G$67</f>
        <v>1.7668054729327782E-3</v>
      </c>
      <c r="AA68" s="167">
        <f>+AA67/$F$67</f>
        <v>0</v>
      </c>
      <c r="AB68" s="168">
        <f>+AB67/$G$67</f>
        <v>0</v>
      </c>
      <c r="AC68" s="164">
        <f>+AC67/H67</f>
        <v>1</v>
      </c>
    </row>
    <row r="69" spans="1:29" ht="15.75" thickBot="1" x14ac:dyDescent="0.3"/>
    <row r="70" spans="1:29" ht="15.75" thickBot="1" x14ac:dyDescent="0.3">
      <c r="G70" s="109"/>
      <c r="H70" s="109"/>
      <c r="I70" s="169" t="s">
        <v>23</v>
      </c>
      <c r="J70" s="170">
        <f>+I68+K68</f>
        <v>0.18142857142857144</v>
      </c>
      <c r="K70" s="171" t="s">
        <v>179</v>
      </c>
      <c r="L70" s="172">
        <f>+L68+J68</f>
        <v>0.20776323616894704</v>
      </c>
      <c r="M70" s="173" t="s">
        <v>23</v>
      </c>
      <c r="N70" s="174">
        <f>+M68+O68</f>
        <v>0.3952</v>
      </c>
      <c r="O70" s="171" t="s">
        <v>179</v>
      </c>
      <c r="P70" s="175">
        <f>+P68+N68</f>
        <v>0.43114812611540754</v>
      </c>
      <c r="Q70" s="169" t="s">
        <v>23</v>
      </c>
      <c r="R70" s="174">
        <f>+Q68+S68</f>
        <v>0.32228571428571429</v>
      </c>
      <c r="S70" s="171" t="s">
        <v>179</v>
      </c>
      <c r="T70" s="172">
        <f>+T68+R68</f>
        <v>0.26900654372397381</v>
      </c>
      <c r="U70" s="173" t="s">
        <v>23</v>
      </c>
      <c r="V70" s="174">
        <f>+U68+W68</f>
        <v>9.9542857142857155E-2</v>
      </c>
      <c r="W70" s="171" t="s">
        <v>179</v>
      </c>
      <c r="X70" s="175">
        <f>+X68+V68</f>
        <v>9.0315288518738851E-2</v>
      </c>
      <c r="Y70" s="169" t="s">
        <v>23</v>
      </c>
      <c r="Z70" s="174">
        <f>+Y68+AA68</f>
        <v>1.5428571428571429E-3</v>
      </c>
      <c r="AA70" s="171" t="s">
        <v>179</v>
      </c>
      <c r="AB70" s="172">
        <f>+AB68+Z68</f>
        <v>1.7668054729327782E-3</v>
      </c>
    </row>
    <row r="71" spans="1:29" x14ac:dyDescent="0.25">
      <c r="F71" s="13"/>
      <c r="G71" s="283" t="s">
        <v>180</v>
      </c>
      <c r="H71" s="284"/>
      <c r="I71" s="176" t="s">
        <v>23</v>
      </c>
      <c r="J71" s="177" t="s">
        <v>181</v>
      </c>
      <c r="K71" s="165"/>
      <c r="L71" s="165"/>
      <c r="M71" s="176" t="s">
        <v>23</v>
      </c>
      <c r="N71" s="177" t="s">
        <v>181</v>
      </c>
      <c r="O71" s="165"/>
      <c r="P71" s="165"/>
      <c r="Q71" s="176" t="s">
        <v>23</v>
      </c>
      <c r="R71" s="177" t="s">
        <v>181</v>
      </c>
      <c r="S71" s="165"/>
      <c r="T71" s="165"/>
      <c r="U71" s="176" t="s">
        <v>23</v>
      </c>
      <c r="V71" s="177" t="s">
        <v>181</v>
      </c>
      <c r="W71" s="165"/>
      <c r="X71" s="165"/>
      <c r="Y71" s="176" t="s">
        <v>23</v>
      </c>
      <c r="Z71" s="177" t="s">
        <v>181</v>
      </c>
      <c r="AA71" s="165"/>
      <c r="AB71" s="165"/>
    </row>
    <row r="72" spans="1:29" ht="15.75" thickBot="1" x14ac:dyDescent="0.3">
      <c r="G72" s="285"/>
      <c r="H72" s="286"/>
      <c r="I72" s="178">
        <f>+I67+K67</f>
        <v>635000</v>
      </c>
      <c r="J72" s="179">
        <f>+J67+L67</f>
        <v>139700</v>
      </c>
      <c r="K72" s="166"/>
      <c r="L72" s="166"/>
      <c r="M72" s="178">
        <f>+M67+O67</f>
        <v>1383200</v>
      </c>
      <c r="N72" s="179">
        <f>+N67+P67</f>
        <v>289904</v>
      </c>
      <c r="O72" s="166"/>
      <c r="P72" s="166"/>
      <c r="Q72" s="178">
        <f>+Q67+S67</f>
        <v>1128000</v>
      </c>
      <c r="R72" s="179">
        <f>+R67+T67</f>
        <v>180880</v>
      </c>
      <c r="S72" s="166"/>
      <c r="T72" s="166"/>
      <c r="U72" s="178">
        <f>+U67+W67</f>
        <v>348400</v>
      </c>
      <c r="V72" s="179">
        <f>+V67+X67</f>
        <v>60728</v>
      </c>
      <c r="W72" s="166"/>
      <c r="X72" s="166"/>
      <c r="Y72" s="178">
        <f>+Y67+AA67</f>
        <v>5400</v>
      </c>
      <c r="Z72" s="179">
        <f>+Z67+AB67</f>
        <v>1188</v>
      </c>
      <c r="AA72" s="166"/>
      <c r="AB72" s="166"/>
    </row>
  </sheetData>
  <mergeCells count="26">
    <mergeCell ref="H1:H3"/>
    <mergeCell ref="A4:E4"/>
    <mergeCell ref="A67:D67"/>
    <mergeCell ref="I2:J2"/>
    <mergeCell ref="A1:A3"/>
    <mergeCell ref="B1:B3"/>
    <mergeCell ref="C1:C3"/>
    <mergeCell ref="D1:D3"/>
    <mergeCell ref="E1:E3"/>
    <mergeCell ref="F1:G2"/>
    <mergeCell ref="Y1:AB1"/>
    <mergeCell ref="Y2:Z2"/>
    <mergeCell ref="AA2:AB2"/>
    <mergeCell ref="AC1:AC3"/>
    <mergeCell ref="G71:H72"/>
    <mergeCell ref="Q1:T1"/>
    <mergeCell ref="Q2:R2"/>
    <mergeCell ref="S2:T2"/>
    <mergeCell ref="U1:X1"/>
    <mergeCell ref="U2:V2"/>
    <mergeCell ref="W2:X2"/>
    <mergeCell ref="K2:L2"/>
    <mergeCell ref="I1:L1"/>
    <mergeCell ref="M1:P1"/>
    <mergeCell ref="M2:N2"/>
    <mergeCell ref="O2:P2"/>
  </mergeCells>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C25"/>
  <sheetViews>
    <sheetView zoomScaleNormal="100" zoomScalePageLayoutView="150" workbookViewId="0">
      <pane ySplit="3" topLeftCell="A4" activePane="bottomLeft" state="frozen"/>
      <selection pane="bottomLeft" activeCell="K25" sqref="K25"/>
    </sheetView>
  </sheetViews>
  <sheetFormatPr defaultColWidth="11.42578125" defaultRowHeight="15" x14ac:dyDescent="0.25"/>
  <cols>
    <col min="1" max="1" width="65.42578125" style="9" customWidth="1"/>
    <col min="2" max="2" width="11.140625" style="40" customWidth="1"/>
    <col min="3" max="3" width="9.28515625" style="10" customWidth="1"/>
    <col min="4" max="4" width="10.42578125" style="10" customWidth="1"/>
    <col min="5" max="5" width="12.85546875" style="10" customWidth="1"/>
    <col min="6" max="6" width="13.140625" style="10" bestFit="1" customWidth="1"/>
    <col min="7" max="7" width="12.28515625" style="10" bestFit="1" customWidth="1"/>
    <col min="8" max="8" width="13.140625" style="10" bestFit="1" customWidth="1"/>
    <col min="10" max="10" width="13.140625" bestFit="1" customWidth="1"/>
  </cols>
  <sheetData>
    <row r="1" spans="1:29" x14ac:dyDescent="0.25">
      <c r="A1" s="334" t="s">
        <v>41</v>
      </c>
      <c r="B1" s="337" t="s">
        <v>3</v>
      </c>
      <c r="C1" s="303" t="s">
        <v>19</v>
      </c>
      <c r="D1" s="303" t="s">
        <v>40</v>
      </c>
      <c r="E1" s="324" t="s">
        <v>20</v>
      </c>
      <c r="F1" s="295" t="s">
        <v>21</v>
      </c>
      <c r="G1" s="297"/>
      <c r="H1" s="329" t="s">
        <v>22</v>
      </c>
      <c r="I1" s="295" t="s">
        <v>163</v>
      </c>
      <c r="J1" s="296"/>
      <c r="K1" s="296"/>
      <c r="L1" s="297"/>
      <c r="M1" s="295" t="s">
        <v>166</v>
      </c>
      <c r="N1" s="296"/>
      <c r="O1" s="296"/>
      <c r="P1" s="297"/>
      <c r="Q1" s="295" t="s">
        <v>167</v>
      </c>
      <c r="R1" s="296"/>
      <c r="S1" s="296"/>
      <c r="T1" s="324"/>
      <c r="U1" s="295" t="s">
        <v>168</v>
      </c>
      <c r="V1" s="296"/>
      <c r="W1" s="296"/>
      <c r="X1" s="297"/>
      <c r="Y1" s="295" t="s">
        <v>169</v>
      </c>
      <c r="Z1" s="296"/>
      <c r="AA1" s="296"/>
      <c r="AB1" s="297"/>
      <c r="AC1" s="307" t="s">
        <v>22</v>
      </c>
    </row>
    <row r="2" spans="1:29" x14ac:dyDescent="0.25">
      <c r="A2" s="335"/>
      <c r="B2" s="317"/>
      <c r="C2" s="319"/>
      <c r="D2" s="319"/>
      <c r="E2" s="339"/>
      <c r="F2" s="292"/>
      <c r="G2" s="294"/>
      <c r="H2" s="330"/>
      <c r="I2" s="293" t="s">
        <v>164</v>
      </c>
      <c r="J2" s="293"/>
      <c r="K2" s="323" t="s">
        <v>165</v>
      </c>
      <c r="L2" s="306"/>
      <c r="M2" s="293" t="s">
        <v>164</v>
      </c>
      <c r="N2" s="293"/>
      <c r="O2" s="323" t="s">
        <v>165</v>
      </c>
      <c r="P2" s="306"/>
      <c r="Q2" s="293" t="s">
        <v>164</v>
      </c>
      <c r="R2" s="293"/>
      <c r="S2" s="323" t="s">
        <v>165</v>
      </c>
      <c r="T2" s="323"/>
      <c r="U2" s="292" t="s">
        <v>164</v>
      </c>
      <c r="V2" s="293"/>
      <c r="W2" s="323" t="s">
        <v>165</v>
      </c>
      <c r="X2" s="306"/>
      <c r="Y2" s="292" t="s">
        <v>164</v>
      </c>
      <c r="Z2" s="293"/>
      <c r="AA2" s="323" t="s">
        <v>165</v>
      </c>
      <c r="AB2" s="306"/>
      <c r="AC2" s="307"/>
    </row>
    <row r="3" spans="1:29" ht="15.75" thickBot="1" x14ac:dyDescent="0.3">
      <c r="A3" s="336"/>
      <c r="B3" s="338"/>
      <c r="C3" s="320"/>
      <c r="D3" s="320"/>
      <c r="E3" s="340"/>
      <c r="F3" s="17" t="s">
        <v>23</v>
      </c>
      <c r="G3" s="18" t="s">
        <v>179</v>
      </c>
      <c r="H3" s="331"/>
      <c r="I3" s="189" t="s">
        <v>23</v>
      </c>
      <c r="J3" s="189" t="s">
        <v>179</v>
      </c>
      <c r="K3" s="183" t="s">
        <v>23</v>
      </c>
      <c r="L3" s="189" t="s">
        <v>179</v>
      </c>
      <c r="M3" s="189" t="s">
        <v>23</v>
      </c>
      <c r="N3" s="189" t="s">
        <v>179</v>
      </c>
      <c r="O3" s="183" t="s">
        <v>23</v>
      </c>
      <c r="P3" s="189" t="s">
        <v>179</v>
      </c>
      <c r="Q3" s="189" t="s">
        <v>23</v>
      </c>
      <c r="R3" s="189" t="s">
        <v>179</v>
      </c>
      <c r="S3" s="183" t="s">
        <v>23</v>
      </c>
      <c r="T3" s="185" t="s">
        <v>179</v>
      </c>
      <c r="U3" s="17" t="s">
        <v>23</v>
      </c>
      <c r="V3" s="189" t="s">
        <v>179</v>
      </c>
      <c r="W3" s="183" t="s">
        <v>23</v>
      </c>
      <c r="X3" s="18" t="s">
        <v>179</v>
      </c>
      <c r="Y3" s="17" t="s">
        <v>23</v>
      </c>
      <c r="Z3" s="189" t="s">
        <v>179</v>
      </c>
      <c r="AA3" s="183" t="s">
        <v>23</v>
      </c>
      <c r="AB3" s="18" t="s">
        <v>179</v>
      </c>
      <c r="AC3" s="308"/>
    </row>
    <row r="4" spans="1:29" ht="19.5" customHeight="1" thickBot="1" x14ac:dyDescent="0.3">
      <c r="A4" s="332" t="s">
        <v>42</v>
      </c>
      <c r="B4" s="333"/>
      <c r="C4" s="333"/>
      <c r="D4" s="333"/>
      <c r="E4" s="333"/>
      <c r="F4" s="23">
        <f>+F5+F11</f>
        <v>1420000</v>
      </c>
      <c r="G4" s="143">
        <f>+G5+G11</f>
        <v>420000</v>
      </c>
      <c r="H4" s="127">
        <f>G4+F4</f>
        <v>1840000</v>
      </c>
      <c r="I4" s="190">
        <f t="shared" ref="I4:AC4" si="0">+I5+I11</f>
        <v>4000</v>
      </c>
      <c r="J4" s="191">
        <f t="shared" si="0"/>
        <v>880</v>
      </c>
      <c r="K4" s="190">
        <f t="shared" si="0"/>
        <v>372000</v>
      </c>
      <c r="L4" s="191">
        <f t="shared" si="0"/>
        <v>167920</v>
      </c>
      <c r="M4" s="190">
        <f t="shared" si="0"/>
        <v>114000</v>
      </c>
      <c r="N4" s="191">
        <f t="shared" si="0"/>
        <v>46600</v>
      </c>
      <c r="O4" s="190">
        <f t="shared" si="0"/>
        <v>70000</v>
      </c>
      <c r="P4" s="191">
        <f t="shared" si="0"/>
        <v>15400</v>
      </c>
      <c r="Q4" s="190">
        <f t="shared" si="0"/>
        <v>50000</v>
      </c>
      <c r="R4" s="191">
        <f t="shared" si="0"/>
        <v>11000</v>
      </c>
      <c r="S4" s="190">
        <f t="shared" si="0"/>
        <v>98000</v>
      </c>
      <c r="T4" s="191">
        <f t="shared" si="0"/>
        <v>21560</v>
      </c>
      <c r="U4" s="190">
        <f t="shared" si="0"/>
        <v>168000</v>
      </c>
      <c r="V4" s="191">
        <f t="shared" si="0"/>
        <v>36960</v>
      </c>
      <c r="W4" s="190">
        <f t="shared" si="0"/>
        <v>164000</v>
      </c>
      <c r="X4" s="228">
        <f t="shared" si="0"/>
        <v>36080</v>
      </c>
      <c r="Y4" s="190">
        <f t="shared" si="0"/>
        <v>200000</v>
      </c>
      <c r="Z4" s="191">
        <f t="shared" si="0"/>
        <v>44000</v>
      </c>
      <c r="AA4" s="190">
        <f t="shared" si="0"/>
        <v>180000</v>
      </c>
      <c r="AB4" s="228">
        <f t="shared" si="0"/>
        <v>39600</v>
      </c>
      <c r="AC4" s="222">
        <f t="shared" si="0"/>
        <v>1840000</v>
      </c>
    </row>
    <row r="5" spans="1:29" s="27" customFormat="1" ht="22.5" customHeight="1" x14ac:dyDescent="0.25">
      <c r="A5" s="327" t="s">
        <v>174</v>
      </c>
      <c r="B5" s="328"/>
      <c r="C5" s="328"/>
      <c r="D5" s="328"/>
      <c r="E5" s="213"/>
      <c r="F5" s="216">
        <f>+F6+F9</f>
        <v>620000</v>
      </c>
      <c r="G5" s="192">
        <f>+G6+G9</f>
        <v>136400</v>
      </c>
      <c r="H5" s="193">
        <f t="shared" ref="H5:H11" si="1">+G5+F5</f>
        <v>756400</v>
      </c>
      <c r="I5" s="216">
        <f t="shared" ref="I5:AB5" si="2">+I6+I9</f>
        <v>4000</v>
      </c>
      <c r="J5" s="192">
        <f t="shared" si="2"/>
        <v>880</v>
      </c>
      <c r="K5" s="216">
        <f t="shared" si="2"/>
        <v>10000</v>
      </c>
      <c r="L5" s="192">
        <f t="shared" si="2"/>
        <v>2200</v>
      </c>
      <c r="M5" s="216">
        <f t="shared" si="2"/>
        <v>6000</v>
      </c>
      <c r="N5" s="192">
        <f t="shared" si="2"/>
        <v>1320</v>
      </c>
      <c r="O5" s="216">
        <f t="shared" si="2"/>
        <v>0</v>
      </c>
      <c r="P5" s="192">
        <f t="shared" si="2"/>
        <v>0</v>
      </c>
      <c r="Q5" s="216">
        <f t="shared" si="2"/>
        <v>30000</v>
      </c>
      <c r="R5" s="192">
        <f t="shared" si="2"/>
        <v>6600</v>
      </c>
      <c r="S5" s="216">
        <f t="shared" si="2"/>
        <v>90000</v>
      </c>
      <c r="T5" s="192">
        <f t="shared" si="2"/>
        <v>19800</v>
      </c>
      <c r="U5" s="216">
        <f t="shared" si="2"/>
        <v>90000</v>
      </c>
      <c r="V5" s="192">
        <f t="shared" si="2"/>
        <v>19800</v>
      </c>
      <c r="W5" s="216">
        <f t="shared" si="2"/>
        <v>120000</v>
      </c>
      <c r="X5" s="192">
        <f t="shared" si="2"/>
        <v>26400</v>
      </c>
      <c r="Y5" s="216">
        <f t="shared" si="2"/>
        <v>90000</v>
      </c>
      <c r="Z5" s="192">
        <f t="shared" si="2"/>
        <v>19800</v>
      </c>
      <c r="AA5" s="216">
        <f t="shared" si="2"/>
        <v>180000</v>
      </c>
      <c r="AB5" s="192">
        <f t="shared" si="2"/>
        <v>39600</v>
      </c>
      <c r="AC5" s="223">
        <f t="shared" ref="AC5:AC10" si="3">SUM(I5:AB5)</f>
        <v>756400</v>
      </c>
    </row>
    <row r="6" spans="1:29" s="87" customFormat="1" ht="22.5" customHeight="1" x14ac:dyDescent="0.25">
      <c r="A6" s="150" t="s">
        <v>211</v>
      </c>
      <c r="B6" s="138"/>
      <c r="C6" s="203"/>
      <c r="D6" s="140"/>
      <c r="E6" s="25">
        <f>+E7+E8</f>
        <v>320000</v>
      </c>
      <c r="F6" s="145">
        <f>+F7+F8</f>
        <v>320000</v>
      </c>
      <c r="G6" s="35">
        <f>+G7+G8</f>
        <v>70400</v>
      </c>
      <c r="H6" s="180">
        <f t="shared" si="1"/>
        <v>390400</v>
      </c>
      <c r="I6" s="145">
        <f t="shared" ref="I6:AB6" si="4">+I7+I8</f>
        <v>4000</v>
      </c>
      <c r="J6" s="141">
        <f t="shared" si="4"/>
        <v>880</v>
      </c>
      <c r="K6" s="145">
        <f t="shared" si="4"/>
        <v>10000</v>
      </c>
      <c r="L6" s="141">
        <f t="shared" si="4"/>
        <v>2200</v>
      </c>
      <c r="M6" s="204">
        <f t="shared" si="4"/>
        <v>6000</v>
      </c>
      <c r="N6" s="205">
        <f t="shared" si="4"/>
        <v>1320</v>
      </c>
      <c r="O6" s="206">
        <f t="shared" si="4"/>
        <v>0</v>
      </c>
      <c r="P6" s="207">
        <f t="shared" si="4"/>
        <v>0</v>
      </c>
      <c r="Q6" s="204">
        <f t="shared" si="4"/>
        <v>0</v>
      </c>
      <c r="R6" s="205">
        <f t="shared" si="4"/>
        <v>0</v>
      </c>
      <c r="S6" s="206">
        <f t="shared" si="4"/>
        <v>30000</v>
      </c>
      <c r="T6" s="208">
        <f t="shared" si="4"/>
        <v>6600</v>
      </c>
      <c r="U6" s="204">
        <f t="shared" si="4"/>
        <v>30000</v>
      </c>
      <c r="V6" s="205">
        <f t="shared" si="4"/>
        <v>6600</v>
      </c>
      <c r="W6" s="206">
        <f t="shared" si="4"/>
        <v>90000</v>
      </c>
      <c r="X6" s="207">
        <f t="shared" si="4"/>
        <v>19800</v>
      </c>
      <c r="Y6" s="204">
        <f t="shared" si="4"/>
        <v>60000</v>
      </c>
      <c r="Z6" s="205">
        <f t="shared" si="4"/>
        <v>13200</v>
      </c>
      <c r="AA6" s="206">
        <f t="shared" si="4"/>
        <v>90000</v>
      </c>
      <c r="AB6" s="207">
        <f t="shared" si="4"/>
        <v>19800</v>
      </c>
      <c r="AC6" s="225">
        <f t="shared" si="3"/>
        <v>390400</v>
      </c>
    </row>
    <row r="7" spans="1:29" s="116" customFormat="1" ht="45" customHeight="1" x14ac:dyDescent="0.2">
      <c r="A7" s="274" t="s">
        <v>172</v>
      </c>
      <c r="B7" s="148" t="s">
        <v>26</v>
      </c>
      <c r="C7" s="122">
        <v>20000</v>
      </c>
      <c r="D7" s="122">
        <v>1</v>
      </c>
      <c r="E7" s="123">
        <f>+D7*C7</f>
        <v>20000</v>
      </c>
      <c r="F7" s="199">
        <f>+E7</f>
        <v>20000</v>
      </c>
      <c r="G7" s="197">
        <f>+F7*0.22</f>
        <v>4400</v>
      </c>
      <c r="H7" s="198">
        <f t="shared" si="1"/>
        <v>24400</v>
      </c>
      <c r="I7" s="199">
        <f>+F7*0.2</f>
        <v>4000</v>
      </c>
      <c r="J7" s="200">
        <f>+G7*0.2</f>
        <v>880</v>
      </c>
      <c r="K7" s="199">
        <f>+F7*0.5</f>
        <v>10000</v>
      </c>
      <c r="L7" s="197">
        <f>+G7*0.5</f>
        <v>2200</v>
      </c>
      <c r="M7" s="199">
        <f>+F7*0.3</f>
        <v>6000</v>
      </c>
      <c r="N7" s="200">
        <f>+G7*0.3</f>
        <v>1320</v>
      </c>
      <c r="O7" s="199">
        <v>0</v>
      </c>
      <c r="P7" s="197">
        <v>0</v>
      </c>
      <c r="Q7" s="199">
        <v>0</v>
      </c>
      <c r="R7" s="200">
        <v>0</v>
      </c>
      <c r="S7" s="199">
        <v>0</v>
      </c>
      <c r="T7" s="200">
        <v>0</v>
      </c>
      <c r="U7" s="199">
        <v>0</v>
      </c>
      <c r="V7" s="200">
        <v>0</v>
      </c>
      <c r="W7" s="199">
        <v>0</v>
      </c>
      <c r="X7" s="197">
        <v>0</v>
      </c>
      <c r="Y7" s="199">
        <v>0</v>
      </c>
      <c r="Z7" s="200">
        <v>0</v>
      </c>
      <c r="AA7" s="199">
        <v>0</v>
      </c>
      <c r="AB7" s="197">
        <v>0</v>
      </c>
      <c r="AC7" s="224">
        <f t="shared" si="3"/>
        <v>24400</v>
      </c>
    </row>
    <row r="8" spans="1:29" s="116" customFormat="1" ht="25.5" customHeight="1" x14ac:dyDescent="0.2">
      <c r="A8" s="274" t="s">
        <v>173</v>
      </c>
      <c r="B8" s="148" t="s">
        <v>26</v>
      </c>
      <c r="C8" s="122">
        <v>300000</v>
      </c>
      <c r="D8" s="122">
        <v>1</v>
      </c>
      <c r="E8" s="123">
        <f>+D8*C8</f>
        <v>300000</v>
      </c>
      <c r="F8" s="199">
        <f>+E8</f>
        <v>300000</v>
      </c>
      <c r="G8" s="197">
        <f>+F8*0.22</f>
        <v>66000</v>
      </c>
      <c r="H8" s="198">
        <f t="shared" si="1"/>
        <v>366000</v>
      </c>
      <c r="I8" s="199">
        <v>0</v>
      </c>
      <c r="J8" s="200">
        <v>0</v>
      </c>
      <c r="K8" s="199">
        <v>0</v>
      </c>
      <c r="L8" s="197">
        <v>0</v>
      </c>
      <c r="M8" s="199">
        <v>0</v>
      </c>
      <c r="N8" s="200">
        <v>0</v>
      </c>
      <c r="O8" s="199">
        <v>0</v>
      </c>
      <c r="P8" s="197">
        <v>0</v>
      </c>
      <c r="Q8" s="199">
        <v>0</v>
      </c>
      <c r="R8" s="200">
        <v>0</v>
      </c>
      <c r="S8" s="199">
        <f>+F8*0.1</f>
        <v>30000</v>
      </c>
      <c r="T8" s="200">
        <f>+G8*0.1</f>
        <v>6600</v>
      </c>
      <c r="U8" s="199">
        <f>+F8*0.1</f>
        <v>30000</v>
      </c>
      <c r="V8" s="200">
        <f>+G8*0.1</f>
        <v>6600</v>
      </c>
      <c r="W8" s="199">
        <f>+F8*0.3</f>
        <v>90000</v>
      </c>
      <c r="X8" s="197">
        <f>+G8*0.3</f>
        <v>19800</v>
      </c>
      <c r="Y8" s="199">
        <f>+F8*0.2</f>
        <v>60000</v>
      </c>
      <c r="Z8" s="200">
        <f>+G8*0.2</f>
        <v>13200</v>
      </c>
      <c r="AA8" s="199">
        <f>+F8*0.3</f>
        <v>90000</v>
      </c>
      <c r="AB8" s="197">
        <f>+G8*0.3</f>
        <v>19800</v>
      </c>
      <c r="AC8" s="224">
        <f t="shared" si="3"/>
        <v>366000</v>
      </c>
    </row>
    <row r="9" spans="1:29" s="87" customFormat="1" ht="22.5" customHeight="1" x14ac:dyDescent="0.25">
      <c r="A9" s="150" t="s">
        <v>170</v>
      </c>
      <c r="B9" s="138"/>
      <c r="C9" s="203"/>
      <c r="D9" s="140"/>
      <c r="E9" s="25">
        <f>+E10</f>
        <v>300000</v>
      </c>
      <c r="F9" s="145">
        <f t="shared" ref="F9:G9" si="5">+F10</f>
        <v>300000</v>
      </c>
      <c r="G9" s="35">
        <f t="shared" si="5"/>
        <v>66000</v>
      </c>
      <c r="H9" s="180">
        <f t="shared" si="1"/>
        <v>366000</v>
      </c>
      <c r="I9" s="206">
        <f t="shared" ref="I9:Z9" si="6">+I10</f>
        <v>0</v>
      </c>
      <c r="J9" s="207">
        <f t="shared" si="6"/>
        <v>0</v>
      </c>
      <c r="K9" s="206">
        <f t="shared" si="6"/>
        <v>0</v>
      </c>
      <c r="L9" s="207">
        <f t="shared" si="6"/>
        <v>0</v>
      </c>
      <c r="M9" s="206">
        <f t="shared" si="6"/>
        <v>0</v>
      </c>
      <c r="N9" s="207">
        <f t="shared" si="6"/>
        <v>0</v>
      </c>
      <c r="O9" s="206">
        <f t="shared" si="6"/>
        <v>0</v>
      </c>
      <c r="P9" s="207">
        <f t="shared" si="6"/>
        <v>0</v>
      </c>
      <c r="Q9" s="206">
        <f t="shared" si="6"/>
        <v>30000</v>
      </c>
      <c r="R9" s="207">
        <f t="shared" si="6"/>
        <v>6600</v>
      </c>
      <c r="S9" s="206">
        <f t="shared" si="6"/>
        <v>60000</v>
      </c>
      <c r="T9" s="207">
        <f t="shared" si="6"/>
        <v>13200</v>
      </c>
      <c r="U9" s="206">
        <f t="shared" si="6"/>
        <v>60000</v>
      </c>
      <c r="V9" s="207">
        <f t="shared" si="6"/>
        <v>13200</v>
      </c>
      <c r="W9" s="206">
        <f t="shared" si="6"/>
        <v>30000</v>
      </c>
      <c r="X9" s="207">
        <f t="shared" si="6"/>
        <v>6600</v>
      </c>
      <c r="Y9" s="206">
        <f t="shared" si="6"/>
        <v>30000</v>
      </c>
      <c r="Z9" s="207">
        <f t="shared" si="6"/>
        <v>6600</v>
      </c>
      <c r="AA9" s="206">
        <f>+AA10</f>
        <v>90000</v>
      </c>
      <c r="AB9" s="207">
        <f>+AB10</f>
        <v>19800</v>
      </c>
      <c r="AC9" s="225">
        <f t="shared" si="3"/>
        <v>366000</v>
      </c>
    </row>
    <row r="10" spans="1:29" s="116" customFormat="1" ht="11.25" x14ac:dyDescent="0.2">
      <c r="A10" s="274" t="s">
        <v>214</v>
      </c>
      <c r="B10" s="148" t="s">
        <v>26</v>
      </c>
      <c r="C10" s="122">
        <v>300000</v>
      </c>
      <c r="D10" s="122">
        <v>1</v>
      </c>
      <c r="E10" s="123">
        <f>+D10*C10</f>
        <v>300000</v>
      </c>
      <c r="F10" s="199">
        <f>+E10</f>
        <v>300000</v>
      </c>
      <c r="G10" s="197">
        <f>+F10*0.22</f>
        <v>66000</v>
      </c>
      <c r="H10" s="198">
        <f t="shared" ref="H10" si="7">+G10+F10</f>
        <v>366000</v>
      </c>
      <c r="I10" s="199">
        <v>0</v>
      </c>
      <c r="J10" s="200">
        <v>0</v>
      </c>
      <c r="K10" s="199">
        <v>0</v>
      </c>
      <c r="L10" s="197">
        <v>0</v>
      </c>
      <c r="M10" s="199">
        <v>0</v>
      </c>
      <c r="N10" s="200">
        <v>0</v>
      </c>
      <c r="O10" s="199">
        <v>0</v>
      </c>
      <c r="P10" s="197">
        <v>0</v>
      </c>
      <c r="Q10" s="199">
        <f>+F10*0.1</f>
        <v>30000</v>
      </c>
      <c r="R10" s="197">
        <f>+G10*0.1</f>
        <v>6600</v>
      </c>
      <c r="S10" s="199">
        <f>+F10*0.2</f>
        <v>60000</v>
      </c>
      <c r="T10" s="197">
        <f>+G10*0.2</f>
        <v>13200</v>
      </c>
      <c r="U10" s="199">
        <f>+F10*0.2</f>
        <v>60000</v>
      </c>
      <c r="V10" s="197">
        <f>+G10*0.2</f>
        <v>13200</v>
      </c>
      <c r="W10" s="199">
        <f>+F10*0.1</f>
        <v>30000</v>
      </c>
      <c r="X10" s="197">
        <f>+G10*0.1</f>
        <v>6600</v>
      </c>
      <c r="Y10" s="199">
        <f>+F10*0.1</f>
        <v>30000</v>
      </c>
      <c r="Z10" s="197">
        <f>+G10*0.1</f>
        <v>6600</v>
      </c>
      <c r="AA10" s="199">
        <f>+F10*0.3</f>
        <v>90000</v>
      </c>
      <c r="AB10" s="197">
        <f>+G10*0.3</f>
        <v>19800</v>
      </c>
      <c r="AC10" s="224">
        <f t="shared" si="3"/>
        <v>366000</v>
      </c>
    </row>
    <row r="11" spans="1:29" ht="22.5" customHeight="1" x14ac:dyDescent="0.25">
      <c r="A11" s="287" t="s">
        <v>47</v>
      </c>
      <c r="B11" s="288"/>
      <c r="C11" s="288"/>
      <c r="D11" s="288"/>
      <c r="E11" s="214">
        <f>+E12+E19</f>
        <v>800000</v>
      </c>
      <c r="F11" s="217">
        <f>+F12+F19</f>
        <v>800000</v>
      </c>
      <c r="G11" s="201">
        <f>+G12+G19</f>
        <v>283600</v>
      </c>
      <c r="H11" s="202">
        <f t="shared" si="1"/>
        <v>1083600</v>
      </c>
      <c r="I11" s="194">
        <f t="shared" ref="I11:AC11" si="8">+I12+I19</f>
        <v>0</v>
      </c>
      <c r="J11" s="195">
        <f t="shared" si="8"/>
        <v>0</v>
      </c>
      <c r="K11" s="194">
        <f t="shared" si="8"/>
        <v>362000</v>
      </c>
      <c r="L11" s="195">
        <f t="shared" si="8"/>
        <v>165720</v>
      </c>
      <c r="M11" s="194">
        <f t="shared" si="8"/>
        <v>108000</v>
      </c>
      <c r="N11" s="195">
        <f t="shared" si="8"/>
        <v>45280</v>
      </c>
      <c r="O11" s="194">
        <f t="shared" si="8"/>
        <v>70000</v>
      </c>
      <c r="P11" s="195">
        <f t="shared" si="8"/>
        <v>15400</v>
      </c>
      <c r="Q11" s="194">
        <f t="shared" si="8"/>
        <v>20000</v>
      </c>
      <c r="R11" s="195">
        <f t="shared" si="8"/>
        <v>4400</v>
      </c>
      <c r="S11" s="194">
        <f t="shared" si="8"/>
        <v>8000</v>
      </c>
      <c r="T11" s="195">
        <f t="shared" si="8"/>
        <v>1760</v>
      </c>
      <c r="U11" s="194">
        <f t="shared" si="8"/>
        <v>78000</v>
      </c>
      <c r="V11" s="195">
        <f t="shared" si="8"/>
        <v>17160</v>
      </c>
      <c r="W11" s="194">
        <f t="shared" si="8"/>
        <v>44000</v>
      </c>
      <c r="X11" s="229">
        <f t="shared" si="8"/>
        <v>9680</v>
      </c>
      <c r="Y11" s="194">
        <f t="shared" si="8"/>
        <v>110000</v>
      </c>
      <c r="Z11" s="195">
        <f t="shared" si="8"/>
        <v>24200</v>
      </c>
      <c r="AA11" s="194">
        <f t="shared" si="8"/>
        <v>0</v>
      </c>
      <c r="AB11" s="229">
        <f t="shared" si="8"/>
        <v>0</v>
      </c>
      <c r="AC11" s="223">
        <f t="shared" si="8"/>
        <v>1083600</v>
      </c>
    </row>
    <row r="12" spans="1:29" s="27" customFormat="1" ht="22.5" x14ac:dyDescent="0.25">
      <c r="A12" s="31" t="s">
        <v>212</v>
      </c>
      <c r="B12" s="39"/>
      <c r="C12" s="32"/>
      <c r="D12" s="32"/>
      <c r="E12" s="141">
        <f>SUM(E13:E18)</f>
        <v>400000</v>
      </c>
      <c r="F12" s="36">
        <f t="shared" ref="F12:G12" si="9">SUM(F13:F18)</f>
        <v>400000</v>
      </c>
      <c r="G12" s="146">
        <f t="shared" si="9"/>
        <v>88000</v>
      </c>
      <c r="H12" s="180">
        <f t="shared" ref="H12" si="10">+G12+F12</f>
        <v>488000</v>
      </c>
      <c r="I12" s="36">
        <f t="shared" ref="I12" si="11">SUM(I13:I18)</f>
        <v>0</v>
      </c>
      <c r="J12" s="146">
        <f t="shared" ref="J12" si="12">SUM(J13:J18)</f>
        <v>0</v>
      </c>
      <c r="K12" s="36">
        <f t="shared" ref="K12" si="13">SUM(K13:K18)</f>
        <v>42000</v>
      </c>
      <c r="L12" s="146">
        <f t="shared" ref="L12" si="14">SUM(L13:L18)</f>
        <v>9240</v>
      </c>
      <c r="M12" s="36">
        <f t="shared" ref="M12" si="15">SUM(M13:M18)</f>
        <v>28000</v>
      </c>
      <c r="N12" s="146">
        <f t="shared" ref="N12" si="16">SUM(N13:N18)</f>
        <v>6160</v>
      </c>
      <c r="O12" s="36">
        <f t="shared" ref="O12" si="17">SUM(O13:O18)</f>
        <v>70000</v>
      </c>
      <c r="P12" s="146">
        <f t="shared" ref="P12" si="18">SUM(P13:P18)</f>
        <v>15400</v>
      </c>
      <c r="Q12" s="36">
        <f t="shared" ref="Q12" si="19">SUM(Q13:Q18)</f>
        <v>20000</v>
      </c>
      <c r="R12" s="146">
        <f t="shared" ref="R12" si="20">SUM(R13:R18)</f>
        <v>4400</v>
      </c>
      <c r="S12" s="36">
        <f t="shared" ref="S12" si="21">SUM(S13:S18)</f>
        <v>8000</v>
      </c>
      <c r="T12" s="146">
        <f t="shared" ref="T12" si="22">SUM(T13:T18)</f>
        <v>1760</v>
      </c>
      <c r="U12" s="36">
        <f t="shared" ref="U12" si="23">SUM(U13:U18)</f>
        <v>78000</v>
      </c>
      <c r="V12" s="146">
        <f t="shared" ref="V12" si="24">SUM(V13:V18)</f>
        <v>17160</v>
      </c>
      <c r="W12" s="36">
        <f t="shared" ref="W12" si="25">SUM(W13:W18)</f>
        <v>44000</v>
      </c>
      <c r="X12" s="146">
        <f t="shared" ref="X12" si="26">SUM(X13:X18)</f>
        <v>9680</v>
      </c>
      <c r="Y12" s="36">
        <f t="shared" ref="Y12" si="27">SUM(Y13:Y18)</f>
        <v>110000</v>
      </c>
      <c r="Z12" s="146">
        <f t="shared" ref="Z12" si="28">SUM(Z13:Z18)</f>
        <v>24200</v>
      </c>
      <c r="AA12" s="36">
        <f t="shared" ref="AA12" si="29">SUM(AA13:AA18)</f>
        <v>0</v>
      </c>
      <c r="AB12" s="146">
        <f t="shared" ref="AB12" si="30">SUM(AB13:AB18)</f>
        <v>0</v>
      </c>
      <c r="AC12" s="225">
        <f t="shared" ref="AC12:AC19" si="31">SUM(I12:AB12)</f>
        <v>488000</v>
      </c>
    </row>
    <row r="13" spans="1:29" s="116" customFormat="1" ht="22.5" customHeight="1" x14ac:dyDescent="0.2">
      <c r="A13" s="274" t="s">
        <v>184</v>
      </c>
      <c r="B13" s="148" t="s">
        <v>26</v>
      </c>
      <c r="C13" s="122">
        <v>60000</v>
      </c>
      <c r="D13" s="122">
        <v>1</v>
      </c>
      <c r="E13" s="123">
        <f t="shared" ref="E13:E19" si="32">+D13*C13</f>
        <v>60000</v>
      </c>
      <c r="F13" s="199">
        <f t="shared" ref="F13:F18" si="33">+E13</f>
        <v>60000</v>
      </c>
      <c r="G13" s="197">
        <f t="shared" ref="G13:G18" si="34">+F13*0.22</f>
        <v>13200</v>
      </c>
      <c r="H13" s="198">
        <f t="shared" ref="H13:H19" si="35">+G13+F13</f>
        <v>73200</v>
      </c>
      <c r="I13" s="199">
        <v>0</v>
      </c>
      <c r="J13" s="200">
        <v>0</v>
      </c>
      <c r="K13" s="199">
        <f>+F13*0.3</f>
        <v>18000</v>
      </c>
      <c r="L13" s="197">
        <f>+G13*0.3</f>
        <v>3960</v>
      </c>
      <c r="M13" s="199">
        <f>+F13*0.2</f>
        <v>12000</v>
      </c>
      <c r="N13" s="200">
        <f>+G13*0.2</f>
        <v>2640</v>
      </c>
      <c r="O13" s="199">
        <f>+F13*0.5</f>
        <v>30000</v>
      </c>
      <c r="P13" s="197">
        <f>+G13*0.5</f>
        <v>6600</v>
      </c>
      <c r="Q13" s="199">
        <v>0</v>
      </c>
      <c r="R13" s="200">
        <v>0</v>
      </c>
      <c r="S13" s="199">
        <v>0</v>
      </c>
      <c r="T13" s="200">
        <v>0</v>
      </c>
      <c r="U13" s="199">
        <v>0</v>
      </c>
      <c r="V13" s="200">
        <v>0</v>
      </c>
      <c r="W13" s="199">
        <v>0</v>
      </c>
      <c r="X13" s="197">
        <v>0</v>
      </c>
      <c r="Y13" s="199">
        <v>0</v>
      </c>
      <c r="Z13" s="200">
        <v>0</v>
      </c>
      <c r="AA13" s="199">
        <v>0</v>
      </c>
      <c r="AB13" s="197">
        <v>0</v>
      </c>
      <c r="AC13" s="224">
        <f t="shared" si="31"/>
        <v>73200</v>
      </c>
    </row>
    <row r="14" spans="1:29" s="116" customFormat="1" ht="11.25" customHeight="1" x14ac:dyDescent="0.2">
      <c r="A14" s="274" t="s">
        <v>213</v>
      </c>
      <c r="B14" s="148" t="s">
        <v>26</v>
      </c>
      <c r="C14" s="122">
        <v>40000</v>
      </c>
      <c r="D14" s="122">
        <v>1</v>
      </c>
      <c r="E14" s="123">
        <f t="shared" si="32"/>
        <v>40000</v>
      </c>
      <c r="F14" s="199">
        <f t="shared" si="33"/>
        <v>40000</v>
      </c>
      <c r="G14" s="197">
        <f t="shared" si="34"/>
        <v>8800</v>
      </c>
      <c r="H14" s="198">
        <f t="shared" si="35"/>
        <v>48800</v>
      </c>
      <c r="I14" s="199">
        <v>0</v>
      </c>
      <c r="J14" s="200">
        <v>0</v>
      </c>
      <c r="K14" s="199">
        <f>+F14*0.3</f>
        <v>12000</v>
      </c>
      <c r="L14" s="197">
        <f>+G14*0.3</f>
        <v>2640</v>
      </c>
      <c r="M14" s="199">
        <f>+F14*0.2</f>
        <v>8000</v>
      </c>
      <c r="N14" s="200">
        <f>+G14*0.2</f>
        <v>1760</v>
      </c>
      <c r="O14" s="199">
        <f>+F14*0.5</f>
        <v>20000</v>
      </c>
      <c r="P14" s="197">
        <f>+G14*0.5</f>
        <v>4400</v>
      </c>
      <c r="Q14" s="199">
        <v>0</v>
      </c>
      <c r="R14" s="200">
        <v>0</v>
      </c>
      <c r="S14" s="199">
        <v>0</v>
      </c>
      <c r="T14" s="200">
        <v>0</v>
      </c>
      <c r="U14" s="199">
        <v>0</v>
      </c>
      <c r="V14" s="200">
        <v>0</v>
      </c>
      <c r="W14" s="199">
        <v>0</v>
      </c>
      <c r="X14" s="197">
        <v>0</v>
      </c>
      <c r="Y14" s="199">
        <v>0</v>
      </c>
      <c r="Z14" s="200">
        <v>0</v>
      </c>
      <c r="AA14" s="199">
        <v>0</v>
      </c>
      <c r="AB14" s="197">
        <v>0</v>
      </c>
      <c r="AC14" s="224">
        <f t="shared" si="31"/>
        <v>48800</v>
      </c>
    </row>
    <row r="15" spans="1:29" s="116" customFormat="1" ht="11.25" x14ac:dyDescent="0.2">
      <c r="A15" s="274" t="s">
        <v>183</v>
      </c>
      <c r="B15" s="148" t="s">
        <v>26</v>
      </c>
      <c r="C15" s="122">
        <v>170000</v>
      </c>
      <c r="D15" s="122">
        <v>1</v>
      </c>
      <c r="E15" s="123">
        <f t="shared" si="32"/>
        <v>170000</v>
      </c>
      <c r="F15" s="199">
        <f t="shared" si="33"/>
        <v>170000</v>
      </c>
      <c r="G15" s="197">
        <f t="shared" si="34"/>
        <v>37400</v>
      </c>
      <c r="H15" s="198">
        <f t="shared" si="35"/>
        <v>207400</v>
      </c>
      <c r="I15" s="199">
        <v>0</v>
      </c>
      <c r="J15" s="200">
        <v>0</v>
      </c>
      <c r="K15" s="199">
        <v>0</v>
      </c>
      <c r="L15" s="197">
        <v>0</v>
      </c>
      <c r="M15" s="199">
        <v>0</v>
      </c>
      <c r="N15" s="200">
        <v>0</v>
      </c>
      <c r="O15" s="199">
        <v>0</v>
      </c>
      <c r="P15" s="197">
        <v>0</v>
      </c>
      <c r="Q15" s="199">
        <v>0</v>
      </c>
      <c r="R15" s="200">
        <v>0</v>
      </c>
      <c r="S15" s="199">
        <v>0</v>
      </c>
      <c r="T15" s="200">
        <v>0</v>
      </c>
      <c r="U15" s="199">
        <f t="shared" ref="U15:V17" si="36">+F15*0.3</f>
        <v>51000</v>
      </c>
      <c r="V15" s="200">
        <f t="shared" si="36"/>
        <v>11220</v>
      </c>
      <c r="W15" s="199">
        <f>+F15*0.2</f>
        <v>34000</v>
      </c>
      <c r="X15" s="197">
        <f>+G15*0.2</f>
        <v>7480</v>
      </c>
      <c r="Y15" s="199">
        <f>+F15*0.5</f>
        <v>85000</v>
      </c>
      <c r="Z15" s="200">
        <f>+G15*0.5</f>
        <v>18700</v>
      </c>
      <c r="AA15" s="199">
        <v>0</v>
      </c>
      <c r="AB15" s="197">
        <v>0</v>
      </c>
      <c r="AC15" s="224">
        <f t="shared" si="31"/>
        <v>207400</v>
      </c>
    </row>
    <row r="16" spans="1:29" s="116" customFormat="1" ht="11.25" x14ac:dyDescent="0.2">
      <c r="A16" s="274" t="s">
        <v>182</v>
      </c>
      <c r="B16" s="148" t="s">
        <v>26</v>
      </c>
      <c r="C16" s="122">
        <v>50000</v>
      </c>
      <c r="D16" s="122">
        <v>1</v>
      </c>
      <c r="E16" s="123">
        <f t="shared" si="32"/>
        <v>50000</v>
      </c>
      <c r="F16" s="199">
        <f t="shared" si="33"/>
        <v>50000</v>
      </c>
      <c r="G16" s="197">
        <f t="shared" si="34"/>
        <v>11000</v>
      </c>
      <c r="H16" s="198">
        <f t="shared" si="35"/>
        <v>61000</v>
      </c>
      <c r="I16" s="199">
        <v>0</v>
      </c>
      <c r="J16" s="200">
        <v>0</v>
      </c>
      <c r="K16" s="199">
        <v>0</v>
      </c>
      <c r="L16" s="197">
        <v>0</v>
      </c>
      <c r="M16" s="199">
        <v>0</v>
      </c>
      <c r="N16" s="200">
        <v>0</v>
      </c>
      <c r="O16" s="199">
        <v>0</v>
      </c>
      <c r="P16" s="197">
        <v>0</v>
      </c>
      <c r="Q16" s="199">
        <v>0</v>
      </c>
      <c r="R16" s="200">
        <v>0</v>
      </c>
      <c r="S16" s="199">
        <v>0</v>
      </c>
      <c r="T16" s="200">
        <v>0</v>
      </c>
      <c r="U16" s="199">
        <f t="shared" si="36"/>
        <v>15000</v>
      </c>
      <c r="V16" s="200">
        <f t="shared" si="36"/>
        <v>3300</v>
      </c>
      <c r="W16" s="199">
        <f>+F16*0.2</f>
        <v>10000</v>
      </c>
      <c r="X16" s="197">
        <f>+G16*0.2</f>
        <v>2200</v>
      </c>
      <c r="Y16" s="199">
        <f>+F16*0.5</f>
        <v>25000</v>
      </c>
      <c r="Z16" s="200">
        <f>+G16*0.5</f>
        <v>5500</v>
      </c>
      <c r="AA16" s="199">
        <v>0</v>
      </c>
      <c r="AB16" s="197">
        <v>0</v>
      </c>
      <c r="AC16" s="224">
        <f t="shared" si="31"/>
        <v>61000</v>
      </c>
    </row>
    <row r="17" spans="1:29" s="116" customFormat="1" ht="23.25" customHeight="1" x14ac:dyDescent="0.2">
      <c r="A17" s="274" t="s">
        <v>185</v>
      </c>
      <c r="B17" s="148" t="s">
        <v>26</v>
      </c>
      <c r="C17" s="122">
        <v>40000</v>
      </c>
      <c r="D17" s="122">
        <v>1</v>
      </c>
      <c r="E17" s="123">
        <f t="shared" si="32"/>
        <v>40000</v>
      </c>
      <c r="F17" s="199">
        <f t="shared" si="33"/>
        <v>40000</v>
      </c>
      <c r="G17" s="197">
        <f t="shared" si="34"/>
        <v>8800</v>
      </c>
      <c r="H17" s="198">
        <f t="shared" si="35"/>
        <v>48800</v>
      </c>
      <c r="I17" s="199">
        <v>0</v>
      </c>
      <c r="J17" s="200">
        <v>0</v>
      </c>
      <c r="K17" s="199">
        <v>0</v>
      </c>
      <c r="L17" s="197">
        <v>0</v>
      </c>
      <c r="M17" s="199">
        <v>0</v>
      </c>
      <c r="N17" s="200">
        <v>0</v>
      </c>
      <c r="O17" s="199">
        <f>+F17*0.3</f>
        <v>12000</v>
      </c>
      <c r="P17" s="197">
        <f>+G17*0.3</f>
        <v>2640</v>
      </c>
      <c r="Q17" s="199">
        <f>+F17*0.2</f>
        <v>8000</v>
      </c>
      <c r="R17" s="200">
        <f>+G17*0.2</f>
        <v>1760</v>
      </c>
      <c r="S17" s="199">
        <f>+F17*0.2</f>
        <v>8000</v>
      </c>
      <c r="T17" s="200">
        <f>+G17*0.2</f>
        <v>1760</v>
      </c>
      <c r="U17" s="199">
        <f t="shared" si="36"/>
        <v>12000</v>
      </c>
      <c r="V17" s="200">
        <f t="shared" si="36"/>
        <v>2640</v>
      </c>
      <c r="W17" s="199">
        <v>0</v>
      </c>
      <c r="X17" s="197">
        <v>0</v>
      </c>
      <c r="Y17" s="199">
        <v>0</v>
      </c>
      <c r="Z17" s="200">
        <v>0</v>
      </c>
      <c r="AA17" s="199">
        <v>0</v>
      </c>
      <c r="AB17" s="197">
        <v>0</v>
      </c>
      <c r="AC17" s="224">
        <f t="shared" si="31"/>
        <v>48800</v>
      </c>
    </row>
    <row r="18" spans="1:29" s="116" customFormat="1" ht="22.5" x14ac:dyDescent="0.2">
      <c r="A18" s="274" t="s">
        <v>186</v>
      </c>
      <c r="B18" s="148" t="s">
        <v>26</v>
      </c>
      <c r="C18" s="122">
        <v>40000</v>
      </c>
      <c r="D18" s="122">
        <v>1</v>
      </c>
      <c r="E18" s="123">
        <f t="shared" si="32"/>
        <v>40000</v>
      </c>
      <c r="F18" s="199">
        <f t="shared" si="33"/>
        <v>40000</v>
      </c>
      <c r="G18" s="197">
        <f t="shared" si="34"/>
        <v>8800</v>
      </c>
      <c r="H18" s="198">
        <f t="shared" si="35"/>
        <v>48800</v>
      </c>
      <c r="I18" s="199">
        <v>0</v>
      </c>
      <c r="J18" s="200">
        <v>0</v>
      </c>
      <c r="K18" s="199">
        <f>+F18*0.3</f>
        <v>12000</v>
      </c>
      <c r="L18" s="197">
        <f>+G18*0.3</f>
        <v>2640</v>
      </c>
      <c r="M18" s="199">
        <f>+F18*0.2</f>
        <v>8000</v>
      </c>
      <c r="N18" s="200">
        <f>+G18*0.2</f>
        <v>1760</v>
      </c>
      <c r="O18" s="199">
        <f>+F18*0.2</f>
        <v>8000</v>
      </c>
      <c r="P18" s="197">
        <f>+G18*0.2</f>
        <v>1760</v>
      </c>
      <c r="Q18" s="199">
        <f>+F18*0.3</f>
        <v>12000</v>
      </c>
      <c r="R18" s="200">
        <f>+G18*0.3</f>
        <v>2640</v>
      </c>
      <c r="S18" s="199">
        <v>0</v>
      </c>
      <c r="T18" s="200">
        <v>0</v>
      </c>
      <c r="U18" s="199">
        <v>0</v>
      </c>
      <c r="V18" s="200">
        <v>0</v>
      </c>
      <c r="W18" s="199">
        <v>0</v>
      </c>
      <c r="X18" s="197">
        <v>0</v>
      </c>
      <c r="Y18" s="199">
        <v>0</v>
      </c>
      <c r="Z18" s="200">
        <v>0</v>
      </c>
      <c r="AA18" s="199">
        <v>0</v>
      </c>
      <c r="AB18" s="197">
        <v>0</v>
      </c>
      <c r="AC18" s="224">
        <f t="shared" si="31"/>
        <v>48800</v>
      </c>
    </row>
    <row r="19" spans="1:29" s="27" customFormat="1" ht="23.25" thickBot="1" x14ac:dyDescent="0.3">
      <c r="A19" s="151" t="s">
        <v>176</v>
      </c>
      <c r="B19" s="152" t="s">
        <v>44</v>
      </c>
      <c r="C19" s="153">
        <v>2500</v>
      </c>
      <c r="D19" s="153">
        <v>160</v>
      </c>
      <c r="E19" s="215">
        <f t="shared" si="32"/>
        <v>400000</v>
      </c>
      <c r="F19" s="218">
        <f t="shared" ref="F19" si="37">+E19</f>
        <v>400000</v>
      </c>
      <c r="G19" s="154">
        <v>195600</v>
      </c>
      <c r="H19" s="181">
        <f t="shared" si="35"/>
        <v>595600</v>
      </c>
      <c r="I19" s="218">
        <v>0</v>
      </c>
      <c r="J19" s="221">
        <v>0</v>
      </c>
      <c r="K19" s="218">
        <f>+F19*0.8</f>
        <v>320000</v>
      </c>
      <c r="L19" s="221">
        <f>+G19*0.8</f>
        <v>156480</v>
      </c>
      <c r="M19" s="218">
        <f>+F19*0.2</f>
        <v>80000</v>
      </c>
      <c r="N19" s="221">
        <f>+G19*0.2</f>
        <v>39120</v>
      </c>
      <c r="O19" s="218">
        <v>0</v>
      </c>
      <c r="P19" s="221">
        <v>0</v>
      </c>
      <c r="Q19" s="218">
        <v>0</v>
      </c>
      <c r="R19" s="221">
        <v>0</v>
      </c>
      <c r="S19" s="218">
        <v>0</v>
      </c>
      <c r="T19" s="221">
        <v>0</v>
      </c>
      <c r="U19" s="218">
        <v>0</v>
      </c>
      <c r="V19" s="221">
        <v>0</v>
      </c>
      <c r="W19" s="218">
        <v>0</v>
      </c>
      <c r="X19" s="154">
        <v>0</v>
      </c>
      <c r="Y19" s="218">
        <v>0</v>
      </c>
      <c r="Z19" s="221">
        <v>0</v>
      </c>
      <c r="AA19" s="218">
        <v>0</v>
      </c>
      <c r="AB19" s="154">
        <v>0</v>
      </c>
      <c r="AC19" s="226">
        <f t="shared" si="31"/>
        <v>595600</v>
      </c>
    </row>
    <row r="20" spans="1:29" ht="15.75" thickBot="1" x14ac:dyDescent="0.3">
      <c r="A20" s="325" t="s">
        <v>45</v>
      </c>
      <c r="B20" s="326"/>
      <c r="C20" s="326"/>
      <c r="D20" s="326"/>
      <c r="E20" s="66">
        <f>+E11+E5</f>
        <v>800000</v>
      </c>
      <c r="F20" s="219">
        <f>+F11+F5</f>
        <v>1420000</v>
      </c>
      <c r="G20" s="210">
        <f>+G11+G5</f>
        <v>420000</v>
      </c>
      <c r="H20" s="79">
        <f>G20+F20</f>
        <v>1840000</v>
      </c>
      <c r="I20" s="161">
        <f t="shared" ref="I20:AC20" si="38">+I11+I5</f>
        <v>4000</v>
      </c>
      <c r="J20" s="57">
        <f t="shared" si="38"/>
        <v>880</v>
      </c>
      <c r="K20" s="161">
        <f t="shared" si="38"/>
        <v>372000</v>
      </c>
      <c r="L20" s="57">
        <f t="shared" si="38"/>
        <v>167920</v>
      </c>
      <c r="M20" s="161">
        <f t="shared" si="38"/>
        <v>114000</v>
      </c>
      <c r="N20" s="57">
        <f t="shared" si="38"/>
        <v>46600</v>
      </c>
      <c r="O20" s="161">
        <f t="shared" si="38"/>
        <v>70000</v>
      </c>
      <c r="P20" s="57">
        <f t="shared" si="38"/>
        <v>15400</v>
      </c>
      <c r="Q20" s="161">
        <f t="shared" si="38"/>
        <v>50000</v>
      </c>
      <c r="R20" s="57">
        <f t="shared" si="38"/>
        <v>11000</v>
      </c>
      <c r="S20" s="161">
        <f t="shared" si="38"/>
        <v>98000</v>
      </c>
      <c r="T20" s="66">
        <f t="shared" si="38"/>
        <v>21560</v>
      </c>
      <c r="U20" s="161">
        <f t="shared" si="38"/>
        <v>168000</v>
      </c>
      <c r="V20" s="57">
        <f t="shared" si="38"/>
        <v>36960</v>
      </c>
      <c r="W20" s="161">
        <f t="shared" si="38"/>
        <v>164000</v>
      </c>
      <c r="X20" s="57">
        <f t="shared" si="38"/>
        <v>36080</v>
      </c>
      <c r="Y20" s="161">
        <f t="shared" si="38"/>
        <v>200000</v>
      </c>
      <c r="Z20" s="66">
        <f t="shared" si="38"/>
        <v>44000</v>
      </c>
      <c r="AA20" s="161">
        <f t="shared" si="38"/>
        <v>180000</v>
      </c>
      <c r="AB20" s="57">
        <f t="shared" si="38"/>
        <v>39600</v>
      </c>
      <c r="AC20" s="209">
        <f t="shared" si="38"/>
        <v>1840000</v>
      </c>
    </row>
    <row r="21" spans="1:29" ht="15.75" thickBot="1" x14ac:dyDescent="0.3">
      <c r="F21" s="211">
        <f>+F20/H20</f>
        <v>0.77173913043478259</v>
      </c>
      <c r="G21" s="212">
        <f>+G20/H20</f>
        <v>0.22826086956521738</v>
      </c>
      <c r="H21" s="220">
        <v>1</v>
      </c>
      <c r="I21" s="211">
        <f>+I20/$F$20</f>
        <v>2.8169014084507044E-3</v>
      </c>
      <c r="J21" s="212">
        <f>+J20/$G$20</f>
        <v>2.0952380952380953E-3</v>
      </c>
      <c r="K21" s="211">
        <f>+K20/$F$20</f>
        <v>0.26197183098591548</v>
      </c>
      <c r="L21" s="212">
        <f>+L20/$G$20</f>
        <v>0.39980952380952384</v>
      </c>
      <c r="M21" s="211">
        <f>+M20/$F$20</f>
        <v>8.0281690140845074E-2</v>
      </c>
      <c r="N21" s="212">
        <f>+N20/$G$20</f>
        <v>0.11095238095238096</v>
      </c>
      <c r="O21" s="211">
        <f>+O20/$F$20</f>
        <v>4.9295774647887321E-2</v>
      </c>
      <c r="P21" s="212">
        <f>+P20/$G$20</f>
        <v>3.6666666666666667E-2</v>
      </c>
      <c r="Q21" s="211">
        <f>+Q20/$F$20</f>
        <v>3.5211267605633804E-2</v>
      </c>
      <c r="R21" s="212">
        <f>+R20/$G$20</f>
        <v>2.6190476190476191E-2</v>
      </c>
      <c r="S21" s="211">
        <f>+S20/$F$20</f>
        <v>6.9014084507042259E-2</v>
      </c>
      <c r="T21" s="212">
        <f>+T20/$G$20</f>
        <v>5.1333333333333335E-2</v>
      </c>
      <c r="U21" s="211">
        <f>+U20/$F$20</f>
        <v>0.11830985915492957</v>
      </c>
      <c r="V21" s="212">
        <f>+V20/$G$20</f>
        <v>8.7999999999999995E-2</v>
      </c>
      <c r="W21" s="211">
        <f>+W20/$F$20</f>
        <v>0.11549295774647887</v>
      </c>
      <c r="X21" s="212">
        <f>+X20/$G$20</f>
        <v>8.59047619047619E-2</v>
      </c>
      <c r="Y21" s="211">
        <f>+Y20/$F$20</f>
        <v>0.14084507042253522</v>
      </c>
      <c r="Z21" s="212">
        <f>+Z20/$G$20</f>
        <v>0.10476190476190476</v>
      </c>
      <c r="AA21" s="211">
        <f>+AA20/$F$20</f>
        <v>0.12676056338028169</v>
      </c>
      <c r="AB21" s="212">
        <f>+AB20/$G$20</f>
        <v>9.4285714285714292E-2</v>
      </c>
      <c r="AC21" s="227">
        <f>+AC20/H20</f>
        <v>1</v>
      </c>
    </row>
    <row r="22" spans="1:29" ht="15.75" thickBot="1" x14ac:dyDescent="0.3"/>
    <row r="23" spans="1:29" ht="15.75" thickBot="1" x14ac:dyDescent="0.3">
      <c r="B23" s="58"/>
      <c r="G23" s="109"/>
      <c r="H23" s="109"/>
      <c r="I23" s="169" t="s">
        <v>23</v>
      </c>
      <c r="J23" s="170">
        <f>+I21+K21</f>
        <v>0.26478873239436618</v>
      </c>
      <c r="K23" s="171" t="s">
        <v>179</v>
      </c>
      <c r="L23" s="172">
        <f>+L21+J21</f>
        <v>0.40190476190476193</v>
      </c>
      <c r="M23" s="173" t="s">
        <v>23</v>
      </c>
      <c r="N23" s="174">
        <f>+M21+O21</f>
        <v>0.12957746478873239</v>
      </c>
      <c r="O23" s="171" t="s">
        <v>179</v>
      </c>
      <c r="P23" s="175">
        <f>+P21+N21</f>
        <v>0.14761904761904762</v>
      </c>
      <c r="Q23" s="169" t="s">
        <v>23</v>
      </c>
      <c r="R23" s="174">
        <f>+Q21+S21</f>
        <v>0.10422535211267606</v>
      </c>
      <c r="S23" s="171" t="s">
        <v>179</v>
      </c>
      <c r="T23" s="172">
        <f>+T21+R21</f>
        <v>7.7523809523809523E-2</v>
      </c>
      <c r="U23" s="173" t="s">
        <v>23</v>
      </c>
      <c r="V23" s="174">
        <f>+U21+W21</f>
        <v>0.23380281690140844</v>
      </c>
      <c r="W23" s="171" t="s">
        <v>179</v>
      </c>
      <c r="X23" s="175">
        <f>+X21+V21</f>
        <v>0.1739047619047619</v>
      </c>
      <c r="Y23" s="169" t="s">
        <v>23</v>
      </c>
      <c r="Z23" s="174">
        <f>+Y21+AA21</f>
        <v>0.26760563380281688</v>
      </c>
      <c r="AA23" s="171" t="s">
        <v>179</v>
      </c>
      <c r="AB23" s="172">
        <f>+AB21+Z21</f>
        <v>0.19904761904761906</v>
      </c>
    </row>
    <row r="24" spans="1:29" x14ac:dyDescent="0.25">
      <c r="B24" s="58"/>
      <c r="F24" s="13"/>
      <c r="G24" s="283" t="s">
        <v>180</v>
      </c>
      <c r="H24" s="284"/>
      <c r="I24" s="176" t="s">
        <v>23</v>
      </c>
      <c r="J24" s="177" t="s">
        <v>181</v>
      </c>
      <c r="K24" s="165"/>
      <c r="L24" s="165"/>
      <c r="M24" s="176" t="s">
        <v>23</v>
      </c>
      <c r="N24" s="177" t="s">
        <v>181</v>
      </c>
      <c r="O24" s="165"/>
      <c r="P24" s="165"/>
      <c r="Q24" s="176" t="s">
        <v>23</v>
      </c>
      <c r="R24" s="177" t="s">
        <v>181</v>
      </c>
      <c r="S24" s="165"/>
      <c r="T24" s="165"/>
      <c r="U24" s="176" t="s">
        <v>23</v>
      </c>
      <c r="V24" s="177" t="s">
        <v>181</v>
      </c>
      <c r="W24" s="165"/>
      <c r="X24" s="165"/>
      <c r="Y24" s="176" t="s">
        <v>23</v>
      </c>
      <c r="Z24" s="177" t="s">
        <v>181</v>
      </c>
      <c r="AA24" s="165"/>
      <c r="AB24" s="165"/>
    </row>
    <row r="25" spans="1:29" ht="15.75" thickBot="1" x14ac:dyDescent="0.3">
      <c r="B25" s="58"/>
      <c r="G25" s="285"/>
      <c r="H25" s="286"/>
      <c r="I25" s="178">
        <f>+I20+K20</f>
        <v>376000</v>
      </c>
      <c r="J25" s="179">
        <f>+J20+L20</f>
        <v>168800</v>
      </c>
      <c r="K25" s="166"/>
      <c r="L25" s="166"/>
      <c r="M25" s="178">
        <f>+M20+O20</f>
        <v>184000</v>
      </c>
      <c r="N25" s="179">
        <f>+N20+P20</f>
        <v>62000</v>
      </c>
      <c r="O25" s="166"/>
      <c r="P25" s="166"/>
      <c r="Q25" s="178">
        <f>+Q20+S20</f>
        <v>148000</v>
      </c>
      <c r="R25" s="179">
        <f>+R20+T20</f>
        <v>32560</v>
      </c>
      <c r="S25" s="166"/>
      <c r="T25" s="166"/>
      <c r="U25" s="178">
        <f>+U20+W20</f>
        <v>332000</v>
      </c>
      <c r="V25" s="179">
        <f>+V20+X20</f>
        <v>73040</v>
      </c>
      <c r="W25" s="166"/>
      <c r="X25" s="166"/>
      <c r="Y25" s="178">
        <f>+Y20+AA20</f>
        <v>380000</v>
      </c>
      <c r="Z25" s="179">
        <f>+Z20+AB20</f>
        <v>83600</v>
      </c>
      <c r="AA25" s="166"/>
      <c r="AB25" s="166"/>
    </row>
  </sheetData>
  <mergeCells count="28">
    <mergeCell ref="Y1:AB1"/>
    <mergeCell ref="A20:D20"/>
    <mergeCell ref="A11:D11"/>
    <mergeCell ref="A5:D5"/>
    <mergeCell ref="F1:G2"/>
    <mergeCell ref="H1:H3"/>
    <mergeCell ref="A4:E4"/>
    <mergeCell ref="A1:A3"/>
    <mergeCell ref="B1:B3"/>
    <mergeCell ref="C1:C3"/>
    <mergeCell ref="D1:D3"/>
    <mergeCell ref="E1:E3"/>
    <mergeCell ref="G24:H25"/>
    <mergeCell ref="AC1:AC3"/>
    <mergeCell ref="I2:J2"/>
    <mergeCell ref="K2:L2"/>
    <mergeCell ref="M2:N2"/>
    <mergeCell ref="O2:P2"/>
    <mergeCell ref="Q2:R2"/>
    <mergeCell ref="S2:T2"/>
    <mergeCell ref="U2:V2"/>
    <mergeCell ref="W2:X2"/>
    <mergeCell ref="Y2:Z2"/>
    <mergeCell ref="AA2:AB2"/>
    <mergeCell ref="I1:L1"/>
    <mergeCell ref="M1:P1"/>
    <mergeCell ref="Q1:T1"/>
    <mergeCell ref="U1:X1"/>
  </mergeCells>
  <pageMargins left="0.7" right="0.7" top="0.75" bottom="0.75" header="0.3" footer="0.3"/>
  <pageSetup orientation="portrait" r:id="rId1"/>
  <legacyDrawing r:id="rId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AC20"/>
  <sheetViews>
    <sheetView workbookViewId="0">
      <selection activeCell="D19" sqref="D19"/>
    </sheetView>
  </sheetViews>
  <sheetFormatPr defaultColWidth="11.42578125" defaultRowHeight="15" x14ac:dyDescent="0.25"/>
  <cols>
    <col min="1" max="1" width="33.42578125" style="9" customWidth="1"/>
    <col min="2" max="2" width="11.140625" style="10" customWidth="1"/>
    <col min="3" max="3" width="9.42578125" style="10" customWidth="1"/>
    <col min="4" max="4" width="10.42578125" style="10" customWidth="1"/>
    <col min="5" max="5" width="13.85546875" style="10" customWidth="1"/>
    <col min="6" max="6" width="10.7109375" style="10" bestFit="1" customWidth="1"/>
    <col min="7" max="7" width="12.140625" style="10" customWidth="1"/>
    <col min="8" max="9" width="10.7109375" style="10" bestFit="1" customWidth="1"/>
    <col min="10" max="10" width="12.140625" style="10" customWidth="1"/>
    <col min="11" max="11" width="10.7109375" style="10" bestFit="1" customWidth="1"/>
    <col min="12" max="12" width="12.140625" style="10" customWidth="1"/>
    <col min="13" max="13" width="10.7109375" style="10" bestFit="1" customWidth="1"/>
    <col min="14" max="14" width="12.140625" style="10" customWidth="1"/>
    <col min="15" max="15" width="10.7109375" style="10" bestFit="1" customWidth="1"/>
    <col min="16" max="16" width="12.140625" style="10" customWidth="1"/>
    <col min="17" max="17" width="10.7109375" style="10" bestFit="1" customWidth="1"/>
    <col min="18" max="18" width="12.140625" style="10" customWidth="1"/>
    <col min="19" max="19" width="10.7109375" style="10" bestFit="1" customWidth="1"/>
    <col min="20" max="20" width="12.140625" style="10" customWidth="1"/>
    <col min="21" max="21" width="10.7109375" style="10" bestFit="1" customWidth="1"/>
    <col min="22" max="22" width="12.140625" style="10" customWidth="1"/>
    <col min="23" max="23" width="10.7109375" style="10" bestFit="1" customWidth="1"/>
    <col min="24" max="24" width="12.140625" style="10" customWidth="1"/>
    <col min="25" max="25" width="10.7109375" style="10" bestFit="1" customWidth="1"/>
    <col min="26" max="26" width="12.140625" style="10" customWidth="1"/>
    <col min="27" max="27" width="10.7109375" style="10" bestFit="1" customWidth="1"/>
    <col min="28" max="29" width="12.140625" style="10" customWidth="1"/>
  </cols>
  <sheetData>
    <row r="2" spans="1:29" ht="6" customHeight="1" thickBot="1" x14ac:dyDescent="0.3">
      <c r="F2" s="13"/>
      <c r="I2" s="13"/>
      <c r="K2" s="13"/>
      <c r="M2" s="13"/>
      <c r="O2" s="13"/>
      <c r="Q2" s="13"/>
      <c r="S2" s="13"/>
      <c r="U2" s="13"/>
      <c r="W2" s="13"/>
      <c r="Y2" s="13"/>
      <c r="AA2" s="13"/>
    </row>
    <row r="3" spans="1:29" ht="15" customHeight="1" x14ac:dyDescent="0.25">
      <c r="A3" s="313" t="s">
        <v>18</v>
      </c>
      <c r="B3" s="337" t="s">
        <v>3</v>
      </c>
      <c r="C3" s="303" t="s">
        <v>19</v>
      </c>
      <c r="D3" s="303" t="s">
        <v>40</v>
      </c>
      <c r="E3" s="324" t="s">
        <v>20</v>
      </c>
      <c r="F3" s="295" t="s">
        <v>21</v>
      </c>
      <c r="G3" s="297"/>
      <c r="H3" s="347" t="s">
        <v>22</v>
      </c>
      <c r="I3" s="295" t="s">
        <v>163</v>
      </c>
      <c r="J3" s="296"/>
      <c r="K3" s="296"/>
      <c r="L3" s="297"/>
      <c r="M3" s="341" t="s">
        <v>166</v>
      </c>
      <c r="N3" s="296"/>
      <c r="O3" s="296"/>
      <c r="P3" s="324"/>
      <c r="Q3" s="295" t="s">
        <v>167</v>
      </c>
      <c r="R3" s="296"/>
      <c r="S3" s="296"/>
      <c r="T3" s="297"/>
      <c r="U3" s="341" t="s">
        <v>168</v>
      </c>
      <c r="V3" s="296"/>
      <c r="W3" s="296"/>
      <c r="X3" s="324"/>
      <c r="Y3" s="295" t="s">
        <v>169</v>
      </c>
      <c r="Z3" s="296"/>
      <c r="AA3" s="296"/>
      <c r="AB3" s="297"/>
      <c r="AC3" s="289" t="s">
        <v>22</v>
      </c>
    </row>
    <row r="4" spans="1:29" x14ac:dyDescent="0.25">
      <c r="A4" s="314"/>
      <c r="B4" s="317"/>
      <c r="C4" s="319"/>
      <c r="D4" s="319"/>
      <c r="E4" s="339"/>
      <c r="F4" s="292"/>
      <c r="G4" s="294"/>
      <c r="H4" s="348"/>
      <c r="I4" s="292" t="s">
        <v>164</v>
      </c>
      <c r="J4" s="293"/>
      <c r="K4" s="323" t="s">
        <v>165</v>
      </c>
      <c r="L4" s="306"/>
      <c r="M4" s="342" t="s">
        <v>164</v>
      </c>
      <c r="N4" s="293"/>
      <c r="O4" s="323" t="s">
        <v>165</v>
      </c>
      <c r="P4" s="323"/>
      <c r="Q4" s="292" t="s">
        <v>164</v>
      </c>
      <c r="R4" s="293"/>
      <c r="S4" s="323" t="s">
        <v>165</v>
      </c>
      <c r="T4" s="306"/>
      <c r="U4" s="342" t="s">
        <v>164</v>
      </c>
      <c r="V4" s="293"/>
      <c r="W4" s="323" t="s">
        <v>165</v>
      </c>
      <c r="X4" s="323"/>
      <c r="Y4" s="292" t="s">
        <v>164</v>
      </c>
      <c r="Z4" s="293"/>
      <c r="AA4" s="323" t="s">
        <v>165</v>
      </c>
      <c r="AB4" s="306"/>
      <c r="AC4" s="290"/>
    </row>
    <row r="5" spans="1:29" ht="15.75" thickBot="1" x14ac:dyDescent="0.3">
      <c r="A5" s="315"/>
      <c r="B5" s="338"/>
      <c r="C5" s="320"/>
      <c r="D5" s="320"/>
      <c r="E5" s="340"/>
      <c r="F5" s="17" t="s">
        <v>23</v>
      </c>
      <c r="G5" s="18" t="s">
        <v>28</v>
      </c>
      <c r="H5" s="349"/>
      <c r="I5" s="17" t="s">
        <v>23</v>
      </c>
      <c r="J5" s="189" t="s">
        <v>179</v>
      </c>
      <c r="K5" s="183" t="s">
        <v>23</v>
      </c>
      <c r="L5" s="18" t="s">
        <v>179</v>
      </c>
      <c r="M5" s="183" t="s">
        <v>23</v>
      </c>
      <c r="N5" s="189" t="s">
        <v>179</v>
      </c>
      <c r="O5" s="183" t="s">
        <v>23</v>
      </c>
      <c r="P5" s="185" t="s">
        <v>179</v>
      </c>
      <c r="Q5" s="17" t="s">
        <v>23</v>
      </c>
      <c r="R5" s="189" t="s">
        <v>179</v>
      </c>
      <c r="S5" s="183" t="s">
        <v>23</v>
      </c>
      <c r="T5" s="18" t="s">
        <v>179</v>
      </c>
      <c r="U5" s="183" t="s">
        <v>23</v>
      </c>
      <c r="V5" s="189" t="s">
        <v>179</v>
      </c>
      <c r="W5" s="183" t="s">
        <v>23</v>
      </c>
      <c r="X5" s="185" t="s">
        <v>179</v>
      </c>
      <c r="Y5" s="17" t="s">
        <v>23</v>
      </c>
      <c r="Z5" s="189" t="s">
        <v>179</v>
      </c>
      <c r="AA5" s="183" t="s">
        <v>23</v>
      </c>
      <c r="AB5" s="18" t="s">
        <v>179</v>
      </c>
      <c r="AC5" s="291"/>
    </row>
    <row r="6" spans="1:29" x14ac:dyDescent="0.25">
      <c r="A6" s="343" t="s">
        <v>24</v>
      </c>
      <c r="B6" s="344"/>
      <c r="C6" s="344"/>
      <c r="D6" s="344"/>
      <c r="E6" s="345">
        <f>SUM(E7:E10)</f>
        <v>570000</v>
      </c>
      <c r="F6" s="190">
        <f>SUM(F7:F11)</f>
        <v>0</v>
      </c>
      <c r="G6" s="228">
        <f>SUM(G7:G11)</f>
        <v>600000</v>
      </c>
      <c r="H6" s="235">
        <f>+G6+F6</f>
        <v>600000</v>
      </c>
      <c r="I6" s="190">
        <f t="shared" ref="I6:AC6" si="0">SUM(I7:I11)</f>
        <v>0</v>
      </c>
      <c r="J6" s="228">
        <f t="shared" si="0"/>
        <v>60000</v>
      </c>
      <c r="K6" s="190">
        <f t="shared" si="0"/>
        <v>0</v>
      </c>
      <c r="L6" s="228">
        <f t="shared" si="0"/>
        <v>60000</v>
      </c>
      <c r="M6" s="238">
        <f t="shared" si="0"/>
        <v>0</v>
      </c>
      <c r="N6" s="228">
        <f t="shared" si="0"/>
        <v>60000</v>
      </c>
      <c r="O6" s="190">
        <f t="shared" si="0"/>
        <v>0</v>
      </c>
      <c r="P6" s="191">
        <f t="shared" si="0"/>
        <v>60000</v>
      </c>
      <c r="Q6" s="190">
        <f t="shared" si="0"/>
        <v>0</v>
      </c>
      <c r="R6" s="228">
        <f t="shared" si="0"/>
        <v>60000</v>
      </c>
      <c r="S6" s="190">
        <f t="shared" si="0"/>
        <v>0</v>
      </c>
      <c r="T6" s="228">
        <f t="shared" si="0"/>
        <v>60000</v>
      </c>
      <c r="U6" s="238">
        <f t="shared" si="0"/>
        <v>0</v>
      </c>
      <c r="V6" s="228">
        <f t="shared" si="0"/>
        <v>60000</v>
      </c>
      <c r="W6" s="190">
        <f t="shared" si="0"/>
        <v>0</v>
      </c>
      <c r="X6" s="191">
        <f t="shared" si="0"/>
        <v>60000</v>
      </c>
      <c r="Y6" s="190">
        <f t="shared" si="0"/>
        <v>0</v>
      </c>
      <c r="Z6" s="228">
        <f t="shared" si="0"/>
        <v>60000</v>
      </c>
      <c r="AA6" s="190">
        <f t="shared" si="0"/>
        <v>0</v>
      </c>
      <c r="AB6" s="228">
        <f t="shared" si="0"/>
        <v>60000</v>
      </c>
      <c r="AC6" s="228">
        <f t="shared" si="0"/>
        <v>600000</v>
      </c>
    </row>
    <row r="7" spans="1:29" x14ac:dyDescent="0.25">
      <c r="A7" s="115" t="s">
        <v>25</v>
      </c>
      <c r="B7" s="230" t="s">
        <v>26</v>
      </c>
      <c r="C7" s="4">
        <v>3100</v>
      </c>
      <c r="D7" s="4">
        <f>5*12</f>
        <v>60</v>
      </c>
      <c r="E7" s="16">
        <f>+D7*C7</f>
        <v>186000</v>
      </c>
      <c r="F7" s="34">
        <v>0</v>
      </c>
      <c r="G7" s="16">
        <f>+E7</f>
        <v>186000</v>
      </c>
      <c r="H7" s="5">
        <f t="shared" ref="H7:H10" si="1">SUM(F7:G7)</f>
        <v>186000</v>
      </c>
      <c r="I7" s="34">
        <v>0</v>
      </c>
      <c r="J7" s="16">
        <f>+G7/10</f>
        <v>18600</v>
      </c>
      <c r="K7" s="34">
        <v>0</v>
      </c>
      <c r="L7" s="16">
        <f>+J7</f>
        <v>18600</v>
      </c>
      <c r="M7" s="34">
        <v>0</v>
      </c>
      <c r="N7" s="16">
        <f>+L7</f>
        <v>18600</v>
      </c>
      <c r="O7" s="34">
        <v>0</v>
      </c>
      <c r="P7" s="16">
        <f>+N7</f>
        <v>18600</v>
      </c>
      <c r="Q7" s="34">
        <v>0</v>
      </c>
      <c r="R7" s="16">
        <f>+P7</f>
        <v>18600</v>
      </c>
      <c r="S7" s="34">
        <v>0</v>
      </c>
      <c r="T7" s="16">
        <f>+R7</f>
        <v>18600</v>
      </c>
      <c r="U7" s="34">
        <v>0</v>
      </c>
      <c r="V7" s="16">
        <f>+T7</f>
        <v>18600</v>
      </c>
      <c r="W7" s="34">
        <v>0</v>
      </c>
      <c r="X7" s="16">
        <f>+V7</f>
        <v>18600</v>
      </c>
      <c r="Y7" s="34">
        <v>0</v>
      </c>
      <c r="Z7" s="16">
        <f>+X7</f>
        <v>18600</v>
      </c>
      <c r="AA7" s="34">
        <v>0</v>
      </c>
      <c r="AB7" s="16">
        <f>+Z7</f>
        <v>18600</v>
      </c>
      <c r="AC7" s="16">
        <f>SUM(I7:AB7)</f>
        <v>186000</v>
      </c>
    </row>
    <row r="8" spans="1:29" x14ac:dyDescent="0.25">
      <c r="A8" s="232" t="s">
        <v>43</v>
      </c>
      <c r="B8" s="33" t="s">
        <v>26</v>
      </c>
      <c r="C8" s="6">
        <v>2900</v>
      </c>
      <c r="D8" s="4">
        <f>5*12</f>
        <v>60</v>
      </c>
      <c r="E8" s="8">
        <f>+D8*C8</f>
        <v>174000</v>
      </c>
      <c r="F8" s="144">
        <v>0</v>
      </c>
      <c r="G8" s="16">
        <f t="shared" ref="G8:G10" si="2">+E8</f>
        <v>174000</v>
      </c>
      <c r="H8" s="7">
        <f t="shared" si="1"/>
        <v>174000</v>
      </c>
      <c r="I8" s="34">
        <v>0</v>
      </c>
      <c r="J8" s="16">
        <f>+G8/10</f>
        <v>17400</v>
      </c>
      <c r="K8" s="34">
        <v>0</v>
      </c>
      <c r="L8" s="16">
        <f>+J8</f>
        <v>17400</v>
      </c>
      <c r="M8" s="34">
        <v>0</v>
      </c>
      <c r="N8" s="16">
        <f>+L8</f>
        <v>17400</v>
      </c>
      <c r="O8" s="34">
        <v>0</v>
      </c>
      <c r="P8" s="16">
        <f>+N8</f>
        <v>17400</v>
      </c>
      <c r="Q8" s="34">
        <v>0</v>
      </c>
      <c r="R8" s="16">
        <f>+P8</f>
        <v>17400</v>
      </c>
      <c r="S8" s="34">
        <v>0</v>
      </c>
      <c r="T8" s="16">
        <f>+R8</f>
        <v>17400</v>
      </c>
      <c r="U8" s="34">
        <v>0</v>
      </c>
      <c r="V8" s="16">
        <f>+T8</f>
        <v>17400</v>
      </c>
      <c r="W8" s="34">
        <v>0</v>
      </c>
      <c r="X8" s="16">
        <f>+V8</f>
        <v>17400</v>
      </c>
      <c r="Y8" s="34">
        <v>0</v>
      </c>
      <c r="Z8" s="16">
        <f>+X8</f>
        <v>17400</v>
      </c>
      <c r="AA8" s="34">
        <v>0</v>
      </c>
      <c r="AB8" s="16">
        <f>+Z8</f>
        <v>17400</v>
      </c>
      <c r="AC8" s="16">
        <f>SUM(I8:AB8)</f>
        <v>174000</v>
      </c>
    </row>
    <row r="9" spans="1:29" x14ac:dyDescent="0.25">
      <c r="A9" s="232" t="s">
        <v>88</v>
      </c>
      <c r="B9" s="33" t="s">
        <v>26</v>
      </c>
      <c r="C9" s="6">
        <v>1600</v>
      </c>
      <c r="D9" s="4">
        <f>5*12/2*3</f>
        <v>90</v>
      </c>
      <c r="E9" s="8">
        <f>+D9*C9</f>
        <v>144000</v>
      </c>
      <c r="F9" s="144">
        <v>0</v>
      </c>
      <c r="G9" s="16">
        <f t="shared" ref="G9" si="3">+E9</f>
        <v>144000</v>
      </c>
      <c r="H9" s="7">
        <f t="shared" ref="H9" si="4">SUM(F9:G9)</f>
        <v>144000</v>
      </c>
      <c r="I9" s="34">
        <v>0</v>
      </c>
      <c r="J9" s="16">
        <f>+G9/10</f>
        <v>14400</v>
      </c>
      <c r="K9" s="34">
        <v>0</v>
      </c>
      <c r="L9" s="16">
        <f>+J9</f>
        <v>14400</v>
      </c>
      <c r="M9" s="34">
        <v>0</v>
      </c>
      <c r="N9" s="16">
        <f>+L9</f>
        <v>14400</v>
      </c>
      <c r="O9" s="34">
        <v>0</v>
      </c>
      <c r="P9" s="16">
        <f>+N9</f>
        <v>14400</v>
      </c>
      <c r="Q9" s="34">
        <v>0</v>
      </c>
      <c r="R9" s="16">
        <f>+P9</f>
        <v>14400</v>
      </c>
      <c r="S9" s="34">
        <v>0</v>
      </c>
      <c r="T9" s="16">
        <f>+R9</f>
        <v>14400</v>
      </c>
      <c r="U9" s="34">
        <v>0</v>
      </c>
      <c r="V9" s="16">
        <f>+T9</f>
        <v>14400</v>
      </c>
      <c r="W9" s="34">
        <v>0</v>
      </c>
      <c r="X9" s="16">
        <f>+V9</f>
        <v>14400</v>
      </c>
      <c r="Y9" s="34">
        <v>0</v>
      </c>
      <c r="Z9" s="16">
        <f>+X9</f>
        <v>14400</v>
      </c>
      <c r="AA9" s="34">
        <v>0</v>
      </c>
      <c r="AB9" s="16">
        <f>+Z9</f>
        <v>14400</v>
      </c>
      <c r="AC9" s="16">
        <f>SUM(I9:AB9)</f>
        <v>144000</v>
      </c>
    </row>
    <row r="10" spans="1:29" x14ac:dyDescent="0.25">
      <c r="A10" s="232" t="s">
        <v>89</v>
      </c>
      <c r="B10" s="33" t="s">
        <v>26</v>
      </c>
      <c r="C10" s="6">
        <v>1100</v>
      </c>
      <c r="D10" s="4">
        <f>5*12</f>
        <v>60</v>
      </c>
      <c r="E10" s="8">
        <f>+D10*C10</f>
        <v>66000</v>
      </c>
      <c r="F10" s="144">
        <v>0</v>
      </c>
      <c r="G10" s="16">
        <f t="shared" si="2"/>
        <v>66000</v>
      </c>
      <c r="H10" s="7">
        <f t="shared" si="1"/>
        <v>66000</v>
      </c>
      <c r="I10" s="34">
        <v>0</v>
      </c>
      <c r="J10" s="16">
        <f>+G10/10</f>
        <v>6600</v>
      </c>
      <c r="K10" s="34">
        <v>0</v>
      </c>
      <c r="L10" s="16">
        <f>+J10</f>
        <v>6600</v>
      </c>
      <c r="M10" s="34">
        <v>0</v>
      </c>
      <c r="N10" s="16">
        <f>+L10</f>
        <v>6600</v>
      </c>
      <c r="O10" s="34">
        <v>0</v>
      </c>
      <c r="P10" s="16">
        <f>+N10</f>
        <v>6600</v>
      </c>
      <c r="Q10" s="34">
        <v>0</v>
      </c>
      <c r="R10" s="16">
        <f>+P10</f>
        <v>6600</v>
      </c>
      <c r="S10" s="34">
        <v>0</v>
      </c>
      <c r="T10" s="16">
        <f>+R10</f>
        <v>6600</v>
      </c>
      <c r="U10" s="34">
        <v>0</v>
      </c>
      <c r="V10" s="16">
        <f>+T10</f>
        <v>6600</v>
      </c>
      <c r="W10" s="34">
        <v>0</v>
      </c>
      <c r="X10" s="16">
        <f>+V10</f>
        <v>6600</v>
      </c>
      <c r="Y10" s="34">
        <v>0</v>
      </c>
      <c r="Z10" s="16">
        <f>+X10</f>
        <v>6600</v>
      </c>
      <c r="AA10" s="34">
        <v>0</v>
      </c>
      <c r="AB10" s="16">
        <f>+Z10</f>
        <v>6600</v>
      </c>
      <c r="AC10" s="16">
        <f>SUM(I10:AB10)</f>
        <v>66000</v>
      </c>
    </row>
    <row r="11" spans="1:29" x14ac:dyDescent="0.25">
      <c r="A11" s="232" t="s">
        <v>90</v>
      </c>
      <c r="B11" s="33" t="s">
        <v>26</v>
      </c>
      <c r="C11" s="6">
        <v>500</v>
      </c>
      <c r="D11" s="4">
        <f>5*12</f>
        <v>60</v>
      </c>
      <c r="E11" s="8">
        <f>+D11*C11</f>
        <v>30000</v>
      </c>
      <c r="F11" s="144">
        <v>0</v>
      </c>
      <c r="G11" s="16">
        <f t="shared" ref="G11" si="5">+E11</f>
        <v>30000</v>
      </c>
      <c r="H11" s="7">
        <f t="shared" ref="H11" si="6">SUM(F11:G11)</f>
        <v>30000</v>
      </c>
      <c r="I11" s="34">
        <v>0</v>
      </c>
      <c r="J11" s="16">
        <f>+G11/10</f>
        <v>3000</v>
      </c>
      <c r="K11" s="34">
        <v>0</v>
      </c>
      <c r="L11" s="16">
        <f>+J11</f>
        <v>3000</v>
      </c>
      <c r="M11" s="34">
        <v>0</v>
      </c>
      <c r="N11" s="16">
        <f>+L11</f>
        <v>3000</v>
      </c>
      <c r="O11" s="34">
        <v>0</v>
      </c>
      <c r="P11" s="16">
        <f>+N11</f>
        <v>3000</v>
      </c>
      <c r="Q11" s="34">
        <v>0</v>
      </c>
      <c r="R11" s="16">
        <f>+P11</f>
        <v>3000</v>
      </c>
      <c r="S11" s="34">
        <v>0</v>
      </c>
      <c r="T11" s="16">
        <f>+R11</f>
        <v>3000</v>
      </c>
      <c r="U11" s="34">
        <v>0</v>
      </c>
      <c r="V11" s="16">
        <f>+T11</f>
        <v>3000</v>
      </c>
      <c r="W11" s="34">
        <v>0</v>
      </c>
      <c r="X11" s="16">
        <f>+V11</f>
        <v>3000</v>
      </c>
      <c r="Y11" s="34">
        <v>0</v>
      </c>
      <c r="Z11" s="16">
        <f>+X11</f>
        <v>3000</v>
      </c>
      <c r="AA11" s="34">
        <v>0</v>
      </c>
      <c r="AB11" s="16">
        <f>+Z11</f>
        <v>3000</v>
      </c>
      <c r="AC11" s="16">
        <f>SUM(I11:AB11)</f>
        <v>30000</v>
      </c>
    </row>
    <row r="12" spans="1:29" x14ac:dyDescent="0.25">
      <c r="A12" s="277" t="s">
        <v>54</v>
      </c>
      <c r="B12" s="278"/>
      <c r="C12" s="278"/>
      <c r="D12" s="278"/>
      <c r="E12" s="346"/>
      <c r="F12" s="184">
        <f>+F13</f>
        <v>0</v>
      </c>
      <c r="G12" s="188">
        <f t="shared" ref="G12:AC12" si="7">+G13</f>
        <v>250000</v>
      </c>
      <c r="H12" s="236">
        <f t="shared" si="7"/>
        <v>250000</v>
      </c>
      <c r="I12" s="184">
        <f>+I13</f>
        <v>0</v>
      </c>
      <c r="J12" s="188">
        <f t="shared" si="7"/>
        <v>25000</v>
      </c>
      <c r="K12" s="184">
        <f>+K13</f>
        <v>0</v>
      </c>
      <c r="L12" s="188">
        <f t="shared" si="7"/>
        <v>25000</v>
      </c>
      <c r="M12" s="231">
        <f>+M13</f>
        <v>0</v>
      </c>
      <c r="N12" s="188">
        <f t="shared" si="7"/>
        <v>25000</v>
      </c>
      <c r="O12" s="184">
        <f>+O13</f>
        <v>0</v>
      </c>
      <c r="P12" s="186">
        <f t="shared" si="7"/>
        <v>25000</v>
      </c>
      <c r="Q12" s="184">
        <f>+Q13</f>
        <v>0</v>
      </c>
      <c r="R12" s="188">
        <f t="shared" si="7"/>
        <v>25000</v>
      </c>
      <c r="S12" s="184">
        <f>+S13</f>
        <v>0</v>
      </c>
      <c r="T12" s="188">
        <f t="shared" si="7"/>
        <v>25000</v>
      </c>
      <c r="U12" s="231">
        <f>+U13</f>
        <v>0</v>
      </c>
      <c r="V12" s="188">
        <f t="shared" si="7"/>
        <v>25000</v>
      </c>
      <c r="W12" s="184">
        <f>+W13</f>
        <v>0</v>
      </c>
      <c r="X12" s="186">
        <f t="shared" si="7"/>
        <v>25000</v>
      </c>
      <c r="Y12" s="184">
        <f>+Y13</f>
        <v>0</v>
      </c>
      <c r="Z12" s="188">
        <f t="shared" si="7"/>
        <v>25000</v>
      </c>
      <c r="AA12" s="184">
        <f>+AA13</f>
        <v>0</v>
      </c>
      <c r="AB12" s="188">
        <f t="shared" si="7"/>
        <v>25000</v>
      </c>
      <c r="AC12" s="188">
        <f t="shared" si="7"/>
        <v>250000</v>
      </c>
    </row>
    <row r="13" spans="1:29" ht="15.75" thickBot="1" x14ac:dyDescent="0.3">
      <c r="A13" s="233" t="s">
        <v>55</v>
      </c>
      <c r="B13" s="234" t="s">
        <v>26</v>
      </c>
      <c r="C13" s="21">
        <v>250000</v>
      </c>
      <c r="D13" s="21">
        <v>1</v>
      </c>
      <c r="E13" s="22">
        <f t="shared" ref="E13" si="8">+D13*C13</f>
        <v>250000</v>
      </c>
      <c r="F13" s="243">
        <v>0</v>
      </c>
      <c r="G13" s="241">
        <f t="shared" ref="G13" si="9">+E13</f>
        <v>250000</v>
      </c>
      <c r="H13" s="244">
        <f t="shared" ref="H13" si="10">SUM(F13:G13)</f>
        <v>250000</v>
      </c>
      <c r="I13" s="240">
        <v>0</v>
      </c>
      <c r="J13" s="241">
        <f>+G13/10</f>
        <v>25000</v>
      </c>
      <c r="K13" s="240">
        <v>0</v>
      </c>
      <c r="L13" s="241">
        <f>+J13</f>
        <v>25000</v>
      </c>
      <c r="M13" s="240">
        <v>0</v>
      </c>
      <c r="N13" s="241">
        <f>+L13</f>
        <v>25000</v>
      </c>
      <c r="O13" s="240">
        <v>0</v>
      </c>
      <c r="P13" s="241">
        <f>+N13</f>
        <v>25000</v>
      </c>
      <c r="Q13" s="240">
        <v>0</v>
      </c>
      <c r="R13" s="241">
        <f>+P13</f>
        <v>25000</v>
      </c>
      <c r="S13" s="240">
        <v>0</v>
      </c>
      <c r="T13" s="241">
        <f>+R13</f>
        <v>25000</v>
      </c>
      <c r="U13" s="240">
        <v>0</v>
      </c>
      <c r="V13" s="241">
        <f>+T13</f>
        <v>25000</v>
      </c>
      <c r="W13" s="240">
        <v>0</v>
      </c>
      <c r="X13" s="241">
        <f>+V13</f>
        <v>25000</v>
      </c>
      <c r="Y13" s="240">
        <v>0</v>
      </c>
      <c r="Z13" s="241">
        <f>+X13</f>
        <v>25000</v>
      </c>
      <c r="AA13" s="240">
        <v>0</v>
      </c>
      <c r="AB13" s="241">
        <f>+Z13</f>
        <v>25000</v>
      </c>
      <c r="AC13" s="16">
        <f>SUM(I13:AB13)</f>
        <v>250000</v>
      </c>
    </row>
    <row r="14" spans="1:29" ht="15.75" thickBot="1" x14ac:dyDescent="0.3">
      <c r="A14" s="350" t="s">
        <v>27</v>
      </c>
      <c r="B14" s="351"/>
      <c r="C14" s="351"/>
      <c r="D14" s="352"/>
      <c r="E14" s="242">
        <f>+E6</f>
        <v>570000</v>
      </c>
      <c r="F14" s="161">
        <f>+F12+F6</f>
        <v>0</v>
      </c>
      <c r="G14" s="57">
        <f>+G12+G6</f>
        <v>850000</v>
      </c>
      <c r="H14" s="79">
        <f>SUM(F14:G14)</f>
        <v>850000</v>
      </c>
      <c r="I14" s="161">
        <f t="shared" ref="I14:AC14" si="11">+I12+I6</f>
        <v>0</v>
      </c>
      <c r="J14" s="57">
        <f t="shared" si="11"/>
        <v>85000</v>
      </c>
      <c r="K14" s="161">
        <f t="shared" si="11"/>
        <v>0</v>
      </c>
      <c r="L14" s="57">
        <f t="shared" si="11"/>
        <v>85000</v>
      </c>
      <c r="M14" s="161">
        <f t="shared" si="11"/>
        <v>0</v>
      </c>
      <c r="N14" s="57">
        <f t="shared" si="11"/>
        <v>85000</v>
      </c>
      <c r="O14" s="161">
        <f t="shared" si="11"/>
        <v>0</v>
      </c>
      <c r="P14" s="57">
        <f t="shared" si="11"/>
        <v>85000</v>
      </c>
      <c r="Q14" s="161">
        <f t="shared" si="11"/>
        <v>0</v>
      </c>
      <c r="R14" s="57">
        <f t="shared" si="11"/>
        <v>85000</v>
      </c>
      <c r="S14" s="161">
        <f t="shared" si="11"/>
        <v>0</v>
      </c>
      <c r="T14" s="57">
        <f t="shared" si="11"/>
        <v>85000</v>
      </c>
      <c r="U14" s="161">
        <f t="shared" si="11"/>
        <v>0</v>
      </c>
      <c r="V14" s="57">
        <f t="shared" si="11"/>
        <v>85000</v>
      </c>
      <c r="W14" s="161">
        <f t="shared" si="11"/>
        <v>0</v>
      </c>
      <c r="X14" s="57">
        <f t="shared" si="11"/>
        <v>85000</v>
      </c>
      <c r="Y14" s="161">
        <f t="shared" si="11"/>
        <v>0</v>
      </c>
      <c r="Z14" s="57">
        <f t="shared" si="11"/>
        <v>85000</v>
      </c>
      <c r="AA14" s="161">
        <f t="shared" si="11"/>
        <v>0</v>
      </c>
      <c r="AB14" s="57">
        <f t="shared" si="11"/>
        <v>85000</v>
      </c>
      <c r="AC14" s="79">
        <f t="shared" si="11"/>
        <v>850000</v>
      </c>
    </row>
    <row r="15" spans="1:29" ht="15.75" thickBot="1" x14ac:dyDescent="0.3">
      <c r="F15" s="162">
        <f>+F14/H14</f>
        <v>0</v>
      </c>
      <c r="G15" s="163">
        <f>+G14/H14</f>
        <v>1</v>
      </c>
      <c r="H15" s="245">
        <f>SUM(F15:G15)</f>
        <v>1</v>
      </c>
      <c r="I15" s="162">
        <v>0</v>
      </c>
      <c r="J15" s="163">
        <f>+J14/$G$14</f>
        <v>0.1</v>
      </c>
      <c r="K15" s="162">
        <v>0</v>
      </c>
      <c r="L15" s="163">
        <f>+L14/$G$14</f>
        <v>0.1</v>
      </c>
      <c r="M15" s="162">
        <v>0</v>
      </c>
      <c r="N15" s="163">
        <f>+N14/$G$14</f>
        <v>0.1</v>
      </c>
      <c r="O15" s="162">
        <v>0</v>
      </c>
      <c r="P15" s="163">
        <f>+P14/$G$14</f>
        <v>0.1</v>
      </c>
      <c r="Q15" s="162">
        <v>0</v>
      </c>
      <c r="R15" s="163">
        <f>+R14/$G$14</f>
        <v>0.1</v>
      </c>
      <c r="S15" s="162">
        <v>0</v>
      </c>
      <c r="T15" s="163">
        <f>+T14/$G$14</f>
        <v>0.1</v>
      </c>
      <c r="U15" s="162">
        <v>0</v>
      </c>
      <c r="V15" s="163">
        <f>+V14/$G$14</f>
        <v>0.1</v>
      </c>
      <c r="W15" s="162">
        <v>0</v>
      </c>
      <c r="X15" s="163">
        <f>+X14/$G$14</f>
        <v>0.1</v>
      </c>
      <c r="Y15" s="162">
        <v>0</v>
      </c>
      <c r="Z15" s="163">
        <f>+Z14/$G$14</f>
        <v>0.1</v>
      </c>
      <c r="AA15" s="162">
        <f>+AA14/AC14</f>
        <v>0</v>
      </c>
      <c r="AB15" s="163">
        <f>+AB14/$G$14</f>
        <v>0.1</v>
      </c>
      <c r="AC15" s="11">
        <f>+AC14/H14</f>
        <v>1</v>
      </c>
    </row>
    <row r="16" spans="1:29" ht="15.75" thickBot="1" x14ac:dyDescent="0.3">
      <c r="B16" s="40"/>
      <c r="I16"/>
      <c r="J16"/>
      <c r="K16"/>
      <c r="L16"/>
      <c r="M16"/>
      <c r="N16"/>
      <c r="O16"/>
      <c r="P16"/>
      <c r="Q16"/>
      <c r="R16"/>
      <c r="S16"/>
      <c r="T16"/>
      <c r="U16"/>
      <c r="V16"/>
      <c r="W16"/>
      <c r="X16"/>
      <c r="Y16"/>
      <c r="Z16"/>
      <c r="AA16"/>
      <c r="AB16"/>
      <c r="AC16"/>
    </row>
    <row r="17" spans="2:29" ht="15.75" thickBot="1" x14ac:dyDescent="0.3">
      <c r="B17" s="58"/>
      <c r="G17" s="109"/>
      <c r="H17" s="109"/>
      <c r="I17" s="169" t="s">
        <v>23</v>
      </c>
      <c r="J17" s="170">
        <f>+I15+K15</f>
        <v>0</v>
      </c>
      <c r="K17" s="171" t="s">
        <v>179</v>
      </c>
      <c r="L17" s="172">
        <f>+L15+J15</f>
        <v>0.2</v>
      </c>
      <c r="M17" s="173" t="s">
        <v>23</v>
      </c>
      <c r="N17" s="174">
        <f>+M15+O15</f>
        <v>0</v>
      </c>
      <c r="O17" s="171" t="s">
        <v>179</v>
      </c>
      <c r="P17" s="175">
        <f>+P15+N15</f>
        <v>0.2</v>
      </c>
      <c r="Q17" s="169" t="s">
        <v>23</v>
      </c>
      <c r="R17" s="174">
        <f>+Q15+S15</f>
        <v>0</v>
      </c>
      <c r="S17" s="171" t="s">
        <v>179</v>
      </c>
      <c r="T17" s="172">
        <f>+T15+R15</f>
        <v>0.2</v>
      </c>
      <c r="U17" s="173" t="s">
        <v>23</v>
      </c>
      <c r="V17" s="174">
        <f>+U15+W15</f>
        <v>0</v>
      </c>
      <c r="W17" s="171" t="s">
        <v>179</v>
      </c>
      <c r="X17" s="175">
        <f>+X15+V15</f>
        <v>0.2</v>
      </c>
      <c r="Y17" s="169" t="s">
        <v>23</v>
      </c>
      <c r="Z17" s="174">
        <f>+Y15+AA15</f>
        <v>0</v>
      </c>
      <c r="AA17" s="171" t="s">
        <v>179</v>
      </c>
      <c r="AB17" s="172">
        <f>+AB15+Z15</f>
        <v>0.2</v>
      </c>
      <c r="AC17"/>
    </row>
    <row r="18" spans="2:29" x14ac:dyDescent="0.25">
      <c r="B18" s="58"/>
      <c r="F18" s="13"/>
      <c r="G18" s="283" t="s">
        <v>180</v>
      </c>
      <c r="H18" s="284"/>
      <c r="I18" s="176" t="s">
        <v>23</v>
      </c>
      <c r="J18" s="177" t="s">
        <v>181</v>
      </c>
      <c r="K18" s="165"/>
      <c r="L18" s="165"/>
      <c r="M18" s="176" t="s">
        <v>23</v>
      </c>
      <c r="N18" s="177" t="s">
        <v>181</v>
      </c>
      <c r="O18" s="165"/>
      <c r="P18" s="165"/>
      <c r="Q18" s="176" t="s">
        <v>23</v>
      </c>
      <c r="R18" s="177" t="s">
        <v>181</v>
      </c>
      <c r="S18" s="165"/>
      <c r="T18" s="165"/>
      <c r="U18" s="176" t="s">
        <v>23</v>
      </c>
      <c r="V18" s="177" t="s">
        <v>181</v>
      </c>
      <c r="W18" s="165"/>
      <c r="X18" s="165"/>
      <c r="Y18" s="176" t="s">
        <v>23</v>
      </c>
      <c r="Z18" s="177" t="s">
        <v>181</v>
      </c>
      <c r="AA18" s="165"/>
      <c r="AB18" s="165"/>
      <c r="AC18"/>
    </row>
    <row r="19" spans="2:29" ht="15.75" thickBot="1" x14ac:dyDescent="0.3">
      <c r="B19" s="58"/>
      <c r="G19" s="285"/>
      <c r="H19" s="286"/>
      <c r="I19" s="178">
        <f>+I14+K14</f>
        <v>0</v>
      </c>
      <c r="J19" s="179">
        <f>+J14+L14</f>
        <v>170000</v>
      </c>
      <c r="K19" s="166"/>
      <c r="L19" s="166"/>
      <c r="M19" s="178">
        <f>+M14+O14</f>
        <v>0</v>
      </c>
      <c r="N19" s="179">
        <f>+N14+P14</f>
        <v>170000</v>
      </c>
      <c r="O19" s="166"/>
      <c r="P19" s="166"/>
      <c r="Q19" s="178">
        <f>+Q14+S14</f>
        <v>0</v>
      </c>
      <c r="R19" s="179">
        <f>+R14+T14</f>
        <v>170000</v>
      </c>
      <c r="S19" s="166"/>
      <c r="T19" s="166"/>
      <c r="U19" s="178">
        <f>+U14+W14</f>
        <v>0</v>
      </c>
      <c r="V19" s="179">
        <f>+V14+X14</f>
        <v>170000</v>
      </c>
      <c r="W19" s="166"/>
      <c r="X19" s="166"/>
      <c r="Y19" s="178">
        <f>+Y14+AA14</f>
        <v>0</v>
      </c>
      <c r="Z19" s="179">
        <f>+Z14+AB14</f>
        <v>170000</v>
      </c>
      <c r="AA19" s="166"/>
      <c r="AB19" s="166"/>
      <c r="AC19"/>
    </row>
    <row r="20" spans="2:29" x14ac:dyDescent="0.25">
      <c r="B20" s="40"/>
      <c r="I20"/>
      <c r="J20"/>
      <c r="K20"/>
      <c r="L20"/>
      <c r="M20"/>
      <c r="N20"/>
      <c r="O20"/>
      <c r="P20"/>
      <c r="Q20"/>
      <c r="R20"/>
      <c r="S20"/>
      <c r="T20"/>
      <c r="U20"/>
      <c r="V20"/>
      <c r="W20"/>
      <c r="X20"/>
      <c r="Y20"/>
      <c r="Z20"/>
      <c r="AA20"/>
      <c r="AB20"/>
      <c r="AC20"/>
    </row>
  </sheetData>
  <mergeCells count="27">
    <mergeCell ref="A14:D14"/>
    <mergeCell ref="A3:A5"/>
    <mergeCell ref="B3:B5"/>
    <mergeCell ref="C3:C5"/>
    <mergeCell ref="D3:D5"/>
    <mergeCell ref="S4:T4"/>
    <mergeCell ref="A6:E6"/>
    <mergeCell ref="A12:E12"/>
    <mergeCell ref="F3:G4"/>
    <mergeCell ref="H3:H5"/>
    <mergeCell ref="E3:E5"/>
    <mergeCell ref="AC3:AC5"/>
    <mergeCell ref="G18:H19"/>
    <mergeCell ref="U3:X3"/>
    <mergeCell ref="U4:V4"/>
    <mergeCell ref="W4:X4"/>
    <mergeCell ref="Y3:AB3"/>
    <mergeCell ref="Y4:Z4"/>
    <mergeCell ref="AA4:AB4"/>
    <mergeCell ref="I3:L3"/>
    <mergeCell ref="I4:J4"/>
    <mergeCell ref="K4:L4"/>
    <mergeCell ref="M3:P3"/>
    <mergeCell ref="M4:N4"/>
    <mergeCell ref="O4:P4"/>
    <mergeCell ref="Q3:T3"/>
    <mergeCell ref="Q4:R4"/>
  </mergeCells>
  <pageMargins left="0.7" right="0.7" top="0.75" bottom="0.75" header="0.3" footer="0.3"/>
  <pageSetup orientation="portrait" r:id="rId1"/>
  <legacyDrawing r:id="rId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6"/>
  <sheetViews>
    <sheetView workbookViewId="0">
      <selection activeCell="A32" sqref="A32"/>
    </sheetView>
  </sheetViews>
  <sheetFormatPr defaultColWidth="11.42578125" defaultRowHeight="15" x14ac:dyDescent="0.25"/>
  <cols>
    <col min="1" max="1" width="33.42578125" style="9" customWidth="1"/>
    <col min="2" max="2" width="11.140625" style="10" customWidth="1"/>
    <col min="3" max="3" width="9.42578125" style="10" customWidth="1"/>
    <col min="4" max="4" width="10.42578125" style="10" customWidth="1"/>
    <col min="5" max="5" width="13.85546875" style="10" customWidth="1"/>
    <col min="6" max="6" width="10.7109375" style="10" bestFit="1" customWidth="1"/>
    <col min="7" max="7" width="12.140625" style="10" customWidth="1"/>
    <col min="8" max="9" width="10.7109375" style="10" bestFit="1" customWidth="1"/>
    <col min="10" max="10" width="12.140625" style="10" customWidth="1"/>
    <col min="11" max="11" width="10.7109375" style="10" bestFit="1" customWidth="1"/>
    <col min="12" max="12" width="12.140625" style="10" customWidth="1"/>
    <col min="13" max="13" width="10.7109375" style="10" bestFit="1" customWidth="1"/>
    <col min="14" max="14" width="12.140625" style="10" customWidth="1"/>
    <col min="15" max="15" width="10.7109375" style="10" bestFit="1" customWidth="1"/>
    <col min="16" max="16" width="12.140625" style="10" customWidth="1"/>
    <col min="17" max="17" width="10.7109375" style="10" bestFit="1" customWidth="1"/>
    <col min="18" max="18" width="12.140625" style="10" customWidth="1"/>
    <col min="19" max="19" width="10.7109375" style="10" bestFit="1" customWidth="1"/>
    <col min="20" max="20" width="12.140625" style="10" customWidth="1"/>
    <col min="21" max="21" width="10.7109375" style="10" bestFit="1" customWidth="1"/>
    <col min="22" max="22" width="12.140625" style="10" customWidth="1"/>
    <col min="23" max="23" width="10.7109375" style="10" bestFit="1" customWidth="1"/>
    <col min="24" max="24" width="12.140625" style="10" customWidth="1"/>
    <col min="25" max="25" width="10.7109375" style="10" bestFit="1" customWidth="1"/>
    <col min="26" max="26" width="12.140625" style="10" customWidth="1"/>
    <col min="27" max="27" width="10.7109375" style="10" bestFit="1" customWidth="1"/>
    <col min="28" max="29" width="12.140625" style="10" customWidth="1"/>
  </cols>
  <sheetData>
    <row r="1" spans="1:29" ht="15.75" thickBot="1" x14ac:dyDescent="0.3">
      <c r="F1" s="13"/>
      <c r="I1" s="13"/>
      <c r="K1" s="13"/>
      <c r="M1" s="13"/>
      <c r="O1" s="13"/>
      <c r="Q1" s="13"/>
      <c r="S1" s="13"/>
      <c r="U1" s="13"/>
      <c r="W1" s="13"/>
      <c r="Y1" s="13"/>
      <c r="AA1" s="13"/>
    </row>
    <row r="2" spans="1:29" ht="15" customHeight="1" x14ac:dyDescent="0.25">
      <c r="A2" s="313" t="s">
        <v>49</v>
      </c>
      <c r="B2" s="337" t="s">
        <v>3</v>
      </c>
      <c r="C2" s="303" t="s">
        <v>19</v>
      </c>
      <c r="D2" s="303" t="s">
        <v>40</v>
      </c>
      <c r="E2" s="324" t="s">
        <v>20</v>
      </c>
      <c r="F2" s="295" t="s">
        <v>21</v>
      </c>
      <c r="G2" s="297"/>
      <c r="H2" s="347" t="s">
        <v>22</v>
      </c>
      <c r="I2" s="295" t="s">
        <v>163</v>
      </c>
      <c r="J2" s="296"/>
      <c r="K2" s="296"/>
      <c r="L2" s="297"/>
      <c r="M2" s="295" t="s">
        <v>166</v>
      </c>
      <c r="N2" s="296"/>
      <c r="O2" s="296"/>
      <c r="P2" s="297"/>
      <c r="Q2" s="295" t="s">
        <v>167</v>
      </c>
      <c r="R2" s="296"/>
      <c r="S2" s="296"/>
      <c r="T2" s="297"/>
      <c r="U2" s="295" t="s">
        <v>168</v>
      </c>
      <c r="V2" s="296"/>
      <c r="W2" s="296"/>
      <c r="X2" s="297"/>
      <c r="Y2" s="295" t="s">
        <v>169</v>
      </c>
      <c r="Z2" s="296"/>
      <c r="AA2" s="296"/>
      <c r="AB2" s="297"/>
      <c r="AC2" s="307" t="s">
        <v>22</v>
      </c>
    </row>
    <row r="3" spans="1:29" x14ac:dyDescent="0.25">
      <c r="A3" s="314"/>
      <c r="B3" s="317"/>
      <c r="C3" s="319"/>
      <c r="D3" s="319"/>
      <c r="E3" s="339"/>
      <c r="F3" s="292"/>
      <c r="G3" s="294"/>
      <c r="H3" s="348"/>
      <c r="I3" s="292" t="s">
        <v>164</v>
      </c>
      <c r="J3" s="293"/>
      <c r="K3" s="323" t="s">
        <v>165</v>
      </c>
      <c r="L3" s="306"/>
      <c r="M3" s="292" t="s">
        <v>164</v>
      </c>
      <c r="N3" s="293"/>
      <c r="O3" s="323" t="s">
        <v>165</v>
      </c>
      <c r="P3" s="306"/>
      <c r="Q3" s="292" t="s">
        <v>164</v>
      </c>
      <c r="R3" s="293"/>
      <c r="S3" s="323" t="s">
        <v>165</v>
      </c>
      <c r="T3" s="306"/>
      <c r="U3" s="292" t="s">
        <v>164</v>
      </c>
      <c r="V3" s="293"/>
      <c r="W3" s="323" t="s">
        <v>165</v>
      </c>
      <c r="X3" s="306"/>
      <c r="Y3" s="292" t="s">
        <v>164</v>
      </c>
      <c r="Z3" s="293"/>
      <c r="AA3" s="323" t="s">
        <v>165</v>
      </c>
      <c r="AB3" s="306"/>
      <c r="AC3" s="307"/>
    </row>
    <row r="4" spans="1:29" ht="15.75" thickBot="1" x14ac:dyDescent="0.3">
      <c r="A4" s="315"/>
      <c r="B4" s="338"/>
      <c r="C4" s="320"/>
      <c r="D4" s="320"/>
      <c r="E4" s="340"/>
      <c r="F4" s="17" t="s">
        <v>23</v>
      </c>
      <c r="G4" s="18" t="s">
        <v>28</v>
      </c>
      <c r="H4" s="349"/>
      <c r="I4" s="17" t="s">
        <v>23</v>
      </c>
      <c r="J4" s="189" t="s">
        <v>179</v>
      </c>
      <c r="K4" s="183" t="s">
        <v>23</v>
      </c>
      <c r="L4" s="18" t="s">
        <v>179</v>
      </c>
      <c r="M4" s="17" t="s">
        <v>23</v>
      </c>
      <c r="N4" s="189" t="s">
        <v>179</v>
      </c>
      <c r="O4" s="183" t="s">
        <v>23</v>
      </c>
      <c r="P4" s="18" t="s">
        <v>179</v>
      </c>
      <c r="Q4" s="17" t="s">
        <v>23</v>
      </c>
      <c r="R4" s="189" t="s">
        <v>179</v>
      </c>
      <c r="S4" s="183" t="s">
        <v>23</v>
      </c>
      <c r="T4" s="18" t="s">
        <v>179</v>
      </c>
      <c r="U4" s="17" t="s">
        <v>23</v>
      </c>
      <c r="V4" s="189" t="s">
        <v>179</v>
      </c>
      <c r="W4" s="183" t="s">
        <v>23</v>
      </c>
      <c r="X4" s="18" t="s">
        <v>179</v>
      </c>
      <c r="Y4" s="17" t="s">
        <v>23</v>
      </c>
      <c r="Z4" s="189" t="s">
        <v>179</v>
      </c>
      <c r="AA4" s="183" t="s">
        <v>23</v>
      </c>
      <c r="AB4" s="18" t="s">
        <v>179</v>
      </c>
      <c r="AC4" s="308"/>
    </row>
    <row r="5" spans="1:29" x14ac:dyDescent="0.25">
      <c r="A5" s="343" t="s">
        <v>48</v>
      </c>
      <c r="B5" s="344"/>
      <c r="C5" s="344"/>
      <c r="D5" s="344"/>
      <c r="E5" s="345">
        <f>+E6</f>
        <v>40000</v>
      </c>
      <c r="F5" s="190">
        <f>+F6</f>
        <v>0</v>
      </c>
      <c r="G5" s="228">
        <f t="shared" ref="G5:AC5" si="0">+G6</f>
        <v>40000</v>
      </c>
      <c r="H5" s="235">
        <f t="shared" si="0"/>
        <v>40000</v>
      </c>
      <c r="I5" s="190">
        <f>+I6</f>
        <v>0</v>
      </c>
      <c r="J5" s="228">
        <f t="shared" si="0"/>
        <v>0</v>
      </c>
      <c r="K5" s="190">
        <f>+K6</f>
        <v>0</v>
      </c>
      <c r="L5" s="228">
        <f t="shared" si="0"/>
        <v>0</v>
      </c>
      <c r="M5" s="190">
        <f>+M6</f>
        <v>0</v>
      </c>
      <c r="N5" s="228">
        <f t="shared" si="0"/>
        <v>0</v>
      </c>
      <c r="O5" s="190">
        <f>+O6</f>
        <v>0</v>
      </c>
      <c r="P5" s="228">
        <f t="shared" si="0"/>
        <v>10000</v>
      </c>
      <c r="Q5" s="190">
        <f>+Q6</f>
        <v>0</v>
      </c>
      <c r="R5" s="228">
        <f t="shared" si="0"/>
        <v>0</v>
      </c>
      <c r="S5" s="190">
        <f>+S6</f>
        <v>0</v>
      </c>
      <c r="T5" s="228">
        <f t="shared" si="0"/>
        <v>10000</v>
      </c>
      <c r="U5" s="190">
        <f>+U6</f>
        <v>0</v>
      </c>
      <c r="V5" s="228">
        <f t="shared" si="0"/>
        <v>0</v>
      </c>
      <c r="W5" s="190">
        <f>+W6</f>
        <v>0</v>
      </c>
      <c r="X5" s="228">
        <f t="shared" si="0"/>
        <v>10000</v>
      </c>
      <c r="Y5" s="190">
        <f>+Y6</f>
        <v>0</v>
      </c>
      <c r="Z5" s="228">
        <f t="shared" si="0"/>
        <v>0</v>
      </c>
      <c r="AA5" s="190">
        <f>+AA6</f>
        <v>0</v>
      </c>
      <c r="AB5" s="228">
        <f t="shared" si="0"/>
        <v>10000</v>
      </c>
      <c r="AC5" s="228">
        <f t="shared" si="0"/>
        <v>40000</v>
      </c>
    </row>
    <row r="6" spans="1:29" x14ac:dyDescent="0.25">
      <c r="A6" s="115" t="s">
        <v>52</v>
      </c>
      <c r="B6" s="230" t="s">
        <v>26</v>
      </c>
      <c r="C6" s="6">
        <v>40000</v>
      </c>
      <c r="D6" s="4">
        <v>1</v>
      </c>
      <c r="E6" s="16">
        <f>+D6*C6</f>
        <v>40000</v>
      </c>
      <c r="F6" s="34">
        <v>0</v>
      </c>
      <c r="G6" s="8">
        <f>+E6</f>
        <v>40000</v>
      </c>
      <c r="H6" s="5">
        <f>SUM(F6:G6)</f>
        <v>40000</v>
      </c>
      <c r="I6" s="34">
        <v>0</v>
      </c>
      <c r="J6" s="8">
        <v>0</v>
      </c>
      <c r="K6" s="34">
        <v>0</v>
      </c>
      <c r="L6" s="8">
        <v>0</v>
      </c>
      <c r="M6" s="34">
        <v>0</v>
      </c>
      <c r="N6" s="8">
        <v>0</v>
      </c>
      <c r="O6" s="34">
        <v>0</v>
      </c>
      <c r="P6" s="8">
        <f>+G6/4</f>
        <v>10000</v>
      </c>
      <c r="Q6" s="34">
        <v>0</v>
      </c>
      <c r="R6" s="8">
        <v>0</v>
      </c>
      <c r="S6" s="34">
        <v>0</v>
      </c>
      <c r="T6" s="8">
        <f>+P6</f>
        <v>10000</v>
      </c>
      <c r="U6" s="34">
        <v>0</v>
      </c>
      <c r="V6" s="8">
        <v>0</v>
      </c>
      <c r="W6" s="34">
        <v>0</v>
      </c>
      <c r="X6" s="8">
        <f>+T6</f>
        <v>10000</v>
      </c>
      <c r="Y6" s="34">
        <v>0</v>
      </c>
      <c r="Z6" s="8">
        <v>0</v>
      </c>
      <c r="AA6" s="34">
        <v>0</v>
      </c>
      <c r="AB6" s="8">
        <f>+X6</f>
        <v>10000</v>
      </c>
      <c r="AC6" s="8">
        <f>SUM(I6:AB6)</f>
        <v>40000</v>
      </c>
    </row>
    <row r="7" spans="1:29" x14ac:dyDescent="0.25">
      <c r="A7" s="277" t="s">
        <v>53</v>
      </c>
      <c r="B7" s="278"/>
      <c r="C7" s="278"/>
      <c r="D7" s="278"/>
      <c r="E7" s="346">
        <f>+E8+E9</f>
        <v>80000</v>
      </c>
      <c r="F7" s="184">
        <f>+F8+F9</f>
        <v>80000</v>
      </c>
      <c r="G7" s="188">
        <f>+G8+G9</f>
        <v>17600</v>
      </c>
      <c r="H7" s="236">
        <f>+G7+F7</f>
        <v>97600</v>
      </c>
      <c r="I7" s="184">
        <f t="shared" ref="I7:AC7" si="1">+I8+I9</f>
        <v>0</v>
      </c>
      <c r="J7" s="188">
        <f t="shared" si="1"/>
        <v>0</v>
      </c>
      <c r="K7" s="184">
        <f t="shared" si="1"/>
        <v>0</v>
      </c>
      <c r="L7" s="188">
        <f t="shared" si="1"/>
        <v>0</v>
      </c>
      <c r="M7" s="184">
        <f t="shared" si="1"/>
        <v>0</v>
      </c>
      <c r="N7" s="188">
        <f t="shared" si="1"/>
        <v>0</v>
      </c>
      <c r="O7" s="184">
        <f t="shared" si="1"/>
        <v>0</v>
      </c>
      <c r="P7" s="188">
        <f t="shared" si="1"/>
        <v>0</v>
      </c>
      <c r="Q7" s="184">
        <f t="shared" si="1"/>
        <v>0</v>
      </c>
      <c r="R7" s="188">
        <f t="shared" si="1"/>
        <v>0</v>
      </c>
      <c r="S7" s="184">
        <f t="shared" si="1"/>
        <v>40000</v>
      </c>
      <c r="T7" s="188">
        <f t="shared" si="1"/>
        <v>8800</v>
      </c>
      <c r="U7" s="184">
        <f t="shared" si="1"/>
        <v>0</v>
      </c>
      <c r="V7" s="188">
        <f t="shared" si="1"/>
        <v>0</v>
      </c>
      <c r="W7" s="184">
        <f t="shared" si="1"/>
        <v>0</v>
      </c>
      <c r="X7" s="188">
        <f t="shared" si="1"/>
        <v>0</v>
      </c>
      <c r="Y7" s="184">
        <f t="shared" si="1"/>
        <v>8000</v>
      </c>
      <c r="Z7" s="188">
        <f t="shared" si="1"/>
        <v>8800</v>
      </c>
      <c r="AA7" s="184">
        <f t="shared" si="1"/>
        <v>32000</v>
      </c>
      <c r="AB7" s="188">
        <f t="shared" si="1"/>
        <v>0</v>
      </c>
      <c r="AC7" s="188">
        <f t="shared" si="1"/>
        <v>97600</v>
      </c>
    </row>
    <row r="8" spans="1:29" x14ac:dyDescent="0.25">
      <c r="A8" s="232" t="s">
        <v>50</v>
      </c>
      <c r="B8" s="33" t="s">
        <v>26</v>
      </c>
      <c r="C8" s="6">
        <v>40000</v>
      </c>
      <c r="D8" s="6">
        <v>1</v>
      </c>
      <c r="E8" s="8">
        <f>+D8*C8</f>
        <v>40000</v>
      </c>
      <c r="F8" s="34">
        <f>+E8</f>
        <v>40000</v>
      </c>
      <c r="G8" s="16">
        <f>+F8*0.22</f>
        <v>8800</v>
      </c>
      <c r="H8" s="7">
        <f>SUM(F8:G8)</f>
        <v>48800</v>
      </c>
      <c r="I8" s="34">
        <v>0</v>
      </c>
      <c r="J8" s="16">
        <v>0</v>
      </c>
      <c r="K8" s="34">
        <v>0</v>
      </c>
      <c r="L8" s="16">
        <v>0</v>
      </c>
      <c r="M8" s="34">
        <v>0</v>
      </c>
      <c r="N8" s="16">
        <v>0</v>
      </c>
      <c r="O8" s="34">
        <v>0</v>
      </c>
      <c r="P8" s="16">
        <v>0</v>
      </c>
      <c r="Q8" s="34">
        <v>0</v>
      </c>
      <c r="R8" s="16">
        <v>0</v>
      </c>
      <c r="S8" s="34">
        <f>+F8</f>
        <v>40000</v>
      </c>
      <c r="T8" s="16">
        <f>+G8</f>
        <v>8800</v>
      </c>
      <c r="U8" s="34">
        <v>0</v>
      </c>
      <c r="V8" s="16">
        <v>0</v>
      </c>
      <c r="W8" s="34">
        <v>0</v>
      </c>
      <c r="X8" s="16">
        <v>0</v>
      </c>
      <c r="Y8" s="34">
        <f>+X8</f>
        <v>0</v>
      </c>
      <c r="Z8" s="16">
        <v>0</v>
      </c>
      <c r="AA8" s="34">
        <f>+Z8</f>
        <v>0</v>
      </c>
      <c r="AB8" s="16">
        <v>0</v>
      </c>
      <c r="AC8" s="8">
        <f>SUM(I8:AB8)</f>
        <v>48800</v>
      </c>
    </row>
    <row r="9" spans="1:29" ht="15.75" thickBot="1" x14ac:dyDescent="0.3">
      <c r="A9" s="233" t="s">
        <v>51</v>
      </c>
      <c r="B9" s="234" t="s">
        <v>26</v>
      </c>
      <c r="C9" s="21">
        <v>40000</v>
      </c>
      <c r="D9" s="21">
        <v>1</v>
      </c>
      <c r="E9" s="22">
        <f>+D9*C9</f>
        <v>40000</v>
      </c>
      <c r="F9" s="246">
        <f>+E9</f>
        <v>40000</v>
      </c>
      <c r="G9" s="237">
        <f>+F9*0.22</f>
        <v>8800</v>
      </c>
      <c r="H9" s="19">
        <f t="shared" ref="H9" si="2">SUM(F9:G9)</f>
        <v>48800</v>
      </c>
      <c r="I9" s="240">
        <v>0</v>
      </c>
      <c r="J9" s="241">
        <v>0</v>
      </c>
      <c r="K9" s="246">
        <v>0</v>
      </c>
      <c r="L9" s="237">
        <v>0</v>
      </c>
      <c r="M9" s="246">
        <v>0</v>
      </c>
      <c r="N9" s="237">
        <v>0</v>
      </c>
      <c r="O9" s="246">
        <v>0</v>
      </c>
      <c r="P9" s="237">
        <v>0</v>
      </c>
      <c r="Q9" s="246">
        <v>0</v>
      </c>
      <c r="R9" s="237">
        <v>0</v>
      </c>
      <c r="S9" s="246">
        <v>0</v>
      </c>
      <c r="T9" s="237">
        <v>0</v>
      </c>
      <c r="U9" s="246">
        <v>0</v>
      </c>
      <c r="V9" s="237">
        <v>0</v>
      </c>
      <c r="W9" s="246">
        <v>0</v>
      </c>
      <c r="X9" s="237">
        <v>0</v>
      </c>
      <c r="Y9" s="246">
        <f>+F9*0.2</f>
        <v>8000</v>
      </c>
      <c r="Z9" s="237">
        <f>+G9</f>
        <v>8800</v>
      </c>
      <c r="AA9" s="246">
        <f>+F9*0.8</f>
        <v>32000</v>
      </c>
      <c r="AB9" s="237">
        <v>0</v>
      </c>
      <c r="AC9" s="8">
        <f>SUM(I9:AB9)</f>
        <v>48800</v>
      </c>
    </row>
    <row r="10" spans="1:29" ht="15.75" thickBot="1" x14ac:dyDescent="0.3">
      <c r="A10" s="350" t="s">
        <v>27</v>
      </c>
      <c r="B10" s="351"/>
      <c r="C10" s="351"/>
      <c r="D10" s="352"/>
      <c r="E10" s="20">
        <f>+E7+E5</f>
        <v>120000</v>
      </c>
      <c r="F10" s="15">
        <f t="shared" ref="F10:H10" si="3">+F7+F5</f>
        <v>80000</v>
      </c>
      <c r="G10" s="15">
        <f t="shared" si="3"/>
        <v>57600</v>
      </c>
      <c r="H10" s="239">
        <f t="shared" si="3"/>
        <v>137600</v>
      </c>
      <c r="I10" s="161">
        <f t="shared" ref="I10:J10" si="4">+I7+I5</f>
        <v>0</v>
      </c>
      <c r="J10" s="57">
        <f t="shared" si="4"/>
        <v>0</v>
      </c>
      <c r="K10" s="161">
        <f t="shared" ref="K10:AB10" si="5">+K7+K5</f>
        <v>0</v>
      </c>
      <c r="L10" s="57">
        <f t="shared" si="5"/>
        <v>0</v>
      </c>
      <c r="M10" s="161">
        <f t="shared" si="5"/>
        <v>0</v>
      </c>
      <c r="N10" s="57">
        <f t="shared" si="5"/>
        <v>0</v>
      </c>
      <c r="O10" s="161">
        <f t="shared" si="5"/>
        <v>0</v>
      </c>
      <c r="P10" s="57">
        <f t="shared" si="5"/>
        <v>10000</v>
      </c>
      <c r="Q10" s="161">
        <f t="shared" si="5"/>
        <v>0</v>
      </c>
      <c r="R10" s="57">
        <f t="shared" si="5"/>
        <v>0</v>
      </c>
      <c r="S10" s="161">
        <f t="shared" si="5"/>
        <v>40000</v>
      </c>
      <c r="T10" s="57">
        <f t="shared" si="5"/>
        <v>18800</v>
      </c>
      <c r="U10" s="161">
        <f t="shared" si="5"/>
        <v>0</v>
      </c>
      <c r="V10" s="57">
        <f t="shared" si="5"/>
        <v>0</v>
      </c>
      <c r="W10" s="161">
        <f t="shared" si="5"/>
        <v>0</v>
      </c>
      <c r="X10" s="57">
        <f t="shared" si="5"/>
        <v>10000</v>
      </c>
      <c r="Y10" s="161">
        <f t="shared" si="5"/>
        <v>8000</v>
      </c>
      <c r="Z10" s="57">
        <f t="shared" si="5"/>
        <v>8800</v>
      </c>
      <c r="AA10" s="161">
        <f t="shared" si="5"/>
        <v>32000</v>
      </c>
      <c r="AB10" s="57">
        <f t="shared" si="5"/>
        <v>10000</v>
      </c>
      <c r="AC10" s="15">
        <f t="shared" ref="AC10" si="6">+AC7+AC5</f>
        <v>137600</v>
      </c>
    </row>
    <row r="11" spans="1:29" ht="15.75" thickBot="1" x14ac:dyDescent="0.3">
      <c r="F11" s="247">
        <f>+F10/$H$10</f>
        <v>0.58139534883720934</v>
      </c>
      <c r="G11" s="164">
        <f>+G10/$H$10</f>
        <v>0.41860465116279072</v>
      </c>
      <c r="H11" s="248">
        <f>SUM(F11:G11)</f>
        <v>1</v>
      </c>
      <c r="I11" s="162">
        <f>+I10/$F$10</f>
        <v>0</v>
      </c>
      <c r="J11" s="163">
        <f>+J10/$G$10</f>
        <v>0</v>
      </c>
      <c r="K11" s="162">
        <f>+K10/$F$10</f>
        <v>0</v>
      </c>
      <c r="L11" s="163">
        <f>+L10/$G$10</f>
        <v>0</v>
      </c>
      <c r="M11" s="162">
        <f>+M10/$F$10</f>
        <v>0</v>
      </c>
      <c r="N11" s="163">
        <f>+N10/$G$10</f>
        <v>0</v>
      </c>
      <c r="O11" s="162">
        <f>+O10/$F$10</f>
        <v>0</v>
      </c>
      <c r="P11" s="163">
        <f>+P10/$G$10</f>
        <v>0.1736111111111111</v>
      </c>
      <c r="Q11" s="162">
        <f>+Q10/$F$10</f>
        <v>0</v>
      </c>
      <c r="R11" s="163">
        <f>+R10/$G$10</f>
        <v>0</v>
      </c>
      <c r="S11" s="162">
        <f>+S10/$F$10</f>
        <v>0.5</v>
      </c>
      <c r="T11" s="163">
        <f>+T10/$G$10</f>
        <v>0.3263888888888889</v>
      </c>
      <c r="U11" s="162">
        <f>+U10/$F$10</f>
        <v>0</v>
      </c>
      <c r="V11" s="163">
        <f>+V10/$G$10</f>
        <v>0</v>
      </c>
      <c r="W11" s="162">
        <f>+W10/$F$10</f>
        <v>0</v>
      </c>
      <c r="X11" s="163">
        <f>+X10/$G$10</f>
        <v>0.1736111111111111</v>
      </c>
      <c r="Y11" s="162">
        <f>+Y10/$F$10</f>
        <v>0.1</v>
      </c>
      <c r="Z11" s="163">
        <f>+Z10/$G$10</f>
        <v>0.15277777777777779</v>
      </c>
      <c r="AA11" s="162">
        <f>+AA10/$F$10</f>
        <v>0.4</v>
      </c>
      <c r="AB11" s="163">
        <f>+AB10/$G$10</f>
        <v>0.1736111111111111</v>
      </c>
      <c r="AC11" s="12">
        <f>+AC10/H10</f>
        <v>1</v>
      </c>
    </row>
    <row r="12" spans="1:29" ht="15.75" thickBot="1" x14ac:dyDescent="0.3">
      <c r="B12" s="40"/>
      <c r="I12"/>
      <c r="J12"/>
      <c r="K12"/>
      <c r="L12"/>
      <c r="M12"/>
      <c r="N12"/>
      <c r="O12"/>
      <c r="P12"/>
      <c r="Q12"/>
      <c r="R12"/>
      <c r="S12"/>
      <c r="T12"/>
      <c r="U12"/>
      <c r="V12"/>
      <c r="W12"/>
      <c r="X12"/>
      <c r="Y12"/>
      <c r="Z12"/>
      <c r="AA12"/>
      <c r="AB12"/>
      <c r="AC12"/>
    </row>
    <row r="13" spans="1:29" ht="15.75" thickBot="1" x14ac:dyDescent="0.3">
      <c r="B13" s="58"/>
      <c r="G13" s="109"/>
      <c r="H13" s="109"/>
      <c r="I13" s="169" t="s">
        <v>23</v>
      </c>
      <c r="J13" s="170">
        <f>+I11+K11</f>
        <v>0</v>
      </c>
      <c r="K13" s="171" t="s">
        <v>179</v>
      </c>
      <c r="L13" s="172">
        <f>+L11+J11</f>
        <v>0</v>
      </c>
      <c r="M13" s="173" t="s">
        <v>23</v>
      </c>
      <c r="N13" s="174">
        <f>+M11+O11</f>
        <v>0</v>
      </c>
      <c r="O13" s="171" t="s">
        <v>179</v>
      </c>
      <c r="P13" s="175">
        <f>+P11+N11</f>
        <v>0.1736111111111111</v>
      </c>
      <c r="Q13" s="169" t="s">
        <v>23</v>
      </c>
      <c r="R13" s="174">
        <f>+Q11+S11</f>
        <v>0.5</v>
      </c>
      <c r="S13" s="171" t="s">
        <v>179</v>
      </c>
      <c r="T13" s="172">
        <f>+T11+R11</f>
        <v>0.3263888888888889</v>
      </c>
      <c r="U13" s="173" t="s">
        <v>23</v>
      </c>
      <c r="V13" s="174">
        <f>+U11+W11</f>
        <v>0</v>
      </c>
      <c r="W13" s="171" t="s">
        <v>179</v>
      </c>
      <c r="X13" s="175">
        <f>+X11+V11</f>
        <v>0.1736111111111111</v>
      </c>
      <c r="Y13" s="169" t="s">
        <v>23</v>
      </c>
      <c r="Z13" s="174">
        <f>+Y11+AA11</f>
        <v>0.5</v>
      </c>
      <c r="AA13" s="171" t="s">
        <v>179</v>
      </c>
      <c r="AB13" s="172">
        <f>+AB11+Z11</f>
        <v>0.3263888888888889</v>
      </c>
      <c r="AC13"/>
    </row>
    <row r="14" spans="1:29" x14ac:dyDescent="0.25">
      <c r="B14" s="58"/>
      <c r="F14" s="13"/>
      <c r="G14" s="283" t="s">
        <v>180</v>
      </c>
      <c r="H14" s="284"/>
      <c r="I14" s="176" t="s">
        <v>23</v>
      </c>
      <c r="J14" s="177" t="s">
        <v>181</v>
      </c>
      <c r="K14" s="165"/>
      <c r="L14" s="165"/>
      <c r="M14" s="176" t="s">
        <v>23</v>
      </c>
      <c r="N14" s="177" t="s">
        <v>181</v>
      </c>
      <c r="O14" s="165"/>
      <c r="P14" s="165"/>
      <c r="Q14" s="176" t="s">
        <v>23</v>
      </c>
      <c r="R14" s="177" t="s">
        <v>181</v>
      </c>
      <c r="S14" s="165"/>
      <c r="T14" s="165"/>
      <c r="U14" s="176" t="s">
        <v>23</v>
      </c>
      <c r="V14" s="177" t="s">
        <v>181</v>
      </c>
      <c r="W14" s="165"/>
      <c r="X14" s="165"/>
      <c r="Y14" s="176" t="s">
        <v>23</v>
      </c>
      <c r="Z14" s="177" t="s">
        <v>181</v>
      </c>
      <c r="AA14" s="165"/>
      <c r="AB14" s="165"/>
      <c r="AC14"/>
    </row>
    <row r="15" spans="1:29" ht="15.75" thickBot="1" x14ac:dyDescent="0.3">
      <c r="B15" s="58"/>
      <c r="G15" s="285"/>
      <c r="H15" s="286"/>
      <c r="I15" s="178">
        <f>+I10+K10</f>
        <v>0</v>
      </c>
      <c r="J15" s="179">
        <f>+J10+L10</f>
        <v>0</v>
      </c>
      <c r="K15" s="166"/>
      <c r="L15" s="166"/>
      <c r="M15" s="178">
        <f>+M10+O10</f>
        <v>0</v>
      </c>
      <c r="N15" s="179">
        <f>+N10+P10</f>
        <v>10000</v>
      </c>
      <c r="O15" s="166"/>
      <c r="P15" s="166"/>
      <c r="Q15" s="178">
        <f>+Q10+S10</f>
        <v>40000</v>
      </c>
      <c r="R15" s="179">
        <f>+R10+T10</f>
        <v>18800</v>
      </c>
      <c r="S15" s="166"/>
      <c r="T15" s="166"/>
      <c r="U15" s="178">
        <f>+U10+W10</f>
        <v>0</v>
      </c>
      <c r="V15" s="179">
        <f>+V10+X10</f>
        <v>10000</v>
      </c>
      <c r="W15" s="166"/>
      <c r="X15" s="166"/>
      <c r="Y15" s="178">
        <f>+Y10+AA10</f>
        <v>40000</v>
      </c>
      <c r="Z15" s="179">
        <f>+Z10+AB10</f>
        <v>18800</v>
      </c>
      <c r="AA15" s="166"/>
      <c r="AB15" s="166"/>
      <c r="AC15"/>
    </row>
    <row r="16" spans="1:29" x14ac:dyDescent="0.25">
      <c r="B16" s="40"/>
      <c r="I16"/>
      <c r="J16"/>
      <c r="K16"/>
      <c r="L16"/>
      <c r="M16"/>
      <c r="N16"/>
      <c r="O16"/>
      <c r="P16"/>
      <c r="Q16"/>
      <c r="R16"/>
      <c r="S16"/>
      <c r="T16"/>
      <c r="U16"/>
      <c r="V16"/>
      <c r="W16"/>
      <c r="X16"/>
      <c r="Y16"/>
      <c r="Z16"/>
      <c r="AA16"/>
      <c r="AB16"/>
      <c r="AC16"/>
    </row>
  </sheetData>
  <mergeCells count="27">
    <mergeCell ref="K3:L3"/>
    <mergeCell ref="E2:E4"/>
    <mergeCell ref="F2:G3"/>
    <mergeCell ref="H2:H4"/>
    <mergeCell ref="A10:D10"/>
    <mergeCell ref="A2:A4"/>
    <mergeCell ref="B2:B4"/>
    <mergeCell ref="C2:C4"/>
    <mergeCell ref="D2:D4"/>
    <mergeCell ref="A5:E5"/>
    <mergeCell ref="A7:E7"/>
    <mergeCell ref="AC2:AC4"/>
    <mergeCell ref="G14:H15"/>
    <mergeCell ref="U2:X2"/>
    <mergeCell ref="U3:V3"/>
    <mergeCell ref="W3:X3"/>
    <mergeCell ref="Y2:AB2"/>
    <mergeCell ref="Y3:Z3"/>
    <mergeCell ref="AA3:AB3"/>
    <mergeCell ref="M2:P2"/>
    <mergeCell ref="M3:N3"/>
    <mergeCell ref="O3:P3"/>
    <mergeCell ref="Q2:T2"/>
    <mergeCell ref="Q3:R3"/>
    <mergeCell ref="S3:T3"/>
    <mergeCell ref="I2:L2"/>
    <mergeCell ref="I3:J3"/>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72"/>
  <sheetViews>
    <sheetView zoomScaleNormal="100" zoomScalePageLayoutView="140" workbookViewId="0">
      <selection activeCell="A19" sqref="A19"/>
    </sheetView>
  </sheetViews>
  <sheetFormatPr defaultColWidth="11.42578125" defaultRowHeight="15" x14ac:dyDescent="0.25"/>
  <cols>
    <col min="1" max="1" width="112.28515625" style="9" customWidth="1"/>
    <col min="2" max="2" width="10" style="58" bestFit="1" customWidth="1"/>
    <col min="3" max="3" width="12" style="10" bestFit="1" customWidth="1"/>
    <col min="4" max="4" width="10.42578125" style="10" customWidth="1"/>
    <col min="5" max="5" width="13.85546875" style="10" customWidth="1"/>
    <col min="6" max="8" width="13.140625" style="10" bestFit="1" customWidth="1"/>
  </cols>
  <sheetData>
    <row r="1" spans="1:13" x14ac:dyDescent="0.25">
      <c r="A1" s="313" t="s">
        <v>41</v>
      </c>
      <c r="B1" s="316" t="s">
        <v>3</v>
      </c>
      <c r="C1" s="303" t="s">
        <v>19</v>
      </c>
      <c r="D1" s="303" t="s">
        <v>40</v>
      </c>
      <c r="E1" s="297" t="s">
        <v>20</v>
      </c>
      <c r="F1" s="295" t="s">
        <v>21</v>
      </c>
      <c r="G1" s="297"/>
      <c r="H1" s="347" t="s">
        <v>22</v>
      </c>
    </row>
    <row r="2" spans="1:13" x14ac:dyDescent="0.25">
      <c r="A2" s="314"/>
      <c r="B2" s="317"/>
      <c r="C2" s="319"/>
      <c r="D2" s="319"/>
      <c r="E2" s="321"/>
      <c r="F2" s="292"/>
      <c r="G2" s="294"/>
      <c r="H2" s="348"/>
    </row>
    <row r="3" spans="1:13" ht="15.75" thickBot="1" x14ac:dyDescent="0.3">
      <c r="A3" s="315"/>
      <c r="B3" s="318"/>
      <c r="C3" s="320"/>
      <c r="D3" s="320"/>
      <c r="E3" s="322"/>
      <c r="F3" s="17" t="s">
        <v>23</v>
      </c>
      <c r="G3" s="18" t="s">
        <v>28</v>
      </c>
      <c r="H3" s="349"/>
    </row>
    <row r="4" spans="1:13" ht="26.25" customHeight="1" thickBot="1" x14ac:dyDescent="0.3">
      <c r="A4" s="309" t="s">
        <v>59</v>
      </c>
      <c r="B4" s="310"/>
      <c r="C4" s="310"/>
      <c r="D4" s="310"/>
      <c r="E4" s="310"/>
      <c r="F4" s="85">
        <f>SUM(F5:F29)</f>
        <v>2676000</v>
      </c>
      <c r="G4" s="86">
        <f>SUM(G5:G29)</f>
        <v>0</v>
      </c>
      <c r="H4" s="24">
        <f>G4+F4</f>
        <v>2676000</v>
      </c>
    </row>
    <row r="5" spans="1:13" s="26" customFormat="1" ht="28.5" customHeight="1" x14ac:dyDescent="0.25">
      <c r="A5" s="55" t="s">
        <v>60</v>
      </c>
      <c r="B5" s="61"/>
      <c r="C5" s="50"/>
      <c r="D5" s="50"/>
      <c r="E5" s="64">
        <f>+E6+E8+E11+E13+E15</f>
        <v>445000</v>
      </c>
      <c r="F5" s="84">
        <f t="shared" ref="F5:G5" si="0">+F6+F8+F11+F13+F15</f>
        <v>445000</v>
      </c>
      <c r="G5" s="56">
        <f t="shared" si="0"/>
        <v>0</v>
      </c>
      <c r="H5" s="80">
        <f t="shared" ref="H5:H17" si="1">+G5+F5</f>
        <v>445000</v>
      </c>
      <c r="J5" s="27"/>
      <c r="K5" s="27"/>
      <c r="L5" s="27"/>
      <c r="M5" s="27"/>
    </row>
    <row r="6" spans="1:13" s="41" customFormat="1" x14ac:dyDescent="0.25">
      <c r="A6" s="52" t="s">
        <v>61</v>
      </c>
      <c r="B6" s="60"/>
      <c r="C6" s="45"/>
      <c r="D6" s="45"/>
      <c r="E6" s="62">
        <f>+E7</f>
        <v>15000</v>
      </c>
      <c r="F6" s="68">
        <f>+F7</f>
        <v>15000</v>
      </c>
      <c r="G6" s="46">
        <f>+G7</f>
        <v>0</v>
      </c>
      <c r="H6" s="81">
        <f t="shared" si="1"/>
        <v>15000</v>
      </c>
      <c r="J6" s="42"/>
      <c r="K6" s="42"/>
      <c r="L6" s="42"/>
      <c r="M6" s="42"/>
    </row>
    <row r="7" spans="1:13" s="44" customFormat="1" ht="15.75" customHeight="1" x14ac:dyDescent="0.25">
      <c r="A7" s="53" t="s">
        <v>62</v>
      </c>
      <c r="B7" s="59" t="s">
        <v>58</v>
      </c>
      <c r="C7" s="43">
        <v>15000</v>
      </c>
      <c r="D7" s="43">
        <v>1</v>
      </c>
      <c r="E7" s="65">
        <f>+D7*C7</f>
        <v>15000</v>
      </c>
      <c r="F7" s="69">
        <f>+E7</f>
        <v>15000</v>
      </c>
      <c r="G7" s="70">
        <v>0</v>
      </c>
      <c r="H7" s="63">
        <f t="shared" si="1"/>
        <v>15000</v>
      </c>
      <c r="J7" s="38"/>
      <c r="K7" s="38"/>
      <c r="L7" s="38"/>
      <c r="M7" s="38"/>
    </row>
    <row r="8" spans="1:13" s="41" customFormat="1" x14ac:dyDescent="0.25">
      <c r="A8" s="52" t="s">
        <v>63</v>
      </c>
      <c r="B8" s="60"/>
      <c r="C8" s="45"/>
      <c r="D8" s="45"/>
      <c r="E8" s="62">
        <f>SUM(E9:E10)</f>
        <v>40000</v>
      </c>
      <c r="F8" s="68">
        <f t="shared" ref="F8:G8" si="2">SUM(F9:F10)</f>
        <v>40000</v>
      </c>
      <c r="G8" s="46">
        <f t="shared" si="2"/>
        <v>0</v>
      </c>
      <c r="H8" s="81">
        <f t="shared" si="1"/>
        <v>40000</v>
      </c>
      <c r="J8" s="42"/>
      <c r="K8" s="42"/>
      <c r="L8" s="42"/>
      <c r="M8" s="42"/>
    </row>
    <row r="9" spans="1:13" s="44" customFormat="1" ht="15.75" customHeight="1" x14ac:dyDescent="0.25">
      <c r="A9" s="53" t="s">
        <v>64</v>
      </c>
      <c r="B9" s="59" t="s">
        <v>58</v>
      </c>
      <c r="C9" s="43">
        <v>20000</v>
      </c>
      <c r="D9" s="43">
        <v>1</v>
      </c>
      <c r="E9" s="65">
        <f>+D9*C9</f>
        <v>20000</v>
      </c>
      <c r="F9" s="69">
        <f>+E9</f>
        <v>20000</v>
      </c>
      <c r="G9" s="70">
        <v>0</v>
      </c>
      <c r="H9" s="63">
        <f t="shared" si="1"/>
        <v>20000</v>
      </c>
      <c r="J9" s="38"/>
      <c r="K9" s="38"/>
      <c r="L9" s="38"/>
      <c r="M9" s="38"/>
    </row>
    <row r="10" spans="1:13" s="44" customFormat="1" ht="15.75" customHeight="1" x14ac:dyDescent="0.25">
      <c r="A10" s="53" t="s">
        <v>65</v>
      </c>
      <c r="B10" s="59" t="s">
        <v>58</v>
      </c>
      <c r="C10" s="43">
        <v>20000</v>
      </c>
      <c r="D10" s="43">
        <v>1</v>
      </c>
      <c r="E10" s="65">
        <f>+D10*C10</f>
        <v>20000</v>
      </c>
      <c r="F10" s="69">
        <f>+E10</f>
        <v>20000</v>
      </c>
      <c r="G10" s="70">
        <v>0</v>
      </c>
      <c r="H10" s="63">
        <f t="shared" si="1"/>
        <v>20000</v>
      </c>
      <c r="J10" s="38"/>
      <c r="K10" s="38"/>
      <c r="L10" s="38"/>
      <c r="M10" s="38"/>
    </row>
    <row r="11" spans="1:13" s="41" customFormat="1" x14ac:dyDescent="0.25">
      <c r="A11" s="52" t="s">
        <v>66</v>
      </c>
      <c r="B11" s="60"/>
      <c r="C11" s="45"/>
      <c r="D11" s="45"/>
      <c r="E11" s="62">
        <f>SUM(E12:E12)</f>
        <v>60000</v>
      </c>
      <c r="F11" s="68">
        <f>+F12</f>
        <v>60000</v>
      </c>
      <c r="G11" s="46">
        <f>+G12</f>
        <v>0</v>
      </c>
      <c r="H11" s="81">
        <f t="shared" si="1"/>
        <v>60000</v>
      </c>
      <c r="J11" s="42"/>
      <c r="K11" s="42"/>
      <c r="L11" s="42"/>
      <c r="M11" s="42"/>
    </row>
    <row r="12" spans="1:13" s="29" customFormat="1" x14ac:dyDescent="0.25">
      <c r="A12" s="54" t="s">
        <v>67</v>
      </c>
      <c r="B12" s="59" t="s">
        <v>58</v>
      </c>
      <c r="C12" s="28">
        <v>60000</v>
      </c>
      <c r="D12" s="28">
        <v>1</v>
      </c>
      <c r="E12" s="65">
        <f>+D12*C12</f>
        <v>60000</v>
      </c>
      <c r="F12" s="69">
        <f>+E12</f>
        <v>60000</v>
      </c>
      <c r="G12" s="70">
        <v>0</v>
      </c>
      <c r="H12" s="63">
        <f t="shared" si="1"/>
        <v>60000</v>
      </c>
      <c r="J12" s="30"/>
      <c r="K12" s="30"/>
      <c r="L12" s="30"/>
      <c r="M12" s="30"/>
    </row>
    <row r="13" spans="1:13" s="41" customFormat="1" x14ac:dyDescent="0.25">
      <c r="A13" s="52" t="s">
        <v>68</v>
      </c>
      <c r="B13" s="60"/>
      <c r="C13" s="45"/>
      <c r="D13" s="45"/>
      <c r="E13" s="62">
        <f>SUM(E14:E14)</f>
        <v>100000</v>
      </c>
      <c r="F13" s="68">
        <f>+F14</f>
        <v>100000</v>
      </c>
      <c r="G13" s="46">
        <f>+G14</f>
        <v>0</v>
      </c>
      <c r="H13" s="81">
        <f t="shared" si="1"/>
        <v>100000</v>
      </c>
      <c r="J13" s="42"/>
      <c r="K13" s="42"/>
      <c r="L13" s="42"/>
      <c r="M13" s="42"/>
    </row>
    <row r="14" spans="1:13" s="29" customFormat="1" ht="22.5" x14ac:dyDescent="0.25">
      <c r="A14" s="54" t="s">
        <v>69</v>
      </c>
      <c r="B14" s="59" t="s">
        <v>58</v>
      </c>
      <c r="C14" s="28">
        <v>100000</v>
      </c>
      <c r="D14" s="28">
        <v>1</v>
      </c>
      <c r="E14" s="65">
        <f t="shared" ref="E14" si="3">+D14*C14</f>
        <v>100000</v>
      </c>
      <c r="F14" s="69">
        <f>+E14</f>
        <v>100000</v>
      </c>
      <c r="G14" s="70">
        <v>0</v>
      </c>
      <c r="H14" s="63">
        <f t="shared" si="1"/>
        <v>100000</v>
      </c>
      <c r="J14" s="30"/>
      <c r="K14" s="30"/>
      <c r="L14" s="30"/>
      <c r="M14" s="30"/>
    </row>
    <row r="15" spans="1:13" s="41" customFormat="1" x14ac:dyDescent="0.25">
      <c r="A15" s="52" t="s">
        <v>70</v>
      </c>
      <c r="B15" s="60"/>
      <c r="C15" s="45"/>
      <c r="D15" s="45"/>
      <c r="E15" s="62">
        <f>+E16+E17</f>
        <v>230000</v>
      </c>
      <c r="F15" s="68">
        <f>+F16+F17</f>
        <v>230000</v>
      </c>
      <c r="G15" s="46">
        <f>+G16+G17</f>
        <v>0</v>
      </c>
      <c r="H15" s="81">
        <f t="shared" si="1"/>
        <v>230000</v>
      </c>
      <c r="J15" s="42"/>
      <c r="K15" s="42"/>
      <c r="L15" s="42"/>
      <c r="M15" s="42"/>
    </row>
    <row r="16" spans="1:13" s="48" customFormat="1" x14ac:dyDescent="0.25">
      <c r="A16" s="54" t="s">
        <v>71</v>
      </c>
      <c r="B16" s="59" t="s">
        <v>58</v>
      </c>
      <c r="C16" s="47">
        <v>150000</v>
      </c>
      <c r="D16" s="47">
        <v>1</v>
      </c>
      <c r="E16" s="65">
        <f>+D16*C16</f>
        <v>150000</v>
      </c>
      <c r="F16" s="69">
        <v>150000</v>
      </c>
      <c r="G16" s="70">
        <v>0</v>
      </c>
      <c r="H16" s="63">
        <f t="shared" si="1"/>
        <v>150000</v>
      </c>
      <c r="J16" s="49"/>
      <c r="K16" s="49"/>
      <c r="L16" s="49"/>
      <c r="M16" s="49"/>
    </row>
    <row r="17" spans="1:13" s="48" customFormat="1" ht="22.5" x14ac:dyDescent="0.25">
      <c r="A17" s="54" t="s">
        <v>72</v>
      </c>
      <c r="B17" s="59" t="s">
        <v>58</v>
      </c>
      <c r="C17" s="47">
        <v>80000</v>
      </c>
      <c r="D17" s="47">
        <v>1</v>
      </c>
      <c r="E17" s="65">
        <f>+D17*C17</f>
        <v>80000</v>
      </c>
      <c r="F17" s="69">
        <f>+E17</f>
        <v>80000</v>
      </c>
      <c r="G17" s="70">
        <v>0</v>
      </c>
      <c r="H17" s="63">
        <f t="shared" si="1"/>
        <v>80000</v>
      </c>
      <c r="J17" s="49"/>
      <c r="K17" s="49"/>
      <c r="L17" s="49"/>
      <c r="M17" s="49"/>
    </row>
    <row r="18" spans="1:13" s="26" customFormat="1" ht="28.5" customHeight="1" x14ac:dyDescent="0.25">
      <c r="A18" s="55" t="s">
        <v>73</v>
      </c>
      <c r="B18" s="61"/>
      <c r="C18" s="50"/>
      <c r="D18" s="50"/>
      <c r="E18" s="64">
        <f>+E19+E21+E23+E25+E27</f>
        <v>447000</v>
      </c>
      <c r="F18" s="67">
        <f t="shared" ref="F18:G18" si="4">+F19+F21+F23+F25+F27</f>
        <v>447000</v>
      </c>
      <c r="G18" s="51">
        <f t="shared" si="4"/>
        <v>0</v>
      </c>
      <c r="H18" s="80">
        <f>SUM(F18:G18)</f>
        <v>447000</v>
      </c>
      <c r="J18" s="27"/>
      <c r="K18" s="27"/>
      <c r="L18" s="27"/>
      <c r="M18" s="27"/>
    </row>
    <row r="19" spans="1:13" s="41" customFormat="1" ht="22.5" x14ac:dyDescent="0.25">
      <c r="A19" s="52" t="s">
        <v>82</v>
      </c>
      <c r="B19" s="60"/>
      <c r="C19" s="45"/>
      <c r="D19" s="45"/>
      <c r="E19" s="62">
        <f>SUM(E20:E20)</f>
        <v>36000</v>
      </c>
      <c r="F19" s="68">
        <f>+F20</f>
        <v>36000</v>
      </c>
      <c r="G19" s="46">
        <f>+G20</f>
        <v>0</v>
      </c>
      <c r="H19" s="81">
        <f t="shared" ref="H19:H29" si="5">+G19+F19</f>
        <v>36000</v>
      </c>
      <c r="J19" s="42"/>
      <c r="K19" s="42"/>
      <c r="L19" s="42"/>
      <c r="M19" s="42"/>
    </row>
    <row r="20" spans="1:13" s="29" customFormat="1" ht="22.5" x14ac:dyDescent="0.25">
      <c r="A20" s="54" t="s">
        <v>74</v>
      </c>
      <c r="B20" s="59" t="s">
        <v>44</v>
      </c>
      <c r="C20" s="28">
        <v>2000</v>
      </c>
      <c r="D20" s="28">
        <f>2*9</f>
        <v>18</v>
      </c>
      <c r="E20" s="108">
        <f t="shared" ref="E20" si="6">+D20*C20</f>
        <v>36000</v>
      </c>
      <c r="F20" s="71">
        <f>+E20</f>
        <v>36000</v>
      </c>
      <c r="G20" s="72">
        <v>0</v>
      </c>
      <c r="H20" s="63">
        <f t="shared" si="5"/>
        <v>36000</v>
      </c>
      <c r="J20" s="30"/>
      <c r="K20" s="30"/>
      <c r="L20" s="30"/>
      <c r="M20" s="30"/>
    </row>
    <row r="21" spans="1:13" s="41" customFormat="1" x14ac:dyDescent="0.25">
      <c r="A21" s="52" t="s">
        <v>81</v>
      </c>
      <c r="B21" s="60"/>
      <c r="C21" s="45"/>
      <c r="D21" s="45"/>
      <c r="E21" s="62">
        <f>SUM(E22:E22)</f>
        <v>15000</v>
      </c>
      <c r="F21" s="68">
        <f>+F22</f>
        <v>15000</v>
      </c>
      <c r="G21" s="46">
        <f>+G22</f>
        <v>0</v>
      </c>
      <c r="H21" s="81">
        <f t="shared" si="5"/>
        <v>15000</v>
      </c>
      <c r="J21" s="42"/>
      <c r="K21" s="42"/>
      <c r="L21" s="42"/>
      <c r="M21" s="42"/>
    </row>
    <row r="22" spans="1:13" s="29" customFormat="1" x14ac:dyDescent="0.25">
      <c r="A22" s="54" t="s">
        <v>75</v>
      </c>
      <c r="B22" s="59" t="s">
        <v>58</v>
      </c>
      <c r="C22" s="28">
        <v>15000</v>
      </c>
      <c r="D22" s="28">
        <v>1</v>
      </c>
      <c r="E22" s="65">
        <f t="shared" ref="E22:E29" si="7">+D22*C22</f>
        <v>15000</v>
      </c>
      <c r="F22" s="71">
        <f>+E22</f>
        <v>15000</v>
      </c>
      <c r="G22" s="72">
        <v>0</v>
      </c>
      <c r="H22" s="63">
        <f t="shared" si="5"/>
        <v>15000</v>
      </c>
      <c r="J22" s="30"/>
      <c r="K22" s="30"/>
      <c r="L22" s="30"/>
      <c r="M22" s="30"/>
    </row>
    <row r="23" spans="1:13" s="41" customFormat="1" x14ac:dyDescent="0.25">
      <c r="A23" s="52" t="s">
        <v>80</v>
      </c>
      <c r="B23" s="60"/>
      <c r="C23" s="45"/>
      <c r="D23" s="45"/>
      <c r="E23" s="62">
        <f>SUM(E24:E24)</f>
        <v>60000</v>
      </c>
      <c r="F23" s="68">
        <f>+F24</f>
        <v>60000</v>
      </c>
      <c r="G23" s="46">
        <f>+G24</f>
        <v>0</v>
      </c>
      <c r="H23" s="81">
        <f t="shared" si="5"/>
        <v>60000</v>
      </c>
      <c r="J23" s="42"/>
      <c r="K23" s="42"/>
      <c r="L23" s="42"/>
      <c r="M23" s="42"/>
    </row>
    <row r="24" spans="1:13" s="29" customFormat="1" x14ac:dyDescent="0.25">
      <c r="A24" s="54" t="s">
        <v>76</v>
      </c>
      <c r="B24" s="59" t="s">
        <v>44</v>
      </c>
      <c r="C24" s="28">
        <v>2500</v>
      </c>
      <c r="D24" s="28">
        <f>2*12</f>
        <v>24</v>
      </c>
      <c r="E24" s="65">
        <f t="shared" si="7"/>
        <v>60000</v>
      </c>
      <c r="F24" s="71">
        <v>60000</v>
      </c>
      <c r="G24" s="70">
        <v>0</v>
      </c>
      <c r="H24" s="63">
        <f t="shared" si="5"/>
        <v>60000</v>
      </c>
      <c r="J24" s="30"/>
      <c r="K24" s="30"/>
      <c r="L24" s="30"/>
      <c r="M24" s="30"/>
    </row>
    <row r="25" spans="1:13" s="41" customFormat="1" x14ac:dyDescent="0.25">
      <c r="A25" s="52" t="s">
        <v>79</v>
      </c>
      <c r="B25" s="60"/>
      <c r="C25" s="45"/>
      <c r="D25" s="45"/>
      <c r="E25" s="62">
        <f>SUM(E26:E26)</f>
        <v>40000</v>
      </c>
      <c r="F25" s="68">
        <f>+F26</f>
        <v>40000</v>
      </c>
      <c r="G25" s="46">
        <f>+G26</f>
        <v>0</v>
      </c>
      <c r="H25" s="81">
        <f t="shared" si="5"/>
        <v>40000</v>
      </c>
      <c r="J25" s="42"/>
      <c r="K25" s="42"/>
      <c r="L25" s="42"/>
      <c r="M25" s="42"/>
    </row>
    <row r="26" spans="1:13" s="29" customFormat="1" ht="22.5" x14ac:dyDescent="0.25">
      <c r="A26" s="54" t="s">
        <v>77</v>
      </c>
      <c r="B26" s="59" t="s">
        <v>58</v>
      </c>
      <c r="C26" s="28">
        <v>40000</v>
      </c>
      <c r="D26" s="28">
        <v>1</v>
      </c>
      <c r="E26" s="65">
        <f t="shared" si="7"/>
        <v>40000</v>
      </c>
      <c r="F26" s="71">
        <f>+E26</f>
        <v>40000</v>
      </c>
      <c r="G26" s="72">
        <v>0</v>
      </c>
      <c r="H26" s="63">
        <f t="shared" si="5"/>
        <v>40000</v>
      </c>
      <c r="J26" s="30"/>
      <c r="K26" s="30"/>
      <c r="L26" s="30"/>
      <c r="M26" s="30"/>
    </row>
    <row r="27" spans="1:13" s="41" customFormat="1" x14ac:dyDescent="0.25">
      <c r="A27" s="52" t="s">
        <v>78</v>
      </c>
      <c r="B27" s="60"/>
      <c r="C27" s="45"/>
      <c r="D27" s="45"/>
      <c r="E27" s="62">
        <f>SUM(E28:E29)</f>
        <v>296000</v>
      </c>
      <c r="F27" s="68">
        <f>+F28+F29</f>
        <v>296000</v>
      </c>
      <c r="G27" s="46">
        <f>+G28+G29</f>
        <v>0</v>
      </c>
      <c r="H27" s="81">
        <f t="shared" si="5"/>
        <v>296000</v>
      </c>
      <c r="J27" s="42"/>
      <c r="K27" s="42"/>
      <c r="L27" s="42"/>
      <c r="M27" s="42"/>
    </row>
    <row r="28" spans="1:13" s="29" customFormat="1" ht="22.5" x14ac:dyDescent="0.25">
      <c r="A28" s="54" t="s">
        <v>83</v>
      </c>
      <c r="B28" s="59" t="s">
        <v>58</v>
      </c>
      <c r="C28" s="28">
        <v>200000</v>
      </c>
      <c r="D28" s="28">
        <v>1</v>
      </c>
      <c r="E28" s="65">
        <f t="shared" si="7"/>
        <v>200000</v>
      </c>
      <c r="F28" s="71">
        <f>+E28</f>
        <v>200000</v>
      </c>
      <c r="G28" s="72">
        <v>0</v>
      </c>
      <c r="H28" s="63">
        <f t="shared" si="5"/>
        <v>200000</v>
      </c>
      <c r="J28" s="30"/>
      <c r="K28" s="30"/>
      <c r="L28" s="30"/>
      <c r="M28" s="30"/>
    </row>
    <row r="29" spans="1:13" s="29" customFormat="1" x14ac:dyDescent="0.25">
      <c r="A29" s="54" t="s">
        <v>84</v>
      </c>
      <c r="B29" s="59" t="s">
        <v>58</v>
      </c>
      <c r="C29" s="28">
        <v>96000</v>
      </c>
      <c r="D29" s="28">
        <v>1</v>
      </c>
      <c r="E29" s="65">
        <f t="shared" si="7"/>
        <v>96000</v>
      </c>
      <c r="F29" s="71">
        <f>+E29</f>
        <v>96000</v>
      </c>
      <c r="G29" s="72">
        <v>0</v>
      </c>
      <c r="H29" s="63">
        <f t="shared" si="5"/>
        <v>96000</v>
      </c>
      <c r="J29" s="30"/>
      <c r="K29" s="30"/>
      <c r="L29" s="30"/>
      <c r="M29" s="30"/>
    </row>
    <row r="30" spans="1:13" s="26" customFormat="1" ht="28.5" customHeight="1" x14ac:dyDescent="0.25">
      <c r="A30" s="55" t="s">
        <v>128</v>
      </c>
      <c r="B30" s="61"/>
      <c r="C30" s="50"/>
      <c r="D30" s="50"/>
      <c r="E30" s="64">
        <f>+E31+E34+E36+E39+E41</f>
        <v>1045000</v>
      </c>
      <c r="F30" s="67">
        <f t="shared" ref="F30:G30" si="8">+F31+F34+F36+F39+F41</f>
        <v>1045000</v>
      </c>
      <c r="G30" s="51">
        <f t="shared" si="8"/>
        <v>0</v>
      </c>
      <c r="H30" s="80">
        <f>SUM(F30:G30)</f>
        <v>1045000</v>
      </c>
      <c r="J30" s="27"/>
      <c r="K30" s="27"/>
      <c r="L30" s="27"/>
      <c r="M30" s="27"/>
    </row>
    <row r="31" spans="1:13" s="41" customFormat="1" x14ac:dyDescent="0.25">
      <c r="A31" s="52" t="s">
        <v>85</v>
      </c>
      <c r="B31" s="60"/>
      <c r="C31" s="45"/>
      <c r="D31" s="45"/>
      <c r="E31" s="62">
        <f>SUM(E32:E33)</f>
        <v>397000</v>
      </c>
      <c r="F31" s="68">
        <f>SUM(F32:F33)</f>
        <v>397000</v>
      </c>
      <c r="G31" s="46">
        <f>SUM(G32:G33)</f>
        <v>0</v>
      </c>
      <c r="H31" s="81">
        <f t="shared" ref="H31:H43" si="9">+G31+F31</f>
        <v>397000</v>
      </c>
      <c r="J31" s="42"/>
      <c r="K31" s="42"/>
      <c r="L31" s="42"/>
      <c r="M31" s="42"/>
    </row>
    <row r="32" spans="1:13" s="29" customFormat="1" ht="22.5" x14ac:dyDescent="0.25">
      <c r="A32" s="54" t="s">
        <v>86</v>
      </c>
      <c r="B32" s="59" t="s">
        <v>44</v>
      </c>
      <c r="C32" s="28">
        <v>2500</v>
      </c>
      <c r="D32" s="28">
        <f>3*24</f>
        <v>72</v>
      </c>
      <c r="E32" s="65">
        <f>+D32*C32</f>
        <v>180000</v>
      </c>
      <c r="F32" s="71">
        <f>+E32</f>
        <v>180000</v>
      </c>
      <c r="G32" s="72"/>
      <c r="H32" s="63">
        <f t="shared" si="9"/>
        <v>180000</v>
      </c>
      <c r="J32" s="30"/>
      <c r="K32" s="30"/>
      <c r="L32" s="30"/>
      <c r="M32" s="30"/>
    </row>
    <row r="33" spans="1:13" s="29" customFormat="1" ht="22.5" x14ac:dyDescent="0.25">
      <c r="A33" s="54" t="s">
        <v>87</v>
      </c>
      <c r="B33" s="59" t="s">
        <v>58</v>
      </c>
      <c r="C33" s="28">
        <v>217000</v>
      </c>
      <c r="D33" s="28">
        <v>1</v>
      </c>
      <c r="E33" s="65">
        <f>+D33*C33</f>
        <v>217000</v>
      </c>
      <c r="F33" s="71">
        <f>+E33</f>
        <v>217000</v>
      </c>
      <c r="G33" s="72"/>
      <c r="H33" s="63">
        <f t="shared" si="9"/>
        <v>217000</v>
      </c>
      <c r="J33" s="30"/>
      <c r="K33" s="30"/>
      <c r="L33" s="30"/>
      <c r="M33" s="30"/>
    </row>
    <row r="34" spans="1:13" s="41" customFormat="1" x14ac:dyDescent="0.25">
      <c r="A34" s="52" t="s">
        <v>91</v>
      </c>
      <c r="B34" s="60"/>
      <c r="C34" s="45"/>
      <c r="D34" s="45"/>
      <c r="E34" s="62">
        <f>+E35</f>
        <v>60000</v>
      </c>
      <c r="F34" s="68">
        <f>+F35</f>
        <v>60000</v>
      </c>
      <c r="G34" s="46">
        <f>+G35</f>
        <v>0</v>
      </c>
      <c r="H34" s="81">
        <f t="shared" si="9"/>
        <v>60000</v>
      </c>
      <c r="J34" s="42"/>
      <c r="K34" s="42"/>
      <c r="L34" s="42"/>
      <c r="M34" s="42"/>
    </row>
    <row r="35" spans="1:13" s="29" customFormat="1" x14ac:dyDescent="0.25">
      <c r="A35" s="54" t="s">
        <v>92</v>
      </c>
      <c r="B35" s="59" t="s">
        <v>58</v>
      </c>
      <c r="C35" s="28">
        <v>60000</v>
      </c>
      <c r="D35" s="28">
        <v>1</v>
      </c>
      <c r="E35" s="65">
        <f>+D35*C35</f>
        <v>60000</v>
      </c>
      <c r="F35" s="71">
        <f>+E35</f>
        <v>60000</v>
      </c>
      <c r="G35" s="72"/>
      <c r="H35" s="63">
        <f t="shared" si="9"/>
        <v>60000</v>
      </c>
      <c r="J35" s="30"/>
      <c r="K35" s="30"/>
      <c r="L35" s="30"/>
      <c r="M35" s="30"/>
    </row>
    <row r="36" spans="1:13" s="41" customFormat="1" x14ac:dyDescent="0.25">
      <c r="A36" s="52" t="s">
        <v>93</v>
      </c>
      <c r="B36" s="60"/>
      <c r="C36" s="45"/>
      <c r="D36" s="45"/>
      <c r="E36" s="62">
        <f>+E37+E38</f>
        <v>96000</v>
      </c>
      <c r="F36" s="68">
        <f>+F37+F38</f>
        <v>96000</v>
      </c>
      <c r="G36" s="46">
        <f>+G37+G38</f>
        <v>0</v>
      </c>
      <c r="H36" s="81">
        <f t="shared" si="9"/>
        <v>96000</v>
      </c>
      <c r="J36" s="42"/>
      <c r="K36" s="42"/>
      <c r="L36" s="42"/>
      <c r="M36" s="42"/>
    </row>
    <row r="37" spans="1:13" s="29" customFormat="1" x14ac:dyDescent="0.25">
      <c r="A37" s="54" t="s">
        <v>94</v>
      </c>
      <c r="B37" s="59" t="s">
        <v>44</v>
      </c>
      <c r="C37" s="28">
        <v>2000</v>
      </c>
      <c r="D37" s="28">
        <f>1*24</f>
        <v>24</v>
      </c>
      <c r="E37" s="65">
        <f>+D37*C37</f>
        <v>48000</v>
      </c>
      <c r="F37" s="71">
        <f>+E37</f>
        <v>48000</v>
      </c>
      <c r="G37" s="72"/>
      <c r="H37" s="63">
        <f t="shared" si="9"/>
        <v>48000</v>
      </c>
      <c r="J37" s="30"/>
      <c r="K37" s="30"/>
      <c r="L37" s="30"/>
      <c r="M37" s="30"/>
    </row>
    <row r="38" spans="1:13" s="29" customFormat="1" ht="22.5" x14ac:dyDescent="0.25">
      <c r="A38" s="54" t="s">
        <v>95</v>
      </c>
      <c r="B38" s="59" t="s">
        <v>44</v>
      </c>
      <c r="C38" s="28">
        <v>2000</v>
      </c>
      <c r="D38" s="28">
        <f>1*24</f>
        <v>24</v>
      </c>
      <c r="E38" s="65">
        <f>+D38*C38</f>
        <v>48000</v>
      </c>
      <c r="F38" s="71">
        <f>+E38</f>
        <v>48000</v>
      </c>
      <c r="G38" s="72"/>
      <c r="H38" s="63">
        <f t="shared" ref="H38" si="10">+G38+F38</f>
        <v>48000</v>
      </c>
      <c r="J38" s="30"/>
      <c r="K38" s="30"/>
      <c r="L38" s="30"/>
      <c r="M38" s="30"/>
    </row>
    <row r="39" spans="1:13" s="41" customFormat="1" x14ac:dyDescent="0.25">
      <c r="A39" s="52" t="s">
        <v>105</v>
      </c>
      <c r="B39" s="60"/>
      <c r="C39" s="45"/>
      <c r="D39" s="45"/>
      <c r="E39" s="62">
        <f>+E40</f>
        <v>96000</v>
      </c>
      <c r="F39" s="68">
        <f t="shared" ref="F39:G39" si="11">+F40</f>
        <v>96000</v>
      </c>
      <c r="G39" s="46">
        <f t="shared" si="11"/>
        <v>0</v>
      </c>
      <c r="H39" s="81">
        <f t="shared" si="9"/>
        <v>96000</v>
      </c>
      <c r="J39" s="42"/>
      <c r="K39" s="42"/>
      <c r="L39" s="42"/>
      <c r="M39" s="42"/>
    </row>
    <row r="40" spans="1:13" s="29" customFormat="1" x14ac:dyDescent="0.25">
      <c r="A40" s="54" t="s">
        <v>96</v>
      </c>
      <c r="B40" s="59" t="s">
        <v>44</v>
      </c>
      <c r="C40" s="28">
        <v>2000</v>
      </c>
      <c r="D40" s="28">
        <f>2*24</f>
        <v>48</v>
      </c>
      <c r="E40" s="65">
        <f>+D40*C40</f>
        <v>96000</v>
      </c>
      <c r="F40" s="71">
        <v>96000</v>
      </c>
      <c r="G40" s="72"/>
      <c r="H40" s="63">
        <f t="shared" si="9"/>
        <v>96000</v>
      </c>
      <c r="J40" s="30"/>
      <c r="K40" s="30"/>
      <c r="L40" s="30"/>
      <c r="M40" s="30"/>
    </row>
    <row r="41" spans="1:13" s="41" customFormat="1" x14ac:dyDescent="0.25">
      <c r="A41" s="52" t="s">
        <v>97</v>
      </c>
      <c r="B41" s="60"/>
      <c r="C41" s="45"/>
      <c r="D41" s="45"/>
      <c r="E41" s="62">
        <f>+E42+E43</f>
        <v>396000</v>
      </c>
      <c r="F41" s="68">
        <f>+F42+F43</f>
        <v>396000</v>
      </c>
      <c r="G41" s="46">
        <f>+G42+G43</f>
        <v>0</v>
      </c>
      <c r="H41" s="81">
        <f t="shared" si="9"/>
        <v>396000</v>
      </c>
      <c r="J41" s="42"/>
      <c r="K41" s="42"/>
      <c r="L41" s="42"/>
      <c r="M41" s="42"/>
    </row>
    <row r="42" spans="1:13" s="29" customFormat="1" x14ac:dyDescent="0.25">
      <c r="A42" s="54" t="s">
        <v>96</v>
      </c>
      <c r="B42" s="59" t="s">
        <v>44</v>
      </c>
      <c r="C42" s="28">
        <v>2000</v>
      </c>
      <c r="D42" s="28">
        <f>2*24</f>
        <v>48</v>
      </c>
      <c r="E42" s="65">
        <f>+D42*C42</f>
        <v>96000</v>
      </c>
      <c r="F42" s="71">
        <v>96000</v>
      </c>
      <c r="G42" s="72"/>
      <c r="H42" s="63">
        <f t="shared" ref="H42" si="12">+G42+F42</f>
        <v>96000</v>
      </c>
      <c r="J42" s="30"/>
      <c r="K42" s="30"/>
      <c r="L42" s="30"/>
      <c r="M42" s="30"/>
    </row>
    <row r="43" spans="1:13" s="29" customFormat="1" x14ac:dyDescent="0.25">
      <c r="A43" s="54" t="s">
        <v>98</v>
      </c>
      <c r="B43" s="59" t="s">
        <v>58</v>
      </c>
      <c r="C43" s="28">
        <v>300000</v>
      </c>
      <c r="D43" s="28">
        <v>1</v>
      </c>
      <c r="E43" s="65">
        <f>+D43*C43</f>
        <v>300000</v>
      </c>
      <c r="F43" s="71">
        <f>+E43</f>
        <v>300000</v>
      </c>
      <c r="G43" s="72">
        <v>0</v>
      </c>
      <c r="H43" s="63">
        <f t="shared" si="9"/>
        <v>300000</v>
      </c>
      <c r="J43" s="30"/>
      <c r="K43" s="30"/>
      <c r="L43" s="30"/>
      <c r="M43" s="30"/>
    </row>
    <row r="44" spans="1:13" s="26" customFormat="1" ht="28.5" customHeight="1" x14ac:dyDescent="0.25">
      <c r="A44" s="55" t="s">
        <v>99</v>
      </c>
      <c r="B44" s="61"/>
      <c r="C44" s="50"/>
      <c r="D44" s="50"/>
      <c r="E44" s="64">
        <f>+E45+E47+E49</f>
        <v>341000</v>
      </c>
      <c r="F44" s="67">
        <f t="shared" ref="F44:G44" si="13">+F45+F47+F49</f>
        <v>341000</v>
      </c>
      <c r="G44" s="51">
        <f t="shared" si="13"/>
        <v>104000</v>
      </c>
      <c r="H44" s="80">
        <f>SUM(F44:G44)</f>
        <v>445000</v>
      </c>
      <c r="J44" s="27"/>
      <c r="K44" s="27"/>
      <c r="L44" s="27"/>
      <c r="M44" s="27"/>
    </row>
    <row r="45" spans="1:13" s="41" customFormat="1" x14ac:dyDescent="0.25">
      <c r="A45" s="52" t="s">
        <v>100</v>
      </c>
      <c r="B45" s="60"/>
      <c r="C45" s="45"/>
      <c r="D45" s="45"/>
      <c r="E45" s="62">
        <f>+E46</f>
        <v>120000</v>
      </c>
      <c r="F45" s="68">
        <f t="shared" ref="F45:G45" si="14">+F46</f>
        <v>120000</v>
      </c>
      <c r="G45" s="46">
        <f t="shared" si="14"/>
        <v>0</v>
      </c>
      <c r="H45" s="81">
        <f t="shared" ref="H45:H51" si="15">+G45+F45</f>
        <v>120000</v>
      </c>
      <c r="J45" s="42"/>
      <c r="K45" s="42"/>
      <c r="L45" s="42"/>
      <c r="M45" s="42"/>
    </row>
    <row r="46" spans="1:13" s="29" customFormat="1" ht="33.75" x14ac:dyDescent="0.25">
      <c r="A46" s="54" t="s">
        <v>101</v>
      </c>
      <c r="B46" s="59" t="s">
        <v>44</v>
      </c>
      <c r="C46" s="28">
        <v>2500</v>
      </c>
      <c r="D46" s="28">
        <f>2*24</f>
        <v>48</v>
      </c>
      <c r="E46" s="65">
        <f>+D46*C46</f>
        <v>120000</v>
      </c>
      <c r="F46" s="73">
        <v>120000</v>
      </c>
      <c r="G46" s="74"/>
      <c r="H46" s="82">
        <f t="shared" si="15"/>
        <v>120000</v>
      </c>
      <c r="J46" s="30"/>
      <c r="K46" s="30"/>
      <c r="L46" s="30"/>
      <c r="M46" s="30"/>
    </row>
    <row r="47" spans="1:13" s="41" customFormat="1" x14ac:dyDescent="0.25">
      <c r="A47" s="52" t="s">
        <v>102</v>
      </c>
      <c r="B47" s="60"/>
      <c r="C47" s="45"/>
      <c r="D47" s="45"/>
      <c r="E47" s="62">
        <f>+E48</f>
        <v>96000</v>
      </c>
      <c r="F47" s="68">
        <f t="shared" ref="F47:G47" si="16">+F48</f>
        <v>96000</v>
      </c>
      <c r="G47" s="46">
        <f t="shared" si="16"/>
        <v>104000</v>
      </c>
      <c r="H47" s="81">
        <f t="shared" si="15"/>
        <v>200000</v>
      </c>
      <c r="J47" s="42"/>
      <c r="K47" s="42"/>
      <c r="L47" s="42"/>
      <c r="M47" s="42"/>
    </row>
    <row r="48" spans="1:13" s="29" customFormat="1" x14ac:dyDescent="0.25">
      <c r="A48" s="54" t="s">
        <v>103</v>
      </c>
      <c r="B48" s="59" t="s">
        <v>44</v>
      </c>
      <c r="C48" s="28">
        <v>2000</v>
      </c>
      <c r="D48" s="28">
        <f>2*24</f>
        <v>48</v>
      </c>
      <c r="E48" s="65">
        <f>+D48*C48</f>
        <v>96000</v>
      </c>
      <c r="F48" s="71">
        <v>96000</v>
      </c>
      <c r="G48" s="72">
        <v>104000</v>
      </c>
      <c r="H48" s="63">
        <f t="shared" si="15"/>
        <v>200000</v>
      </c>
      <c r="J48" s="30"/>
      <c r="K48" s="30"/>
      <c r="L48" s="30"/>
      <c r="M48" s="30"/>
    </row>
    <row r="49" spans="1:13" s="41" customFormat="1" x14ac:dyDescent="0.25">
      <c r="A49" s="52" t="s">
        <v>104</v>
      </c>
      <c r="B49" s="60"/>
      <c r="C49" s="45"/>
      <c r="D49" s="45"/>
      <c r="E49" s="62">
        <f>+E50+E51</f>
        <v>125000</v>
      </c>
      <c r="F49" s="68">
        <f t="shared" ref="F49:G49" si="17">+F50+F51</f>
        <v>125000</v>
      </c>
      <c r="G49" s="46">
        <f t="shared" si="17"/>
        <v>0</v>
      </c>
      <c r="H49" s="81">
        <f t="shared" si="15"/>
        <v>125000</v>
      </c>
      <c r="J49" s="42"/>
      <c r="K49" s="42"/>
      <c r="L49" s="42"/>
      <c r="M49" s="42"/>
    </row>
    <row r="50" spans="1:13" s="29" customFormat="1" x14ac:dyDescent="0.25">
      <c r="A50" s="54" t="s">
        <v>106</v>
      </c>
      <c r="B50" s="59" t="s">
        <v>58</v>
      </c>
      <c r="C50" s="28">
        <v>100000</v>
      </c>
      <c r="D50" s="28">
        <v>1</v>
      </c>
      <c r="E50" s="65">
        <f>+D50*C50</f>
        <v>100000</v>
      </c>
      <c r="F50" s="71">
        <f>+E50</f>
        <v>100000</v>
      </c>
      <c r="G50" s="72">
        <v>0</v>
      </c>
      <c r="H50" s="63">
        <f t="shared" si="15"/>
        <v>100000</v>
      </c>
      <c r="J50" s="30"/>
      <c r="K50" s="30"/>
      <c r="L50" s="30"/>
      <c r="M50" s="30"/>
    </row>
    <row r="51" spans="1:13" s="48" customFormat="1" x14ac:dyDescent="0.25">
      <c r="A51" s="54" t="s">
        <v>107</v>
      </c>
      <c r="B51" s="59" t="s">
        <v>58</v>
      </c>
      <c r="C51" s="47">
        <v>25000</v>
      </c>
      <c r="D51" s="47">
        <v>1</v>
      </c>
      <c r="E51" s="65">
        <f>+D51*C51</f>
        <v>25000</v>
      </c>
      <c r="F51" s="75">
        <v>25000</v>
      </c>
      <c r="G51" s="76"/>
      <c r="H51" s="63">
        <f t="shared" si="15"/>
        <v>25000</v>
      </c>
      <c r="J51" s="49"/>
      <c r="K51" s="49"/>
      <c r="L51" s="49"/>
      <c r="M51" s="49"/>
    </row>
    <row r="52" spans="1:13" s="26" customFormat="1" ht="28.5" customHeight="1" x14ac:dyDescent="0.25">
      <c r="A52" s="55" t="s">
        <v>108</v>
      </c>
      <c r="B52" s="61"/>
      <c r="C52" s="50"/>
      <c r="D52" s="50"/>
      <c r="E52" s="64">
        <f>+E53+E55+E57+E59</f>
        <v>910000</v>
      </c>
      <c r="F52" s="67">
        <f t="shared" ref="F52:G52" si="18">+F53+F55+F57+F59</f>
        <v>860000</v>
      </c>
      <c r="G52" s="51">
        <f t="shared" si="18"/>
        <v>50000</v>
      </c>
      <c r="H52" s="80">
        <f>SUM(F52:G52)</f>
        <v>910000</v>
      </c>
      <c r="J52" s="27"/>
      <c r="K52" s="27"/>
      <c r="L52" s="27"/>
      <c r="M52" s="27"/>
    </row>
    <row r="53" spans="1:13" s="41" customFormat="1" x14ac:dyDescent="0.25">
      <c r="A53" s="52" t="s">
        <v>109</v>
      </c>
      <c r="B53" s="60"/>
      <c r="C53" s="45"/>
      <c r="D53" s="45"/>
      <c r="E53" s="62">
        <f>+E54</f>
        <v>430000</v>
      </c>
      <c r="F53" s="68">
        <f t="shared" ref="F53:G53" si="19">+F54</f>
        <v>430000</v>
      </c>
      <c r="G53" s="46">
        <f t="shared" si="19"/>
        <v>0</v>
      </c>
      <c r="H53" s="81">
        <f t="shared" ref="H53:H60" si="20">+G53+F53</f>
        <v>430000</v>
      </c>
      <c r="J53" s="42"/>
      <c r="K53" s="42"/>
      <c r="L53" s="42"/>
      <c r="M53" s="42"/>
    </row>
    <row r="54" spans="1:13" s="29" customFormat="1" ht="22.5" x14ac:dyDescent="0.25">
      <c r="A54" s="54" t="s">
        <v>110</v>
      </c>
      <c r="B54" s="59" t="s">
        <v>58</v>
      </c>
      <c r="C54" s="28">
        <v>430000</v>
      </c>
      <c r="D54" s="28">
        <v>1</v>
      </c>
      <c r="E54" s="65">
        <f>+D54*C54</f>
        <v>430000</v>
      </c>
      <c r="F54" s="71">
        <f>+E54</f>
        <v>430000</v>
      </c>
      <c r="G54" s="72">
        <v>0</v>
      </c>
      <c r="H54" s="63">
        <f t="shared" si="20"/>
        <v>430000</v>
      </c>
      <c r="J54" s="30"/>
      <c r="K54" s="30"/>
      <c r="L54" s="30"/>
      <c r="M54" s="30"/>
    </row>
    <row r="55" spans="1:13" s="41" customFormat="1" x14ac:dyDescent="0.25">
      <c r="A55" s="52" t="s">
        <v>111</v>
      </c>
      <c r="B55" s="60"/>
      <c r="C55" s="45"/>
      <c r="D55" s="45"/>
      <c r="E55" s="62">
        <f>+E56</f>
        <v>30000</v>
      </c>
      <c r="F55" s="68">
        <f t="shared" ref="F55:G55" si="21">+F56</f>
        <v>30000</v>
      </c>
      <c r="G55" s="46">
        <f t="shared" si="21"/>
        <v>0</v>
      </c>
      <c r="H55" s="81">
        <f t="shared" si="20"/>
        <v>30000</v>
      </c>
      <c r="J55" s="42"/>
      <c r="K55" s="42"/>
      <c r="L55" s="42"/>
      <c r="M55" s="42"/>
    </row>
    <row r="56" spans="1:13" s="29" customFormat="1" x14ac:dyDescent="0.25">
      <c r="A56" s="54" t="s">
        <v>112</v>
      </c>
      <c r="B56" s="59" t="s">
        <v>58</v>
      </c>
      <c r="C56" s="28">
        <v>30000</v>
      </c>
      <c r="D56" s="28">
        <v>1</v>
      </c>
      <c r="E56" s="65">
        <f>+D56*C56</f>
        <v>30000</v>
      </c>
      <c r="F56" s="71">
        <f>+E56</f>
        <v>30000</v>
      </c>
      <c r="G56" s="72">
        <v>0</v>
      </c>
      <c r="H56" s="63">
        <f t="shared" si="20"/>
        <v>30000</v>
      </c>
      <c r="J56" s="30"/>
      <c r="K56" s="30"/>
      <c r="L56" s="30"/>
      <c r="M56" s="30"/>
    </row>
    <row r="57" spans="1:13" s="41" customFormat="1" x14ac:dyDescent="0.25">
      <c r="A57" s="52" t="s">
        <v>113</v>
      </c>
      <c r="B57" s="60"/>
      <c r="C57" s="45"/>
      <c r="D57" s="45"/>
      <c r="E57" s="62">
        <f>+E58</f>
        <v>250000</v>
      </c>
      <c r="F57" s="68">
        <f t="shared" ref="F57:G57" si="22">+F58</f>
        <v>250000</v>
      </c>
      <c r="G57" s="46">
        <f t="shared" si="22"/>
        <v>0</v>
      </c>
      <c r="H57" s="81">
        <f t="shared" si="20"/>
        <v>250000</v>
      </c>
      <c r="J57" s="42"/>
      <c r="K57" s="42"/>
      <c r="L57" s="42"/>
      <c r="M57" s="42"/>
    </row>
    <row r="58" spans="1:13" s="29" customFormat="1" x14ac:dyDescent="0.25">
      <c r="A58" s="54" t="s">
        <v>114</v>
      </c>
      <c r="B58" s="59" t="s">
        <v>58</v>
      </c>
      <c r="C58" s="28">
        <v>250000</v>
      </c>
      <c r="D58" s="28">
        <v>1</v>
      </c>
      <c r="E58" s="65">
        <f>+D58*C58</f>
        <v>250000</v>
      </c>
      <c r="F58" s="71">
        <f>+E58</f>
        <v>250000</v>
      </c>
      <c r="G58" s="72">
        <v>0</v>
      </c>
      <c r="H58" s="63">
        <f t="shared" si="20"/>
        <v>250000</v>
      </c>
      <c r="J58" s="30"/>
      <c r="K58" s="30"/>
      <c r="L58" s="30"/>
      <c r="M58" s="30"/>
    </row>
    <row r="59" spans="1:13" s="41" customFormat="1" x14ac:dyDescent="0.25">
      <c r="A59" s="52" t="s">
        <v>115</v>
      </c>
      <c r="B59" s="60"/>
      <c r="C59" s="45"/>
      <c r="D59" s="45"/>
      <c r="E59" s="62">
        <f>+E60</f>
        <v>200000</v>
      </c>
      <c r="F59" s="68">
        <f t="shared" ref="F59:G59" si="23">+F60</f>
        <v>150000</v>
      </c>
      <c r="G59" s="46">
        <f t="shared" si="23"/>
        <v>50000</v>
      </c>
      <c r="H59" s="81">
        <f t="shared" si="20"/>
        <v>200000</v>
      </c>
      <c r="J59" s="42"/>
      <c r="K59" s="42"/>
      <c r="L59" s="42"/>
      <c r="M59" s="42"/>
    </row>
    <row r="60" spans="1:13" s="29" customFormat="1" ht="22.5" x14ac:dyDescent="0.25">
      <c r="A60" s="54" t="s">
        <v>116</v>
      </c>
      <c r="B60" s="59" t="s">
        <v>58</v>
      </c>
      <c r="C60" s="28">
        <v>200000</v>
      </c>
      <c r="D60" s="28">
        <v>1</v>
      </c>
      <c r="E60" s="65">
        <f>+D60*C60</f>
        <v>200000</v>
      </c>
      <c r="F60" s="71">
        <v>150000</v>
      </c>
      <c r="G60" s="72">
        <v>50000</v>
      </c>
      <c r="H60" s="63">
        <f t="shared" si="20"/>
        <v>200000</v>
      </c>
      <c r="J60" s="30"/>
      <c r="K60" s="30"/>
      <c r="L60" s="30"/>
      <c r="M60" s="30"/>
    </row>
    <row r="61" spans="1:13" s="26" customFormat="1" ht="28.5" customHeight="1" x14ac:dyDescent="0.25">
      <c r="A61" s="55" t="s">
        <v>117</v>
      </c>
      <c r="B61" s="61"/>
      <c r="C61" s="50"/>
      <c r="D61" s="50"/>
      <c r="E61" s="64">
        <f>+E62+E64+E66</f>
        <v>350000</v>
      </c>
      <c r="F61" s="67">
        <f t="shared" ref="F61:G61" si="24">+F62+F64+F66</f>
        <v>300000</v>
      </c>
      <c r="G61" s="51">
        <f t="shared" si="24"/>
        <v>50000</v>
      </c>
      <c r="H61" s="80">
        <f>SUM(F61:G61)</f>
        <v>350000</v>
      </c>
      <c r="J61" s="27"/>
      <c r="K61" s="27"/>
      <c r="L61" s="27"/>
      <c r="M61" s="27"/>
    </row>
    <row r="62" spans="1:13" s="41" customFormat="1" x14ac:dyDescent="0.25">
      <c r="A62" s="52" t="s">
        <v>118</v>
      </c>
      <c r="B62" s="60"/>
      <c r="C62" s="45"/>
      <c r="D62" s="45"/>
      <c r="E62" s="62">
        <f>+E63</f>
        <v>150000</v>
      </c>
      <c r="F62" s="68">
        <f t="shared" ref="F62:G62" si="25">+F63</f>
        <v>100000</v>
      </c>
      <c r="G62" s="46">
        <f t="shared" si="25"/>
        <v>50000</v>
      </c>
      <c r="H62" s="81">
        <f t="shared" ref="H62:H68" si="26">+G62+F62</f>
        <v>150000</v>
      </c>
      <c r="J62" s="42"/>
      <c r="K62" s="42"/>
      <c r="L62" s="42"/>
      <c r="M62" s="42"/>
    </row>
    <row r="63" spans="1:13" s="29" customFormat="1" x14ac:dyDescent="0.25">
      <c r="A63" s="54" t="s">
        <v>119</v>
      </c>
      <c r="B63" s="59" t="s">
        <v>58</v>
      </c>
      <c r="C63" s="28">
        <v>150000</v>
      </c>
      <c r="D63" s="28">
        <v>1</v>
      </c>
      <c r="E63" s="65">
        <f>+D63*C63</f>
        <v>150000</v>
      </c>
      <c r="F63" s="71">
        <v>100000</v>
      </c>
      <c r="G63" s="72">
        <v>50000</v>
      </c>
      <c r="H63" s="63">
        <f t="shared" si="26"/>
        <v>150000</v>
      </c>
      <c r="J63" s="30"/>
      <c r="K63" s="30"/>
      <c r="L63" s="30"/>
      <c r="M63" s="30"/>
    </row>
    <row r="64" spans="1:13" s="41" customFormat="1" x14ac:dyDescent="0.25">
      <c r="A64" s="52" t="s">
        <v>120</v>
      </c>
      <c r="B64" s="60"/>
      <c r="C64" s="45"/>
      <c r="D64" s="45"/>
      <c r="E64" s="62">
        <f>+E65</f>
        <v>100000</v>
      </c>
      <c r="F64" s="68">
        <f t="shared" ref="F64:G64" si="27">+F65</f>
        <v>100000</v>
      </c>
      <c r="G64" s="46">
        <f t="shared" si="27"/>
        <v>0</v>
      </c>
      <c r="H64" s="81">
        <f t="shared" si="26"/>
        <v>100000</v>
      </c>
      <c r="J64" s="42"/>
      <c r="K64" s="42"/>
      <c r="L64" s="42"/>
      <c r="M64" s="42"/>
    </row>
    <row r="65" spans="1:13" s="29" customFormat="1" x14ac:dyDescent="0.25">
      <c r="A65" s="54" t="s">
        <v>121</v>
      </c>
      <c r="B65" s="59" t="s">
        <v>58</v>
      </c>
      <c r="C65" s="28">
        <v>100000</v>
      </c>
      <c r="D65" s="28">
        <v>1</v>
      </c>
      <c r="E65" s="65">
        <f>+D65*C65</f>
        <v>100000</v>
      </c>
      <c r="F65" s="71">
        <f>+E65</f>
        <v>100000</v>
      </c>
      <c r="G65" s="72">
        <v>0</v>
      </c>
      <c r="H65" s="63">
        <f t="shared" si="26"/>
        <v>100000</v>
      </c>
      <c r="J65" s="30"/>
      <c r="K65" s="30"/>
      <c r="L65" s="30"/>
      <c r="M65" s="30"/>
    </row>
    <row r="66" spans="1:13" s="41" customFormat="1" x14ac:dyDescent="0.25">
      <c r="A66" s="52" t="s">
        <v>122</v>
      </c>
      <c r="B66" s="60"/>
      <c r="C66" s="45"/>
      <c r="D66" s="45"/>
      <c r="E66" s="62">
        <f>+E67</f>
        <v>100000</v>
      </c>
      <c r="F66" s="68">
        <f t="shared" ref="F66:G66" si="28">+F67</f>
        <v>100000</v>
      </c>
      <c r="G66" s="46">
        <f t="shared" si="28"/>
        <v>0</v>
      </c>
      <c r="H66" s="81">
        <f t="shared" si="26"/>
        <v>100000</v>
      </c>
      <c r="J66" s="42"/>
      <c r="K66" s="42"/>
      <c r="L66" s="42"/>
      <c r="M66" s="42"/>
    </row>
    <row r="67" spans="1:13" s="29" customFormat="1" ht="15.75" thickBot="1" x14ac:dyDescent="0.3">
      <c r="A67" s="54" t="s">
        <v>123</v>
      </c>
      <c r="B67" s="59" t="s">
        <v>58</v>
      </c>
      <c r="C67" s="28">
        <v>100000</v>
      </c>
      <c r="D67" s="28">
        <v>1</v>
      </c>
      <c r="E67" s="65">
        <f>+D67*C67</f>
        <v>100000</v>
      </c>
      <c r="F67" s="77">
        <f>+E67</f>
        <v>100000</v>
      </c>
      <c r="G67" s="78">
        <v>0</v>
      </c>
      <c r="H67" s="83">
        <f t="shared" si="26"/>
        <v>100000</v>
      </c>
      <c r="J67" s="30"/>
      <c r="K67" s="30"/>
      <c r="L67" s="30"/>
      <c r="M67" s="30"/>
    </row>
    <row r="68" spans="1:13" ht="15.75" thickBot="1" x14ac:dyDescent="0.3">
      <c r="A68" s="325" t="s">
        <v>46</v>
      </c>
      <c r="B68" s="326"/>
      <c r="C68" s="326"/>
      <c r="D68" s="353"/>
      <c r="E68" s="66">
        <f>+E61+E52+E44+E30+E18+E5</f>
        <v>3538000</v>
      </c>
      <c r="F68" s="79">
        <f t="shared" ref="F68:G68" si="29">+F61+F52+F44+F30+F18+F5</f>
        <v>3438000</v>
      </c>
      <c r="G68" s="57">
        <f t="shared" si="29"/>
        <v>204000</v>
      </c>
      <c r="H68" s="79">
        <f t="shared" si="26"/>
        <v>3642000</v>
      </c>
    </row>
    <row r="69" spans="1:13" ht="15.75" thickBot="1" x14ac:dyDescent="0.3">
      <c r="F69" s="11"/>
      <c r="G69" s="12"/>
      <c r="H69" s="12">
        <f>SUM(F69:G69)</f>
        <v>0</v>
      </c>
    </row>
    <row r="72" spans="1:13" x14ac:dyDescent="0.25">
      <c r="F72" s="13"/>
    </row>
  </sheetData>
  <mergeCells count="9">
    <mergeCell ref="H1:H3"/>
    <mergeCell ref="A68:D68"/>
    <mergeCell ref="A4:E4"/>
    <mergeCell ref="A1:A3"/>
    <mergeCell ref="B1:B3"/>
    <mergeCell ref="C1:C3"/>
    <mergeCell ref="D1:D3"/>
    <mergeCell ref="E1:E3"/>
    <mergeCell ref="F1:G2"/>
  </mergeCells>
  <pageMargins left="0.7" right="0.7" top="0.75" bottom="0.75" header="0.3" footer="0.3"/>
  <pageSetup orientation="portrait" r:id="rId1"/>
  <legacyDrawing r:id="rId2"/>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8"/>
  <sheetViews>
    <sheetView workbookViewId="0">
      <selection activeCell="J21" sqref="J21"/>
    </sheetView>
  </sheetViews>
  <sheetFormatPr defaultColWidth="11.42578125" defaultRowHeight="15" x14ac:dyDescent="0.25"/>
  <sheetData>
    <row r="2" spans="1:1" x14ac:dyDescent="0.25">
      <c r="A2" s="1" t="s">
        <v>0</v>
      </c>
    </row>
    <row r="4" spans="1:1" x14ac:dyDescent="0.25">
      <c r="A4" t="s">
        <v>1</v>
      </c>
    </row>
    <row r="7" spans="1:1" x14ac:dyDescent="0.25">
      <c r="A7" s="1" t="s">
        <v>4</v>
      </c>
    </row>
    <row r="9" spans="1:1" x14ac:dyDescent="0.25">
      <c r="A9" t="s">
        <v>17</v>
      </c>
    </row>
    <row r="11" spans="1:1" x14ac:dyDescent="0.25">
      <c r="A11" s="1" t="s">
        <v>5</v>
      </c>
    </row>
    <row r="13" spans="1:1" x14ac:dyDescent="0.25">
      <c r="A13" t="s">
        <v>6</v>
      </c>
    </row>
    <row r="14" spans="1:1" x14ac:dyDescent="0.25">
      <c r="A14" t="s">
        <v>7</v>
      </c>
    </row>
    <row r="15" spans="1:1" x14ac:dyDescent="0.25">
      <c r="A15" t="s">
        <v>8</v>
      </c>
    </row>
    <row r="18" spans="1:1" x14ac:dyDescent="0.25">
      <c r="A18" s="1" t="s">
        <v>2</v>
      </c>
    </row>
    <row r="20" spans="1:1" x14ac:dyDescent="0.25">
      <c r="A20" t="s">
        <v>13</v>
      </c>
    </row>
    <row r="21" spans="1:1" x14ac:dyDescent="0.25">
      <c r="A21" t="s">
        <v>9</v>
      </c>
    </row>
    <row r="22" spans="1:1" x14ac:dyDescent="0.25">
      <c r="A22" t="s">
        <v>10</v>
      </c>
    </row>
    <row r="23" spans="1:1" x14ac:dyDescent="0.25">
      <c r="A23" t="s">
        <v>11</v>
      </c>
    </row>
    <row r="24" spans="1:1" x14ac:dyDescent="0.25">
      <c r="A24" s="2" t="s">
        <v>12</v>
      </c>
    </row>
    <row r="25" spans="1:1" x14ac:dyDescent="0.25">
      <c r="A25" s="2" t="s">
        <v>14</v>
      </c>
    </row>
    <row r="26" spans="1:1" x14ac:dyDescent="0.25">
      <c r="A26" s="2" t="s">
        <v>15</v>
      </c>
    </row>
    <row r="28" spans="1:1" x14ac:dyDescent="0.25">
      <c r="A28" s="3" t="s">
        <v>16</v>
      </c>
    </row>
  </sheetData>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zoomScale="115" zoomScaleNormal="115" workbookViewId="0">
      <selection activeCell="D21" sqref="D21"/>
    </sheetView>
  </sheetViews>
  <sheetFormatPr defaultColWidth="11.42578125" defaultRowHeight="15" x14ac:dyDescent="0.25"/>
  <cols>
    <col min="1" max="1" width="35.140625" customWidth="1"/>
    <col min="2" max="2" width="34" bestFit="1" customWidth="1"/>
  </cols>
  <sheetData>
    <row r="1" spans="1:6" x14ac:dyDescent="0.25">
      <c r="A1" t="s">
        <v>129</v>
      </c>
    </row>
    <row r="3" spans="1:6" x14ac:dyDescent="0.25">
      <c r="C3" t="s">
        <v>134</v>
      </c>
    </row>
    <row r="4" spans="1:6" x14ac:dyDescent="0.25">
      <c r="A4" t="s">
        <v>130</v>
      </c>
      <c r="B4" t="s">
        <v>136</v>
      </c>
      <c r="C4" s="109">
        <v>6</v>
      </c>
      <c r="D4" s="109">
        <v>2000</v>
      </c>
      <c r="E4" s="109">
        <v>18</v>
      </c>
      <c r="F4" s="109">
        <f>+E4*D4*C4</f>
        <v>216000</v>
      </c>
    </row>
    <row r="5" spans="1:6" x14ac:dyDescent="0.25">
      <c r="A5" t="s">
        <v>6</v>
      </c>
      <c r="B5" t="s">
        <v>131</v>
      </c>
      <c r="C5" s="109"/>
      <c r="D5" s="109"/>
      <c r="E5" s="109"/>
      <c r="F5" s="109">
        <v>150000</v>
      </c>
    </row>
    <row r="6" spans="1:6" x14ac:dyDescent="0.25">
      <c r="B6" t="s">
        <v>132</v>
      </c>
      <c r="C6" s="109"/>
      <c r="D6" s="109"/>
      <c r="E6" s="109"/>
      <c r="F6" s="109">
        <f>+F7-F4-F5</f>
        <v>76000</v>
      </c>
    </row>
    <row r="7" spans="1:6" x14ac:dyDescent="0.25">
      <c r="C7" s="109"/>
      <c r="D7" s="109"/>
      <c r="E7" s="109"/>
      <c r="F7" s="109">
        <v>442000</v>
      </c>
    </row>
    <row r="8" spans="1:6" x14ac:dyDescent="0.25">
      <c r="C8" s="109"/>
      <c r="D8" s="109"/>
      <c r="E8" s="109"/>
      <c r="F8" s="109"/>
    </row>
    <row r="9" spans="1:6" x14ac:dyDescent="0.25">
      <c r="C9" s="109"/>
      <c r="D9" s="109"/>
      <c r="E9" s="109"/>
      <c r="F9" s="109"/>
    </row>
    <row r="10" spans="1:6" x14ac:dyDescent="0.25">
      <c r="A10" t="s">
        <v>135</v>
      </c>
      <c r="B10" t="s">
        <v>136</v>
      </c>
      <c r="C10" s="109">
        <v>2</v>
      </c>
      <c r="D10" s="109">
        <v>2000</v>
      </c>
      <c r="E10" s="109">
        <v>24</v>
      </c>
      <c r="F10" s="109">
        <f>+E10*D10*C10</f>
        <v>96000</v>
      </c>
    </row>
    <row r="11" spans="1:6" x14ac:dyDescent="0.25">
      <c r="A11" t="s">
        <v>133</v>
      </c>
      <c r="C11" s="109"/>
      <c r="D11" s="109"/>
      <c r="E11" s="109"/>
      <c r="F11" s="109"/>
    </row>
    <row r="12" spans="1:6" x14ac:dyDescent="0.25">
      <c r="C12" s="109"/>
      <c r="D12" s="109"/>
      <c r="E12" s="109"/>
      <c r="F12" s="109"/>
    </row>
    <row r="13" spans="1:6" x14ac:dyDescent="0.25">
      <c r="A13" t="s">
        <v>137</v>
      </c>
      <c r="B13" t="s">
        <v>139</v>
      </c>
      <c r="C13" s="109">
        <v>2</v>
      </c>
      <c r="D13" s="109">
        <v>2000</v>
      </c>
      <c r="E13" s="109">
        <v>24</v>
      </c>
      <c r="F13" s="109">
        <f>+E13*D13*C13</f>
        <v>96000</v>
      </c>
    </row>
    <row r="14" spans="1:6" x14ac:dyDescent="0.25">
      <c r="A14" t="s">
        <v>138</v>
      </c>
      <c r="C14" s="109"/>
      <c r="D14" s="109"/>
      <c r="E14" s="109"/>
      <c r="F14" s="109"/>
    </row>
    <row r="15" spans="1:6" x14ac:dyDescent="0.25">
      <c r="C15" s="109"/>
      <c r="D15" s="109"/>
      <c r="E15" s="109"/>
      <c r="F15" s="109"/>
    </row>
    <row r="16" spans="1:6" x14ac:dyDescent="0.25">
      <c r="A16" t="s">
        <v>142</v>
      </c>
      <c r="C16" s="109"/>
      <c r="D16" s="109"/>
      <c r="E16" s="109"/>
      <c r="F16" s="109"/>
    </row>
    <row r="17" spans="1:6" x14ac:dyDescent="0.25">
      <c r="A17" t="s">
        <v>140</v>
      </c>
      <c r="B17" t="s">
        <v>136</v>
      </c>
      <c r="C17" s="109">
        <v>1</v>
      </c>
      <c r="D17" s="109">
        <v>2500</v>
      </c>
      <c r="E17" s="109">
        <v>36</v>
      </c>
      <c r="F17" s="109">
        <f>+E17*D17*C17</f>
        <v>90000</v>
      </c>
    </row>
    <row r="18" spans="1:6" x14ac:dyDescent="0.25">
      <c r="A18" t="s">
        <v>141</v>
      </c>
      <c r="B18" t="s">
        <v>136</v>
      </c>
      <c r="C18" s="109">
        <v>2</v>
      </c>
      <c r="D18" s="109">
        <v>2500</v>
      </c>
      <c r="E18" s="109">
        <v>36</v>
      </c>
      <c r="F18" s="109">
        <f>+E18*D18*C18</f>
        <v>180000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haredContentType xmlns="Microsoft.SharePoint.Taxonomy.ContentTypeSync" SourceId="cf0be0ad-272c-4e7f-a157-3f0abda6cde5" ContentTypeId="0x01010046CF21643EE8D14686A648AA6DAD0892" PreviousValue="false"/>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46CF21643EE8D14686A648AA6DAD089200948DF1F1D3295A4AA1DBB7E9DFC446B6" ma:contentTypeVersion="0" ma:contentTypeDescription="A content type to manage public (operations) IDB documents" ma:contentTypeScope="" ma:versionID="715793c00e2ef44d4604362b9abb5d71">
  <xsd:schema xmlns:xsd="http://www.w3.org/2001/XMLSchema" xmlns:xs="http://www.w3.org/2001/XMLSchema" xmlns:p="http://schemas.microsoft.com/office/2006/metadata/properties" xmlns:ns2="9c571b2f-e523-4ab2-ba2e-09e151a03ef4" targetNamespace="http://schemas.microsoft.com/office/2006/metadata/properties" ma:root="true" ma:fieldsID="fca353a57030c8e3f0c4df7811ea3665" ns2:_="">
    <xsd:import namespace="9c571b2f-e523-4ab2-ba2e-09e151a03ef4"/>
    <xsd:element name="properties">
      <xsd:complexType>
        <xsd:sequence>
          <xsd:element name="documentManagement">
            <xsd:complexType>
              <xsd:all>
                <xsd:element ref="ns2:_dlc_DocId" minOccurs="0"/>
                <xsd:element ref="ns2:_dlc_DocIdUrl" minOccurs="0"/>
                <xsd:element ref="ns2:_dlc_DocIdPersistId" minOccurs="0"/>
                <xsd:element ref="ns2:fd0e48b6a66848a9885f717e5bbf40c4" minOccurs="0"/>
                <xsd:element ref="ns2:TaxCatchAll" minOccurs="0"/>
                <xsd:element ref="ns2:TaxCatchAllLabel" minOccurs="0"/>
                <xsd:element ref="ns2:Access_x0020_to_x0020_Information_x00a0_Policy"/>
                <xsd:element ref="ns2:o5138a91267540169645e33d09c9ddc6"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m555d3814edf4817b4410a4e57f94ce9" minOccurs="0"/>
                <xsd:element ref="ns2:e559ffcc31d34167856647188be35015" minOccurs="0"/>
                <xsd:element ref="ns2:c456731dbc904a5fb605ec556c33e883" minOccurs="0"/>
                <xsd:element ref="ns2:Document_x0020_Language_x0020_IDB"/>
                <xsd:element ref="ns2:Division_x0020_or_x0020_Unit"/>
                <xsd:element ref="ns2:Identifier" minOccurs="0"/>
                <xsd:element ref="ns2:j8b96605ee2f4c4e988849e658583fee"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Fiscal_x0020_Year_x0020_I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571b2f-e523-4ab2-ba2e-09e151a03ef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fd0e48b6a66848a9885f717e5bbf40c4" ma:index="11" nillable="true" ma:taxonomy="true" ma:internalName="fd0e48b6a66848a9885f717e5bbf40c4" ma:taxonomyFieldName="Function_x0020_Operations_x0020_IDB" ma:displayName="Function Operations IDB" ma:default="" ma:fieldId="{fd0e48b6-a668-48a9-885f-717e5bbf40c4}" ma:sspId="cf0be0ad-272c-4e7f-a157-3f0abda6cde5" ma:termSetId="5afbb5f0-73fa-45d3-a56a-b084af06f56a"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8280a35e-b938-40a4-87f4-c822ed063427}" ma:internalName="TaxCatchAll" ma:showField="CatchAllData" ma:web="69dee779-4b5f-41e8-86c4-0ae5d8a27b62">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8280a35e-b938-40a4-87f4-c822ed063427}" ma:internalName="TaxCatchAllLabel" ma:readOnly="true" ma:showField="CatchAllDataLabel" ma:web="69dee779-4b5f-41e8-86c4-0ae5d8a27b62">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o5138a91267540169645e33d09c9ddc6" ma:index="16" ma:taxonomy="true" ma:internalName="o5138a91267540169645e33d09c9ddc6" ma:taxonomyFieldName="Series_x0020_Operations_x0020_IDB" ma:displayName="Series Operations IDB" ma:readOnly="false" ma:default="" ma:fieldId="{85138a91-2675-4016-9645-e33d09c9ddc6}" ma:sspId="cf0be0ad-272c-4e7f-a157-3f0abda6cde5" ma:termSetId="3bc5da7b-2b03-4315-921b-8aab7897c505"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description="Entered by the user or default value pulled from project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m555d3814edf4817b4410a4e57f94ce9" ma:index="24" nillable="true" ma:taxonomy="true" ma:internalName="m555d3814edf4817b4410a4e57f94ce9" ma:taxonomyFieldName="Fund_x0020_IDB" ma:displayName="Fund IDB" ma:default="" ma:fieldId="{6555d381-4edf-4817-b441-0a4e57f94ce9}" ma:taxonomyMulti="true" ma:sspId="cf0be0ad-272c-4e7f-a157-3f0abda6cde5" ma:termSetId="932037b2-42e9-4373-86b7-1f7fc55d6c47" ma:anchorId="00000000-0000-0000-0000-000000000000" ma:open="false" ma:isKeyword="false">
      <xsd:complexType>
        <xsd:sequence>
          <xsd:element ref="pc:Terms" minOccurs="0" maxOccurs="1"/>
        </xsd:sequence>
      </xsd:complexType>
    </xsd:element>
    <xsd:element name="e559ffcc31d34167856647188be35015" ma:index="26" nillable="true" ma:taxonomy="true" ma:internalName="e559ffcc31d34167856647188be35015" ma:taxonomyFieldName="Sector_x0020_IDB" ma:displayName="Sector IDB" ma:default="" ma:fieldId="{e559ffcc-31d3-4167-8566-47188be35015}" ma:taxonomyMulti="true" ma:sspId="cf0be0ad-272c-4e7f-a157-3f0abda6cde5" ma:termSetId="2d74a730-652b-4815-b74c-000791e0ddfc" ma:anchorId="00000000-0000-0000-0000-000000000000" ma:open="true" ma:isKeyword="false">
      <xsd:complexType>
        <xsd:sequence>
          <xsd:element ref="pc:Terms" minOccurs="0" maxOccurs="1"/>
        </xsd:sequence>
      </xsd:complexType>
    </xsd:element>
    <xsd:element name="c456731dbc904a5fb605ec556c33e883" ma:index="28" nillable="true" ma:taxonomy="true" ma:internalName="c456731dbc904a5fb605ec556c33e883" ma:taxonomyFieldName="Sub_x002d_Sector" ma:displayName="Sub-Sector" ma:default="" ma:fieldId="{c456731d-bc90-4a5f-b605-ec556c33e883}" ma:sspId="cf0be0ad-272c-4e7f-a157-3f0abda6cde5" ma:termSetId="b6d60bd7-2da3-4fd7-a377-d114adc2f2db"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j8b96605ee2f4c4e988849e658583fee" ma:index="33" nillable="true" ma:taxonomy="true" ma:internalName="j8b96605ee2f4c4e988849e658583fee" ma:taxonomyFieldName="Country" ma:displayName="Country" ma:default="" ma:fieldId="{38b96605-ee2f-4c4e-9888-49e658583fee}" ma:taxonomyMulti="true" ma:sspId="cf0be0ad-272c-4e7f-a157-3f0abda6cde5" ma:termSetId="2a7cd356-0181-422a-926d-b928cc73465d" ma:anchorId="00000000-0000-0000-0000-000000000000" ma:open="false" ma:isKeyword="false">
      <xsd:complexType>
        <xsd:sequence>
          <xsd:element ref="pc:Terms" minOccurs="0" maxOccurs="1"/>
        </xsd:sequence>
      </xsd:complexType>
    </xsd:element>
    <xsd:element name="Operation_x0020_Type" ma:index="35" nillable="true" ma:displayName="Operation Type" ma:internalName="Operation_x0020_Type">
      <xsd:simpleType>
        <xsd:restriction base="dms:Text">
          <xsd:maxLength value="255"/>
        </xsd:restriction>
      </xsd:simpleType>
    </xsd:element>
    <xsd:element name="Package_x0020_Code" ma:index="36" nillable="true" ma:displayName="Package Code" ma:internalName="Package_x0020_Code">
      <xsd:simpleType>
        <xsd:restriction base="dms:Text">
          <xsd:maxLength value="255"/>
        </xsd:restriction>
      </xsd:simpleType>
    </xsd:element>
    <xsd:element name="Phase" ma:index="37" nillable="true" ma:displayName="Phase" ma:internalName="Phase">
      <xsd:simpleType>
        <xsd:restriction base="dms:Text">
          <xsd:maxLength value="255"/>
        </xsd:restriction>
      </xsd:simpleType>
    </xsd:element>
    <xsd:element name="Business_x0020_Area" ma:index="38" nillable="true" ma:displayName="Business Area" ma:internalName="Business_x0020_Area">
      <xsd:simpleType>
        <xsd:restriction base="dms:Text">
          <xsd:maxLength value="255"/>
        </xsd:restriction>
      </xsd:simpleType>
    </xsd:element>
    <xsd:element name="Key_x0020_Document" ma:index="39" nillable="true" ma:displayName="Key Document" ma:default="0" ma:internalName="Key_x0020_Document">
      <xsd:simpleType>
        <xsd:restriction base="dms:Boolean"/>
      </xsd:simpleType>
    </xsd:element>
    <xsd:element name="Project_x0020_Document_x0020_Type" ma:index="40" nillable="true" ma:displayName="Project Document Type" ma:internalName="Project_x0020_Document_x0020_Type">
      <xsd:simpleType>
        <xsd:restriction base="dms:Text">
          <xsd:maxLength value="255"/>
        </xsd:restriction>
      </xsd:simpleType>
    </xsd:element>
    <xsd:element name="Abstract" ma:index="41" nillable="true" ma:displayName="Abstract" ma:internalName="Abstract">
      <xsd:simpleType>
        <xsd:restriction base="dms:Note">
          <xsd:maxLength value="255"/>
        </xsd:restriction>
      </xsd:simpleType>
    </xsd:element>
    <xsd:element name="Migration_x0020_Info" ma:index="42" nillable="true" ma:displayName="Migration Info" ma:internalName="Migration_x0020_Info">
      <xsd:simpleType>
        <xsd:restriction base="dms:Note"/>
      </xsd:simpleType>
    </xsd:element>
    <xsd:element name="SISCOR_x0020_Number" ma:index="43" nillable="true" ma:displayName="SISCOR Number" ma:internalName="SISCOR_x0020_Number">
      <xsd:simpleType>
        <xsd:restriction base="dms:Text">
          <xsd:maxLength value="255"/>
        </xsd:restriction>
      </xsd:simpleType>
    </xsd:element>
    <xsd:element name="IDBDocs_x0020_Number" ma:index="44" nillable="true" ma:displayName="IDBDocs Number" ma:description="Brought over as part of Migration" ma:internalName="IDBDocs_x0020_Number">
      <xsd:simpleType>
        <xsd:restriction base="dms:Text">
          <xsd:maxLength value="255"/>
        </xsd:restriction>
      </xsd:simpleType>
    </xsd:element>
    <xsd:element name="Editor1" ma:index="45" nillable="true" ma:displayName="Editor" ma:internalName="Editor1">
      <xsd:simpleType>
        <xsd:restriction base="dms:Text">
          <xsd:maxLength value="255"/>
        </xsd:restriction>
      </xsd:simpleType>
    </xsd:element>
    <xsd:element name="Issue_x0020_Date" ma:index="46" nillable="true" ma:displayName="Issue Date" ma:format="DateOnly" ma:internalName="Issue_x0020_Date">
      <xsd:simpleType>
        <xsd:restriction base="dms:DateTime"/>
      </xsd:simpleType>
    </xsd:element>
    <xsd:element name="Publishing_x0020_House" ma:index="47" nillable="true" ma:displayName="Publishing House" ma:internalName="Publishing_x0020_House">
      <xsd:simpleType>
        <xsd:restriction base="dms:Text">
          <xsd:maxLength value="255"/>
        </xsd:restriction>
      </xsd:simpleType>
    </xsd:element>
    <xsd:element name="KP_x0020_Topics" ma:index="48" nillable="true" ma:displayName="KP Topics" ma:internalName="KP_x0020_Topics">
      <xsd:simpleType>
        <xsd:restriction base="dms:Text">
          <xsd:maxLength value="255"/>
        </xsd:restriction>
      </xsd:simpleType>
    </xsd:element>
    <xsd:element name="Region" ma:index="49" nillable="true" ma:displayName="Region" ma:internalName="Region">
      <xsd:simpleType>
        <xsd:restriction base="dms:Text">
          <xsd:maxLength value="255"/>
        </xsd:restriction>
      </xsd:simpleType>
    </xsd:element>
    <xsd:element name="Publication_x0020_Type" ma:index="50" nillable="true" ma:displayName="Publication Type" ma:internalName="Publication_x0020_Type">
      <xsd:simpleType>
        <xsd:restriction base="dms:Text">
          <xsd:maxLength value="255"/>
        </xsd:restriction>
      </xsd:simpleType>
    </xsd:element>
    <xsd:element name="Fiscal_x0020_Year_x0020_IDB" ma:index="51" nillable="true" ma:displayName="Fiscal Year IDB" ma:default="=TEXT(TODAY(),&quot;yyyy&quot;)" ma:internalName="Fiscal_x0020_Year_x0020_IDB">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file>

<file path=customXml/item5.xml><?xml version="1.0" encoding="utf-8"?>
<p:properties xmlns:p="http://schemas.microsoft.com/office/2006/metadata/properties" xmlns:xsi="http://www.w3.org/2001/XMLSchema-instance" xmlns:pc="http://schemas.microsoft.com/office/infopath/2007/PartnerControls">
  <documentManagement>
    <c456731dbc904a5fb605ec556c33e883 xmlns="9c571b2f-e523-4ab2-ba2e-09e151a03ef4">
      <Terms xmlns="http://schemas.microsoft.com/office/infopath/2007/PartnerControls"/>
    </c456731dbc904a5fb605ec556c33e883>
    <Project_x0020_Document_x0020_Type xmlns="9c571b2f-e523-4ab2-ba2e-09e151a03ef4" xsi:nil="true"/>
    <Business_x0020_Area xmlns="9c571b2f-e523-4ab2-ba2e-09e151a03ef4" xsi:nil="true"/>
    <IDBDocs_x0020_Number xmlns="9c571b2f-e523-4ab2-ba2e-09e151a03ef4">38089733</IDBDocs_x0020_Number>
    <TaxCatchAll xmlns="9c571b2f-e523-4ab2-ba2e-09e151a03ef4">
      <Value>11</Value>
      <Value>12</Value>
    </TaxCatchAll>
    <Phase xmlns="9c571b2f-e523-4ab2-ba2e-09e151a03ef4" xsi:nil="true"/>
    <SISCOR_x0020_Number xmlns="9c571b2f-e523-4ab2-ba2e-09e151a03ef4" xsi:nil="true"/>
    <Division_x0020_or_x0020_Unit xmlns="9c571b2f-e523-4ab2-ba2e-09e151a03ef4">INE/RND</Division_x0020_or_x0020_Unit>
    <o5138a91267540169645e33d09c9ddc6 xmlns="9c571b2f-e523-4ab2-ba2e-09e151a03ef4">
      <Terms xmlns="http://schemas.microsoft.com/office/infopath/2007/PartnerControls">
        <TermInfo xmlns="http://schemas.microsoft.com/office/infopath/2007/PartnerControls">
          <TermName xmlns="http://schemas.microsoft.com/office/infopath/2007/PartnerControls">Project Profile (PP)</TermName>
          <TermId xmlns="http://schemas.microsoft.com/office/infopath/2007/PartnerControls">ac5f0c28-f2f6-431c-8d05-62f851b6a822</TermId>
        </TermInfo>
      </Terms>
    </o5138a91267540169645e33d09c9ddc6>
    <Approval_x0020_Number xmlns="9c571b2f-e523-4ab2-ba2e-09e151a03ef4" xsi:nil="true"/>
    <Document_x0020_Author xmlns="9c571b2f-e523-4ab2-ba2e-09e151a03ef4">Landazuri, Helena</Document_x0020_Author>
    <e559ffcc31d34167856647188be35015 xmlns="9c571b2f-e523-4ab2-ba2e-09e151a03ef4">
      <Terms xmlns="http://schemas.microsoft.com/office/infopath/2007/PartnerControls"/>
    </e559ffcc31d34167856647188be35015>
    <Fiscal_x0020_Year_x0020_IDB xmlns="9c571b2f-e523-4ab2-ba2e-09e151a03ef4">2013</Fiscal_x0020_Year_x0020_IDB>
    <Other_x0020_Author xmlns="9c571b2f-e523-4ab2-ba2e-09e151a03ef4">Patricia Nardelli</Other_x0020_Author>
    <fd0e48b6a66848a9885f717e5bbf40c4 xmlns="9c571b2f-e523-4ab2-ba2e-09e151a03ef4">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fd0e48b6a66848a9885f717e5bbf40c4>
    <Project_x0020_Number xmlns="9c571b2f-e523-4ab2-ba2e-09e151a03ef4">UR-L1083</Project_x0020_Number>
    <Access_x0020_to_x0020_Information_x00a0_Policy xmlns="9c571b2f-e523-4ab2-ba2e-09e151a03ef4">Public</Access_x0020_to_x0020_Information_x00a0_Policy>
    <Package_x0020_Code xmlns="9c571b2f-e523-4ab2-ba2e-09e151a03ef4" xsi:nil="true"/>
    <m555d3814edf4817b4410a4e57f94ce9 xmlns="9c571b2f-e523-4ab2-ba2e-09e151a03ef4">
      <Terms xmlns="http://schemas.microsoft.com/office/infopath/2007/PartnerControls"/>
    </m555d3814edf4817b4410a4e57f94ce9>
    <Key_x0020_Document xmlns="9c571b2f-e523-4ab2-ba2e-09e151a03ef4">false</Key_x0020_Document>
    <j8b96605ee2f4c4e988849e658583fee xmlns="9c571b2f-e523-4ab2-ba2e-09e151a03ef4">
      <Terms xmlns="http://schemas.microsoft.com/office/infopath/2007/PartnerControls"/>
    </j8b96605ee2f4c4e988849e658583fee>
    <Migration_x0020_Info xmlns="9c571b2f-e523-4ab2-ba2e-09e151a03ef4">&lt;Data&gt;&lt;APPLICATION&gt;MS EXCEL&lt;/APPLICATION&gt;&lt;USER_STAGE&gt;Loan Proposal&lt;/USER_STAGE&gt;&lt;PD_OBJ_TYPE&gt;0&lt;/PD_OBJ_TYPE&gt;&lt;MAKERECORD&gt;N&lt;/MAKERECORD&gt;&lt;PD_FILEPT_NO&gt;PO-UR-L1083-Plan&lt;/PD_FILEPT_NO&gt;&lt;/Data&gt;</Migration_x0020_Info>
    <Operation_x0020_Type xmlns="9c571b2f-e523-4ab2-ba2e-09e151a03ef4" xsi:nil="true"/>
    <Document_x0020_Language_x0020_IDB xmlns="9c571b2f-e523-4ab2-ba2e-09e151a03ef4">Spanish</Document_x0020_Language_x0020_IDB>
    <Identifier xmlns="9c571b2f-e523-4ab2-ba2e-09e151a03ef4">Link-PIC TECFILE</Identifier>
    <Disclosure_x0020_Activity xmlns="9c571b2f-e523-4ab2-ba2e-09e151a03ef4">Loan Proposal</Disclosure_x0020_Activity>
    <Webtopic xmlns="9c571b2f-e523-4ab2-ba2e-09e151a03ef4">PA-AMB</Webtopic>
    <Issue_x0020_Date xmlns="9c571b2f-e523-4ab2-ba2e-09e151a03ef4" xsi:nil="true"/>
    <Publication_x0020_Type xmlns="9c571b2f-e523-4ab2-ba2e-09e151a03ef4" xsi:nil="true"/>
    <Abstract xmlns="9c571b2f-e523-4ab2-ba2e-09e151a03ef4" xsi:nil="true"/>
    <KP_x0020_Topics xmlns="9c571b2f-e523-4ab2-ba2e-09e151a03ef4" xsi:nil="true"/>
    <Editor1 xmlns="9c571b2f-e523-4ab2-ba2e-09e151a03ef4" xsi:nil="true"/>
    <Region xmlns="9c571b2f-e523-4ab2-ba2e-09e151a03ef4" xsi:nil="true"/>
    <Publishing_x0020_House xmlns="9c571b2f-e523-4ab2-ba2e-09e151a03ef4" xsi:nil="true"/>
  </documentManagement>
</p:properties>
</file>

<file path=customXml/itemProps1.xml><?xml version="1.0" encoding="utf-8"?>
<ds:datastoreItem xmlns:ds="http://schemas.openxmlformats.org/officeDocument/2006/customXml" ds:itemID="{E5C9C79F-38A1-4113-9453-AE08891F728E}"/>
</file>

<file path=customXml/itemProps2.xml><?xml version="1.0" encoding="utf-8"?>
<ds:datastoreItem xmlns:ds="http://schemas.openxmlformats.org/officeDocument/2006/customXml" ds:itemID="{6F0C2313-A3C0-4C0D-8855-B2D30C21BA02}"/>
</file>

<file path=customXml/itemProps3.xml><?xml version="1.0" encoding="utf-8"?>
<ds:datastoreItem xmlns:ds="http://schemas.openxmlformats.org/officeDocument/2006/customXml" ds:itemID="{4EC90448-A4FE-4653-A5E1-35E040610AE5}"/>
</file>

<file path=customXml/itemProps4.xml><?xml version="1.0" encoding="utf-8"?>
<ds:datastoreItem xmlns:ds="http://schemas.openxmlformats.org/officeDocument/2006/customXml" ds:itemID="{D334DA89-61B6-432D-A968-F8A3A81A8D7A}"/>
</file>

<file path=customXml/itemProps5.xml><?xml version="1.0" encoding="utf-8"?>
<ds:datastoreItem xmlns:ds="http://schemas.openxmlformats.org/officeDocument/2006/customXml" ds:itemID="{4CE78CC7-2279-4F3C-BFBC-06841F74FE9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Cuadro de Costos</vt:lpstr>
      <vt:lpstr>Compilado</vt:lpstr>
      <vt:lpstr>Componente_1_MR</vt:lpstr>
      <vt:lpstr>Componente_2</vt:lpstr>
      <vt:lpstr>Administracion</vt:lpstr>
      <vt:lpstr>Evaluación y Auditoria </vt:lpstr>
      <vt:lpstr>Componente_1_¨Por División</vt:lpstr>
      <vt:lpstr>Hoja1</vt:lpstr>
      <vt:lpstr>Hoja3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UR-L1083 - LP - Link Presupuesto Detallado</dc:title>
  <dc:creator>Patricia</dc:creator>
  <cp:lastModifiedBy>Inter-American Development Bank</cp:lastModifiedBy>
  <dcterms:created xsi:type="dcterms:W3CDTF">2013-07-14T13:24:03Z</dcterms:created>
  <dcterms:modified xsi:type="dcterms:W3CDTF">2013-09-26T19:54:51Z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0x01010046CF21643EE8D14686A648AA6DAD089200948DF1F1D3295A4AA1DBB7E9DFC446B6</vt:lpwstr>
  </property>
  <property fmtid="{D5CDD505-2E9C-101B-9397-08002B2CF9AE}" pid="3" name="TaxKeyword">
    <vt:lpwstr/>
  </property>
  <property fmtid="{D5CDD505-2E9C-101B-9397-08002B2CF9AE}" pid="4" name="Function Operations IDB">
    <vt:lpwstr>11;#Project Preparation, Planning and Design|29ca0c72-1fc4-435f-a09c-28585cb5eac9</vt:lpwstr>
  </property>
  <property fmtid="{D5CDD505-2E9C-101B-9397-08002B2CF9AE}" pid="5" name="Sub_x002d_Sector">
    <vt:lpwstr/>
  </property>
  <property fmtid="{D5CDD505-2E9C-101B-9397-08002B2CF9AE}" pid="6" name="TaxKeywordTaxHTField">
    <vt:lpwstr/>
  </property>
  <property fmtid="{D5CDD505-2E9C-101B-9397-08002B2CF9AE}" pid="7" name="Series Operations IDB">
    <vt:lpwstr>12;#Project Profile (PP)|ac5f0c28-f2f6-431c-8d05-62f851b6a822</vt:lpwstr>
  </property>
  <property fmtid="{D5CDD505-2E9C-101B-9397-08002B2CF9AE}" pid="9" name="Country">
    <vt:lpwstr/>
  </property>
  <property fmtid="{D5CDD505-2E9C-101B-9397-08002B2CF9AE}" pid="10" name="Fund IDB">
    <vt:lpwstr/>
  </property>
  <property fmtid="{D5CDD505-2E9C-101B-9397-08002B2CF9AE}" pid="11" name="Series_x0020_Operations_x0020_IDB">
    <vt:lpwstr>12;#Project Profile (PP)|ac5f0c28-f2f6-431c-8d05-62f851b6a822</vt:lpwstr>
  </property>
  <property fmtid="{D5CDD505-2E9C-101B-9397-08002B2CF9AE}" pid="12" name="To:">
    <vt:lpwstr/>
  </property>
  <property fmtid="{D5CDD505-2E9C-101B-9397-08002B2CF9AE}" pid="13" name="From:">
    <vt:lpwstr>Patricia Nardelli</vt:lpwstr>
  </property>
  <property fmtid="{D5CDD505-2E9C-101B-9397-08002B2CF9AE}" pid="14" name="Sector IDB">
    <vt:lpwstr/>
  </property>
  <property fmtid="{D5CDD505-2E9C-101B-9397-08002B2CF9AE}" pid="15" name="Sub-Sector">
    <vt:lpwstr/>
  </property>
</Properties>
</file>