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0" yWindow="0" windowWidth="15360" windowHeight="9045"/>
  </bookViews>
  <sheets>
    <sheet name="Detailed PP" sheetId="2" r:id="rId1"/>
    <sheet name="Procurement Plan" sheetId="3" r:id="rId2"/>
    <sheet name="Detailed Budget " sheetId="4" r:id="rId3"/>
    <sheet name="Budget POD" sheetId="6" r:id="rId4"/>
    <sheet name="PEP" sheetId="7" r:id="rId5"/>
    <sheet name="Product view" sheetId="8" r:id="rId6"/>
    <sheet name="Process View" sheetId="9" r:id="rId7"/>
    <sheet name="Worksheet" sheetId="10" r:id="rId8"/>
  </sheets>
  <externalReferences>
    <externalReference r:id="rId9"/>
  </externalReferences>
  <definedNames>
    <definedName name="_xlnm.Print_Area" localSheetId="2">'Detailed Budget '!$A$1:$V$36</definedName>
    <definedName name="_xlnm.Print_Area" localSheetId="0">'Detailed PP'!$A$1:$J$40</definedName>
  </definedNames>
  <calcPr calcId="145621"/>
</workbook>
</file>

<file path=xl/calcChain.xml><?xml version="1.0" encoding="utf-8"?>
<calcChain xmlns="http://schemas.openxmlformats.org/spreadsheetml/2006/main">
  <c r="F13" i="2" l="1"/>
  <c r="E13" i="2"/>
  <c r="B13" i="2"/>
  <c r="B12" i="2"/>
  <c r="M2" i="7" l="1"/>
  <c r="Q6" i="7"/>
  <c r="O5" i="7"/>
  <c r="M4" i="7"/>
  <c r="M9" i="4"/>
  <c r="M25" i="4"/>
  <c r="M21" i="2"/>
  <c r="B21" i="2"/>
  <c r="H108" i="8"/>
  <c r="J108" i="8"/>
  <c r="I108" i="8"/>
  <c r="M24" i="4"/>
  <c r="V24" i="4"/>
  <c r="G8" i="4"/>
  <c r="F15" i="4"/>
  <c r="V15" i="4"/>
  <c r="E21" i="2"/>
  <c r="F21" i="2"/>
  <c r="G21" i="4"/>
  <c r="G19" i="4"/>
  <c r="G18" i="4"/>
  <c r="G17" i="4"/>
  <c r="F20" i="4"/>
  <c r="G20" i="4"/>
  <c r="F16" i="4"/>
  <c r="G16" i="4"/>
  <c r="F14" i="4"/>
  <c r="G14" i="4"/>
  <c r="G7" i="4"/>
  <c r="F6" i="4"/>
  <c r="G6" i="4"/>
  <c r="F5" i="4"/>
  <c r="G5" i="4"/>
  <c r="I36" i="10"/>
  <c r="I35" i="10"/>
  <c r="I34" i="10"/>
  <c r="I33" i="10"/>
  <c r="G25" i="10"/>
  <c r="G24" i="10"/>
  <c r="G23" i="10"/>
  <c r="F17" i="10"/>
  <c r="F16" i="10"/>
  <c r="F20" i="10"/>
  <c r="F42" i="10"/>
  <c r="F15" i="10"/>
  <c r="D13" i="10"/>
  <c r="D20" i="10"/>
  <c r="C12" i="10"/>
  <c r="E6" i="10"/>
  <c r="E5" i="10"/>
  <c r="E4" i="10"/>
  <c r="E3" i="10"/>
  <c r="E2" i="10"/>
  <c r="K8" i="10"/>
  <c r="G40" i="9"/>
  <c r="F36" i="9"/>
  <c r="E36" i="9"/>
  <c r="D36" i="9"/>
  <c r="F35" i="9"/>
  <c r="E35" i="9"/>
  <c r="D35" i="9"/>
  <c r="F34" i="9"/>
  <c r="E34" i="9"/>
  <c r="D34" i="9"/>
  <c r="F33" i="9"/>
  <c r="E33" i="9"/>
  <c r="D33" i="9"/>
  <c r="F32" i="9"/>
  <c r="E32" i="9"/>
  <c r="D32" i="9"/>
  <c r="F31" i="9"/>
  <c r="E31" i="9"/>
  <c r="D31" i="9"/>
  <c r="D30" i="9"/>
  <c r="D37" i="9"/>
  <c r="C30" i="9"/>
  <c r="C29" i="9"/>
  <c r="F26" i="9"/>
  <c r="E26" i="9"/>
  <c r="D26" i="9"/>
  <c r="F25" i="9"/>
  <c r="E25" i="9"/>
  <c r="D25" i="9"/>
  <c r="F24" i="9"/>
  <c r="E24" i="9"/>
  <c r="D24" i="9"/>
  <c r="F23" i="9"/>
  <c r="F27" i="9"/>
  <c r="E23" i="9"/>
  <c r="D23" i="9"/>
  <c r="E22" i="9"/>
  <c r="D22" i="9"/>
  <c r="D27" i="9"/>
  <c r="D19" i="9"/>
  <c r="C19" i="9"/>
  <c r="D18" i="9"/>
  <c r="C18" i="9"/>
  <c r="D17" i="9"/>
  <c r="C17" i="9"/>
  <c r="D16" i="9"/>
  <c r="C16" i="9"/>
  <c r="C15" i="9"/>
  <c r="C14" i="9"/>
  <c r="D13" i="9"/>
  <c r="C13" i="9"/>
  <c r="C12" i="9"/>
  <c r="C8" i="9"/>
  <c r="C7" i="9"/>
  <c r="C6" i="9"/>
  <c r="C5" i="9"/>
  <c r="C4" i="9"/>
  <c r="C3" i="9"/>
  <c r="G107" i="8"/>
  <c r="F107" i="8"/>
  <c r="E107" i="8"/>
  <c r="D107" i="8"/>
  <c r="C107" i="8"/>
  <c r="H104" i="8"/>
  <c r="I104" i="8"/>
  <c r="F104" i="8"/>
  <c r="E104" i="8"/>
  <c r="D104" i="8"/>
  <c r="C104" i="8"/>
  <c r="H103" i="8"/>
  <c r="I103" i="8"/>
  <c r="F103" i="8"/>
  <c r="E103" i="8"/>
  <c r="D103" i="8"/>
  <c r="C103" i="8"/>
  <c r="I102" i="8"/>
  <c r="D102" i="8"/>
  <c r="C102" i="8"/>
  <c r="I101" i="8"/>
  <c r="C101" i="8"/>
  <c r="L101" i="8"/>
  <c r="K101" i="8"/>
  <c r="H100" i="8"/>
  <c r="I100" i="8"/>
  <c r="F100" i="8"/>
  <c r="E100" i="8"/>
  <c r="D100" i="8"/>
  <c r="C100" i="8"/>
  <c r="F99" i="8"/>
  <c r="E99" i="8"/>
  <c r="D99" i="8"/>
  <c r="F98" i="8"/>
  <c r="E98" i="8"/>
  <c r="D98" i="8"/>
  <c r="F97" i="8"/>
  <c r="E97" i="8"/>
  <c r="D97" i="8"/>
  <c r="F96" i="8"/>
  <c r="E96" i="8"/>
  <c r="D96" i="8"/>
  <c r="F95" i="8"/>
  <c r="E95" i="8"/>
  <c r="D95" i="8"/>
  <c r="E94" i="8"/>
  <c r="D94" i="8"/>
  <c r="D93" i="8"/>
  <c r="C93" i="8"/>
  <c r="C92" i="8"/>
  <c r="L92" i="8"/>
  <c r="K92" i="8"/>
  <c r="H91" i="8"/>
  <c r="H87" i="8"/>
  <c r="C91" i="8"/>
  <c r="J91" i="8"/>
  <c r="I91" i="8"/>
  <c r="C90" i="8"/>
  <c r="L90" i="8"/>
  <c r="K90" i="8"/>
  <c r="C89" i="8"/>
  <c r="L89" i="8"/>
  <c r="K89" i="8"/>
  <c r="C88" i="8"/>
  <c r="J88" i="8"/>
  <c r="G87" i="8"/>
  <c r="G81" i="8"/>
  <c r="E86" i="8"/>
  <c r="D86" i="8"/>
  <c r="I85" i="8"/>
  <c r="C85" i="8"/>
  <c r="L85" i="8"/>
  <c r="K85" i="8"/>
  <c r="I84" i="8"/>
  <c r="C84" i="8"/>
  <c r="L84" i="8"/>
  <c r="K84" i="8"/>
  <c r="J83" i="8"/>
  <c r="H83" i="8"/>
  <c r="C83" i="8"/>
  <c r="L78" i="8"/>
  <c r="K78" i="8"/>
  <c r="I78" i="8"/>
  <c r="L77" i="8"/>
  <c r="K77" i="8"/>
  <c r="I77" i="8"/>
  <c r="K76" i="8"/>
  <c r="I76" i="8"/>
  <c r="L75" i="8"/>
  <c r="K75" i="8"/>
  <c r="I75" i="8"/>
  <c r="K74" i="8"/>
  <c r="K73" i="8"/>
  <c r="L72" i="8"/>
  <c r="K72" i="8"/>
  <c r="I72" i="8"/>
  <c r="K71" i="8"/>
  <c r="K70" i="8"/>
  <c r="L69" i="8"/>
  <c r="K69" i="8"/>
  <c r="I69" i="8"/>
  <c r="K68" i="8"/>
  <c r="K67" i="8"/>
  <c r="L66" i="8"/>
  <c r="K66" i="8"/>
  <c r="I66" i="8"/>
  <c r="J65" i="8"/>
  <c r="L62" i="8"/>
  <c r="K62" i="8"/>
  <c r="I62" i="8"/>
  <c r="L61" i="8"/>
  <c r="K61" i="8"/>
  <c r="I61" i="8"/>
  <c r="L60" i="8"/>
  <c r="H60" i="8"/>
  <c r="I60" i="8"/>
  <c r="J59" i="8"/>
  <c r="K57" i="8"/>
  <c r="I57" i="8"/>
  <c r="L55" i="8"/>
  <c r="K55" i="8"/>
  <c r="K54" i="8"/>
  <c r="L53" i="8"/>
  <c r="K53" i="8"/>
  <c r="I53" i="8"/>
  <c r="L51" i="8"/>
  <c r="L50" i="8"/>
  <c r="H51" i="8"/>
  <c r="H50" i="8"/>
  <c r="J50" i="8"/>
  <c r="J39" i="8"/>
  <c r="K48" i="8"/>
  <c r="K47" i="8"/>
  <c r="I47" i="8"/>
  <c r="L46" i="8"/>
  <c r="H46" i="8"/>
  <c r="H44" i="8"/>
  <c r="K44" i="8"/>
  <c r="H43" i="8"/>
  <c r="I43" i="8"/>
  <c r="L42" i="8"/>
  <c r="K42" i="8"/>
  <c r="I42" i="8"/>
  <c r="L41" i="8"/>
  <c r="K41" i="8"/>
  <c r="I41" i="8"/>
  <c r="L40" i="8"/>
  <c r="E40" i="8"/>
  <c r="D40" i="8"/>
  <c r="C40" i="8"/>
  <c r="L37" i="8"/>
  <c r="K37" i="8"/>
  <c r="I37" i="8"/>
  <c r="L36" i="8"/>
  <c r="K36" i="8"/>
  <c r="I36" i="8"/>
  <c r="L35" i="8"/>
  <c r="H35" i="8"/>
  <c r="I35" i="8"/>
  <c r="L33" i="8"/>
  <c r="K33" i="8"/>
  <c r="I33" i="8"/>
  <c r="L32" i="8"/>
  <c r="I32" i="8"/>
  <c r="L31" i="8"/>
  <c r="H31" i="8"/>
  <c r="J30" i="8"/>
  <c r="K27" i="8"/>
  <c r="I27" i="8"/>
  <c r="K26" i="8"/>
  <c r="I26" i="8"/>
  <c r="L25" i="8"/>
  <c r="L24" i="8"/>
  <c r="H25" i="8"/>
  <c r="H24" i="8"/>
  <c r="J24" i="8"/>
  <c r="L20" i="8"/>
  <c r="H20" i="8"/>
  <c r="I20" i="8"/>
  <c r="L18" i="8"/>
  <c r="H18" i="8"/>
  <c r="I18" i="8"/>
  <c r="L17" i="8"/>
  <c r="H17" i="8"/>
  <c r="I17" i="8"/>
  <c r="L16" i="8"/>
  <c r="H16" i="8"/>
  <c r="I16" i="8"/>
  <c r="L13" i="8"/>
  <c r="H13" i="8"/>
  <c r="I13" i="8"/>
  <c r="L12" i="8"/>
  <c r="H12" i="8"/>
  <c r="I12" i="8"/>
  <c r="L11" i="8"/>
  <c r="H11" i="8"/>
  <c r="I11" i="8"/>
  <c r="K9" i="8"/>
  <c r="K8" i="8"/>
  <c r="H7" i="8"/>
  <c r="K7" i="8"/>
  <c r="J6" i="8"/>
  <c r="L93" i="8"/>
  <c r="K93" i="8"/>
  <c r="D20" i="9"/>
  <c r="D40" i="9"/>
  <c r="J7" i="10"/>
  <c r="J9" i="10"/>
  <c r="I32" i="10"/>
  <c r="E37" i="9"/>
  <c r="G28" i="10"/>
  <c r="G42" i="10"/>
  <c r="D42" i="10"/>
  <c r="C20" i="9"/>
  <c r="E27" i="9"/>
  <c r="E40" i="9"/>
  <c r="C37" i="9"/>
  <c r="F37" i="9"/>
  <c r="F40" i="9"/>
  <c r="E9" i="10"/>
  <c r="K19" i="10"/>
  <c r="K20" i="10"/>
  <c r="E87" i="8"/>
  <c r="J95" i="8"/>
  <c r="I95" i="8"/>
  <c r="F87" i="8"/>
  <c r="F81" i="8"/>
  <c r="H40" i="8"/>
  <c r="K40" i="8"/>
  <c r="J92" i="8"/>
  <c r="I92" i="8"/>
  <c r="H59" i="8"/>
  <c r="J99" i="8"/>
  <c r="I99" i="8"/>
  <c r="K46" i="8"/>
  <c r="E81" i="8"/>
  <c r="K13" i="8"/>
  <c r="L39" i="8"/>
  <c r="H30" i="8"/>
  <c r="I7" i="8"/>
  <c r="I6" i="8"/>
  <c r="H81" i="8"/>
  <c r="K20" i="8"/>
  <c r="L96" i="8"/>
  <c r="K96" i="8"/>
  <c r="L59" i="8"/>
  <c r="J89" i="8"/>
  <c r="I89" i="8"/>
  <c r="K16" i="8"/>
  <c r="I83" i="8"/>
  <c r="H107" i="8"/>
  <c r="I65" i="8"/>
  <c r="L30" i="8"/>
  <c r="J4" i="8"/>
  <c r="I59" i="8"/>
  <c r="L65" i="8"/>
  <c r="L86" i="8"/>
  <c r="K86" i="8"/>
  <c r="J98" i="8"/>
  <c r="I98" i="8"/>
  <c r="L103" i="8"/>
  <c r="K103" i="8"/>
  <c r="K11" i="8"/>
  <c r="K17" i="8"/>
  <c r="I25" i="8"/>
  <c r="I24" i="8"/>
  <c r="K31" i="8"/>
  <c r="K35" i="8"/>
  <c r="K12" i="8"/>
  <c r="K60" i="8"/>
  <c r="K59" i="8"/>
  <c r="J86" i="8"/>
  <c r="I86" i="8"/>
  <c r="H6" i="8"/>
  <c r="H2" i="8"/>
  <c r="L83" i="8"/>
  <c r="K43" i="8"/>
  <c r="C87" i="8"/>
  <c r="C81" i="8"/>
  <c r="J94" i="8"/>
  <c r="I94" i="8"/>
  <c r="L97" i="8"/>
  <c r="K97" i="8"/>
  <c r="L102" i="8"/>
  <c r="K102" i="8"/>
  <c r="K18" i="8"/>
  <c r="H39" i="8"/>
  <c r="K65" i="8"/>
  <c r="D87" i="8"/>
  <c r="D81" i="8"/>
  <c r="L100" i="8"/>
  <c r="K100" i="8"/>
  <c r="L104" i="8"/>
  <c r="K104" i="8"/>
  <c r="E42" i="10"/>
  <c r="K9" i="10"/>
  <c r="L10" i="10"/>
  <c r="J26" i="10"/>
  <c r="J28" i="10"/>
  <c r="C14" i="10"/>
  <c r="C20" i="10"/>
  <c r="J18" i="10"/>
  <c r="J20" i="10"/>
  <c r="K27" i="10"/>
  <c r="K28" i="10"/>
  <c r="I31" i="10"/>
  <c r="H37" i="9"/>
  <c r="C9" i="9"/>
  <c r="C10" i="9"/>
  <c r="I88" i="8"/>
  <c r="K25" i="8"/>
  <c r="K24" i="8"/>
  <c r="I31" i="8"/>
  <c r="I30" i="8"/>
  <c r="K32" i="8"/>
  <c r="I40" i="8"/>
  <c r="I46" i="8"/>
  <c r="I51" i="8"/>
  <c r="I50" i="8"/>
  <c r="L88" i="8"/>
  <c r="J90" i="8"/>
  <c r="I90" i="8"/>
  <c r="L91" i="8"/>
  <c r="K91" i="8"/>
  <c r="L95" i="8"/>
  <c r="K95" i="8"/>
  <c r="J97" i="8"/>
  <c r="I97" i="8"/>
  <c r="L99" i="8"/>
  <c r="K99" i="8"/>
  <c r="I44" i="8"/>
  <c r="K51" i="8"/>
  <c r="K50" i="8"/>
  <c r="J93" i="8"/>
  <c r="I93" i="8"/>
  <c r="L94" i="8"/>
  <c r="K94" i="8"/>
  <c r="J96" i="8"/>
  <c r="I96" i="8"/>
  <c r="L98" i="8"/>
  <c r="K98" i="8"/>
  <c r="J107" i="8"/>
  <c r="L6" i="8"/>
  <c r="L21" i="10"/>
  <c r="H43" i="10"/>
  <c r="K83" i="8"/>
  <c r="H20" i="9"/>
  <c r="L22" i="8"/>
  <c r="H27" i="9"/>
  <c r="I107" i="8"/>
  <c r="K6" i="8"/>
  <c r="K39" i="8"/>
  <c r="K30" i="8"/>
  <c r="L29" i="10"/>
  <c r="C42" i="10"/>
  <c r="I39" i="10"/>
  <c r="K38" i="10"/>
  <c r="K39" i="10"/>
  <c r="K42" i="10"/>
  <c r="J37" i="10"/>
  <c r="J39" i="10"/>
  <c r="J42" i="10"/>
  <c r="C40" i="9"/>
  <c r="H41" i="9"/>
  <c r="H10" i="9"/>
  <c r="H40" i="9"/>
  <c r="K88" i="8"/>
  <c r="L87" i="8"/>
  <c r="L81" i="8"/>
  <c r="I39" i="8"/>
  <c r="I4" i="8"/>
  <c r="J87" i="8"/>
  <c r="K4" i="8"/>
  <c r="L40" i="10"/>
  <c r="L42" i="10"/>
  <c r="K87" i="8"/>
  <c r="K81" i="8"/>
  <c r="L2" i="8"/>
  <c r="L108" i="8"/>
  <c r="J81" i="8"/>
  <c r="J2" i="8"/>
  <c r="I87" i="8"/>
  <c r="I81" i="8"/>
  <c r="I2" i="8"/>
  <c r="K108" i="8"/>
  <c r="L107" i="8"/>
  <c r="K107" i="8"/>
  <c r="K2" i="8"/>
  <c r="M25" i="2"/>
  <c r="B25" i="2"/>
  <c r="B11" i="2"/>
  <c r="B10" i="2"/>
  <c r="B9" i="2"/>
  <c r="A6" i="7"/>
  <c r="Q12" i="4"/>
  <c r="E11" i="2"/>
  <c r="F11" i="2"/>
  <c r="Q11" i="4"/>
  <c r="E10" i="2"/>
  <c r="F10" i="2"/>
  <c r="G31" i="4"/>
  <c r="V31" i="4"/>
  <c r="B31" i="4"/>
  <c r="E25" i="2"/>
  <c r="F25" i="2"/>
  <c r="M15" i="2"/>
  <c r="M28" i="2"/>
  <c r="M27" i="2"/>
  <c r="M26" i="2"/>
  <c r="M24" i="2"/>
  <c r="M22" i="2"/>
  <c r="B28" i="2"/>
  <c r="B27" i="2"/>
  <c r="B26" i="2"/>
  <c r="B24" i="2"/>
  <c r="B23" i="2"/>
  <c r="B22" i="2"/>
  <c r="B36" i="2"/>
  <c r="M11" i="2"/>
  <c r="M10" i="2"/>
  <c r="V12" i="4"/>
  <c r="V11" i="4"/>
  <c r="M31" i="2"/>
  <c r="M33" i="2"/>
  <c r="B33" i="2"/>
  <c r="U23" i="4"/>
  <c r="E33" i="2"/>
  <c r="F33" i="2"/>
  <c r="M14" i="2"/>
  <c r="M8" i="2"/>
  <c r="M19" i="2"/>
  <c r="M18" i="2"/>
  <c r="M17" i="2"/>
  <c r="M9" i="2"/>
  <c r="M16" i="2"/>
  <c r="E18" i="2"/>
  <c r="F18" i="2"/>
  <c r="B18" i="2"/>
  <c r="M12" i="2"/>
  <c r="E14" i="2"/>
  <c r="B14" i="2"/>
  <c r="B32" i="2"/>
  <c r="B31" i="2"/>
  <c r="B19" i="2"/>
  <c r="B17" i="2"/>
  <c r="B16" i="2"/>
  <c r="B15" i="2"/>
  <c r="E8" i="2"/>
  <c r="B8" i="2"/>
  <c r="A13" i="7"/>
  <c r="A9" i="7"/>
  <c r="A8" i="7"/>
  <c r="A7" i="7"/>
  <c r="Q14" i="4"/>
  <c r="V14" i="4"/>
  <c r="A1" i="2"/>
  <c r="Q10" i="4"/>
  <c r="E9" i="2"/>
  <c r="M32" i="2"/>
  <c r="M7" i="2"/>
  <c r="B37" i="2"/>
  <c r="M37" i="2"/>
  <c r="B7" i="2"/>
  <c r="U9" i="4"/>
  <c r="Q9" i="4"/>
  <c r="E32" i="2"/>
  <c r="G9" i="4"/>
  <c r="Q7" i="4"/>
  <c r="M7" i="4"/>
  <c r="V9" i="4"/>
  <c r="V10" i="4"/>
  <c r="V7" i="4"/>
  <c r="A5" i="7"/>
  <c r="A15" i="7"/>
  <c r="A11" i="7"/>
  <c r="A3" i="7"/>
  <c r="E31" i="2"/>
  <c r="F31" i="2"/>
  <c r="B7" i="4"/>
  <c r="B6" i="7"/>
  <c r="V25" i="4"/>
  <c r="V26" i="4"/>
  <c r="Q13" i="4"/>
  <c r="Q21" i="4"/>
  <c r="G34" i="4"/>
  <c r="E28" i="2"/>
  <c r="F28" i="2"/>
  <c r="G33" i="4"/>
  <c r="G32" i="4"/>
  <c r="G35" i="4"/>
  <c r="G30" i="4"/>
  <c r="G29" i="4"/>
  <c r="G28" i="4"/>
  <c r="E19" i="2"/>
  <c r="E16" i="2"/>
  <c r="F16" i="2"/>
  <c r="E17" i="2"/>
  <c r="L6" i="7"/>
  <c r="J6" i="7"/>
  <c r="F6" i="7"/>
  <c r="H6" i="7"/>
  <c r="D6" i="7"/>
  <c r="V28" i="4"/>
  <c r="B28" i="4"/>
  <c r="E22" i="2"/>
  <c r="V33" i="4"/>
  <c r="B33" i="4"/>
  <c r="E27" i="2"/>
  <c r="F27" i="2"/>
  <c r="V32" i="4"/>
  <c r="E26" i="2"/>
  <c r="F26" i="2"/>
  <c r="V29" i="4"/>
  <c r="B29" i="4"/>
  <c r="E23" i="2"/>
  <c r="F23" i="2"/>
  <c r="V30" i="4"/>
  <c r="B30" i="4"/>
  <c r="E24" i="2"/>
  <c r="F24" i="2"/>
  <c r="F19" i="2"/>
  <c r="V18" i="4"/>
  <c r="V20" i="4"/>
  <c r="V19" i="4"/>
  <c r="B32" i="4"/>
  <c r="V21" i="4"/>
  <c r="M5" i="4"/>
  <c r="U5" i="4"/>
  <c r="B17" i="7"/>
  <c r="D7" i="6"/>
  <c r="B7" i="6"/>
  <c r="F22" i="2"/>
  <c r="V5" i="4"/>
  <c r="Q23" i="4"/>
  <c r="G23" i="4"/>
  <c r="M23" i="4"/>
  <c r="A1" i="3"/>
  <c r="A25" i="3"/>
  <c r="A24" i="3"/>
  <c r="A23" i="3"/>
  <c r="A22" i="3"/>
  <c r="A21" i="3"/>
  <c r="A20" i="3"/>
  <c r="A19" i="3"/>
  <c r="A20" i="7"/>
  <c r="A19" i="7"/>
  <c r="U13" i="4"/>
  <c r="U8" i="4"/>
  <c r="U17" i="4"/>
  <c r="U16" i="4"/>
  <c r="Q8" i="4"/>
  <c r="Q17" i="4"/>
  <c r="Q16" i="4"/>
  <c r="M13" i="4"/>
  <c r="M8" i="4"/>
  <c r="M17" i="4"/>
  <c r="M16" i="4"/>
  <c r="G13" i="4"/>
  <c r="E12" i="2"/>
  <c r="E15" i="2"/>
  <c r="E36" i="2"/>
  <c r="F36" i="2"/>
  <c r="E34" i="2"/>
  <c r="B12" i="3"/>
  <c r="F17" i="2"/>
  <c r="V16" i="4"/>
  <c r="B16" i="4"/>
  <c r="V23" i="4"/>
  <c r="B23" i="4"/>
  <c r="B13" i="7"/>
  <c r="V8" i="4"/>
  <c r="V13" i="4"/>
  <c r="V17" i="4"/>
  <c r="B8" i="4"/>
  <c r="B7" i="7"/>
  <c r="B17" i="4"/>
  <c r="B9" i="7"/>
  <c r="L9" i="7"/>
  <c r="B8" i="7"/>
  <c r="F9" i="2"/>
  <c r="D12" i="6"/>
  <c r="C3" i="6"/>
  <c r="C6" i="6"/>
  <c r="C11" i="6"/>
  <c r="B22" i="4"/>
  <c r="D5" i="6"/>
  <c r="B5" i="6"/>
  <c r="J9" i="7"/>
  <c r="F9" i="7"/>
  <c r="D9" i="7"/>
  <c r="H9" i="7"/>
  <c r="D13" i="7"/>
  <c r="F12" i="2"/>
  <c r="F14" i="2"/>
  <c r="F8" i="2"/>
  <c r="M36" i="4"/>
  <c r="Q36" i="4"/>
  <c r="M35" i="4"/>
  <c r="Q35" i="4"/>
  <c r="M34" i="4"/>
  <c r="Q34" i="4"/>
  <c r="E7" i="2"/>
  <c r="M6" i="4"/>
  <c r="Q6" i="4"/>
  <c r="U6" i="4"/>
  <c r="V34" i="4"/>
  <c r="V35" i="4"/>
  <c r="V36" i="4"/>
  <c r="F32" i="2"/>
  <c r="F34" i="2"/>
  <c r="V6" i="4"/>
  <c r="B5" i="4"/>
  <c r="B2" i="4"/>
  <c r="E44" i="2"/>
  <c r="B14" i="3"/>
  <c r="B5" i="7"/>
  <c r="B4" i="7"/>
  <c r="D4" i="6"/>
  <c r="F15" i="2"/>
  <c r="B35" i="4"/>
  <c r="E37" i="2"/>
  <c r="B34" i="4"/>
  <c r="L17" i="7"/>
  <c r="F8" i="7"/>
  <c r="J8" i="7"/>
  <c r="L8" i="7"/>
  <c r="D8" i="7"/>
  <c r="H8" i="7"/>
  <c r="J13" i="7"/>
  <c r="H13" i="7"/>
  <c r="F13" i="7"/>
  <c r="L13" i="7"/>
  <c r="F7" i="2"/>
  <c r="D8" i="6"/>
  <c r="B8" i="6"/>
  <c r="B18" i="7"/>
  <c r="J18" i="7"/>
  <c r="E39" i="2"/>
  <c r="F37" i="2"/>
  <c r="F39" i="2"/>
  <c r="B19" i="7"/>
  <c r="J19" i="7"/>
  <c r="D9" i="6"/>
  <c r="B9" i="6"/>
  <c r="B20" i="7"/>
  <c r="D20" i="7"/>
  <c r="D10" i="6"/>
  <c r="B22" i="3"/>
  <c r="C22" i="3"/>
  <c r="D3" i="6"/>
  <c r="B3" i="6"/>
  <c r="B4" i="6"/>
  <c r="B27" i="4"/>
  <c r="B1" i="4"/>
  <c r="F5" i="7"/>
  <c r="J5" i="7"/>
  <c r="L5" i="7"/>
  <c r="H5" i="7"/>
  <c r="D5" i="7"/>
  <c r="B12" i="7"/>
  <c r="D12" i="7"/>
  <c r="J17" i="7"/>
  <c r="D17" i="7"/>
  <c r="F17" i="7"/>
  <c r="L12" i="7"/>
  <c r="C15" i="3"/>
  <c r="B13" i="3"/>
  <c r="B24" i="3"/>
  <c r="C24" i="3"/>
  <c r="J20" i="7"/>
  <c r="J16" i="7"/>
  <c r="L20" i="7"/>
  <c r="E29" i="2"/>
  <c r="B11" i="3" s="1"/>
  <c r="B15" i="3" s="1"/>
  <c r="F29" i="2"/>
  <c r="F43" i="2"/>
  <c r="D19" i="7"/>
  <c r="F20" i="7"/>
  <c r="L19" i="7"/>
  <c r="L18" i="7"/>
  <c r="D18" i="7"/>
  <c r="F18" i="7"/>
  <c r="F19" i="7"/>
  <c r="J12" i="7"/>
  <c r="I12" i="7"/>
  <c r="B23" i="3"/>
  <c r="C23" i="3"/>
  <c r="D6" i="6"/>
  <c r="B6" i="6"/>
  <c r="B16" i="7"/>
  <c r="B2" i="7"/>
  <c r="B10" i="6"/>
  <c r="B25" i="3"/>
  <c r="H12" i="7"/>
  <c r="G12" i="7"/>
  <c r="F12" i="7"/>
  <c r="E12" i="7"/>
  <c r="L7" i="7"/>
  <c r="L4" i="7"/>
  <c r="D7" i="7"/>
  <c r="D4" i="7"/>
  <c r="C4" i="7"/>
  <c r="H7" i="7"/>
  <c r="H4" i="7"/>
  <c r="F7" i="7"/>
  <c r="F4" i="7"/>
  <c r="J7" i="7"/>
  <c r="J4" i="7"/>
  <c r="K12" i="7"/>
  <c r="M12" i="7"/>
  <c r="I16" i="7"/>
  <c r="F16" i="7"/>
  <c r="F2" i="7"/>
  <c r="E2" i="7"/>
  <c r="D21" i="6"/>
  <c r="L16" i="7"/>
  <c r="K16" i="7"/>
  <c r="D16" i="7"/>
  <c r="C16" i="7"/>
  <c r="B21" i="3"/>
  <c r="C21" i="3"/>
  <c r="K4" i="7"/>
  <c r="E4" i="7"/>
  <c r="J2" i="7"/>
  <c r="I2" i="7"/>
  <c r="F21" i="6"/>
  <c r="I4" i="7"/>
  <c r="G4" i="7"/>
  <c r="E16" i="7"/>
  <c r="L2" i="7"/>
  <c r="K2" i="7"/>
  <c r="G21" i="6"/>
  <c r="B19" i="3"/>
  <c r="C19" i="3"/>
  <c r="C12" i="7"/>
  <c r="D2" i="7"/>
  <c r="C2" i="7"/>
  <c r="C21" i="6"/>
  <c r="H19" i="7"/>
  <c r="H17" i="7"/>
  <c r="H18" i="7"/>
  <c r="H20" i="7"/>
  <c r="H16" i="7"/>
  <c r="G16" i="7"/>
  <c r="M16" i="7"/>
  <c r="H2" i="7"/>
  <c r="G2" i="7"/>
  <c r="E21" i="6"/>
  <c r="D11" i="6"/>
  <c r="B20" i="3"/>
  <c r="C20" i="3"/>
  <c r="E5" i="6"/>
  <c r="B11" i="6"/>
  <c r="D18" i="6"/>
  <c r="E10" i="6"/>
  <c r="C26" i="3"/>
  <c r="E8" i="6"/>
  <c r="E9" i="6"/>
  <c r="E7" i="6"/>
  <c r="E4" i="6"/>
  <c r="E11" i="6"/>
  <c r="E6" i="6"/>
  <c r="E3" i="6"/>
  <c r="E18" i="6"/>
  <c r="D19" i="6"/>
  <c r="D20" i="6"/>
  <c r="F19" i="6"/>
  <c r="B26" i="3"/>
  <c r="C19" i="6"/>
  <c r="G18" i="6"/>
  <c r="G19" i="6"/>
  <c r="E19" i="6"/>
  <c r="C18" i="6"/>
  <c r="F18" i="6"/>
  <c r="H18" i="6"/>
  <c r="E20" i="6"/>
  <c r="F20" i="6"/>
  <c r="C20" i="6"/>
  <c r="H19" i="6"/>
  <c r="G20" i="6"/>
  <c r="H20" i="6"/>
  <c r="E43" i="2" l="1"/>
  <c r="E49" i="2" s="1"/>
</calcChain>
</file>

<file path=xl/sharedStrings.xml><?xml version="1.0" encoding="utf-8"?>
<sst xmlns="http://schemas.openxmlformats.org/spreadsheetml/2006/main" count="496" uniqueCount="243">
  <si>
    <t>Componente</t>
  </si>
  <si>
    <t>Exante</t>
  </si>
  <si>
    <t xml:space="preserve">N. </t>
  </si>
  <si>
    <t>Total</t>
  </si>
  <si>
    <t>N/A</t>
  </si>
  <si>
    <t>Executing agency</t>
  </si>
  <si>
    <t>Procurement Name/Activity</t>
  </si>
  <si>
    <t>Description</t>
  </si>
  <si>
    <t>IDB amount</t>
  </si>
  <si>
    <t>Total Amount</t>
  </si>
  <si>
    <t>Procurement Method</t>
  </si>
  <si>
    <t>Review Method</t>
  </si>
  <si>
    <t xml:space="preserve">Dates </t>
  </si>
  <si>
    <t>Products</t>
  </si>
  <si>
    <t>Consultancy</t>
  </si>
  <si>
    <t>Systems</t>
  </si>
  <si>
    <t>Equipment</t>
  </si>
  <si>
    <t>Training</t>
  </si>
  <si>
    <t>Infrastructure</t>
  </si>
  <si>
    <t>Total Product</t>
  </si>
  <si>
    <t>total</t>
  </si>
  <si>
    <t>Quant</t>
  </si>
  <si>
    <t>Unit
Cost</t>
  </si>
  <si>
    <t>Participants</t>
  </si>
  <si>
    <t>Sq. Ft</t>
  </si>
  <si>
    <t>Project Management</t>
  </si>
  <si>
    <t>Monitoring</t>
  </si>
  <si>
    <t>Evaluation</t>
  </si>
  <si>
    <t>Auditing</t>
  </si>
  <si>
    <t>Contingency</t>
  </si>
  <si>
    <t>INDIVIDUAL CONSULTANTS</t>
  </si>
  <si>
    <t>MOF</t>
  </si>
  <si>
    <t>Publication of specific procurement notice</t>
  </si>
  <si>
    <t>Completion of contract</t>
  </si>
  <si>
    <t>NICQ</t>
  </si>
  <si>
    <t>GOODS</t>
  </si>
  <si>
    <t>Associated component</t>
  </si>
  <si>
    <t>Lote/Process number</t>
  </si>
  <si>
    <t>WORKS</t>
  </si>
  <si>
    <t>Contingencies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</si>
  <si>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</si>
  <si>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</si>
  <si>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</si>
  <si>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</si>
  <si>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</si>
  <si>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</si>
  <si>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</si>
  <si>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</si>
  <si>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</si>
  <si>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</si>
  <si>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Goods</t>
  </si>
  <si>
    <t>4. Components</t>
  </si>
  <si>
    <t>Project Components</t>
  </si>
  <si>
    <t>Individual consultants</t>
  </si>
  <si>
    <t>Consulting firms</t>
  </si>
  <si>
    <t>Table 3. Project Total Budget (in US$)</t>
  </si>
  <si>
    <t>Categories*</t>
  </si>
  <si>
    <t>BID</t>
  </si>
  <si>
    <t>Local</t>
  </si>
  <si>
    <t>%</t>
  </si>
  <si>
    <t>3.    Contingency</t>
  </si>
  <si>
    <t>* The financing costs will be paid by the borrower outside of the Program.</t>
  </si>
  <si>
    <t>Table 4. Disbursement timetable (US$ millions)</t>
  </si>
  <si>
    <t>Source</t>
  </si>
  <si>
    <t>Year 1</t>
  </si>
  <si>
    <t>Year 2</t>
  </si>
  <si>
    <t>Year 3</t>
  </si>
  <si>
    <t>Year 4</t>
  </si>
  <si>
    <t>Year 5</t>
  </si>
  <si>
    <t>Project Total</t>
  </si>
  <si>
    <t>year 1</t>
  </si>
  <si>
    <t>year 2</t>
  </si>
  <si>
    <t>year 3</t>
  </si>
  <si>
    <t>year 4</t>
  </si>
  <si>
    <t>year 5</t>
  </si>
  <si>
    <t>CONSULTING FIRMS</t>
  </si>
  <si>
    <t>1.    Direct Costs</t>
  </si>
  <si>
    <t>2.    Project Administration</t>
  </si>
  <si>
    <t>2.3      Audit</t>
  </si>
  <si>
    <t>Performance Monitoring and Public Financial Management Reform  (US$)
(TT-L1042)</t>
  </si>
  <si>
    <t xml:space="preserve">Component I. Support for PFM Modernization </t>
  </si>
  <si>
    <t xml:space="preserve">1.2    Support for IFMIS implementation </t>
  </si>
  <si>
    <t>Project Execution Plan (PEP)</t>
  </si>
  <si>
    <t>Duration
(months)</t>
  </si>
  <si>
    <t>Long-term Consultant Budget Reform (COA and budget classification implementation; preparation of corresponding manuals; and training)</t>
  </si>
  <si>
    <r>
      <t>Long-term Consultant Internal Audit Reform (</t>
    </r>
    <r>
      <rPr>
        <sz val="11"/>
        <rFont val="Times New Roman"/>
        <family val="1"/>
      </rPr>
      <t>support implementation of recommendations of Internal Audit Reform report, including training</t>
    </r>
    <r>
      <rPr>
        <sz val="11"/>
        <color theme="1"/>
        <rFont val="Times New Roman"/>
        <family val="1"/>
      </rPr>
      <t>)</t>
    </r>
  </si>
  <si>
    <t>Short-term review of Exchequer and Audit Act (internal audit)</t>
  </si>
  <si>
    <t>Short-term review of Exchequer and Audit Act (Chart of Accounts)</t>
  </si>
  <si>
    <t>Short-term review of Exchequer and Audit Act (IFMIS)</t>
  </si>
  <si>
    <t>Short-term review of Exchequer and Audit Act (reporting standards)</t>
  </si>
  <si>
    <t>Legislative drafter (prepare draft Amendment on the basis of short-term consultant recommendations)</t>
  </si>
  <si>
    <t>Travel and Per Diem</t>
  </si>
  <si>
    <t>Cost/month</t>
  </si>
  <si>
    <t>Long-term consultant to prepare a Sustainability Strategy for Modernization effort</t>
  </si>
  <si>
    <t>IFMIS software package (licenses, maintenance, support)</t>
  </si>
  <si>
    <t>Technical Support for operationalization of the IFMIS system (gap/fit analysis; design and customization; process definition; support for transition to the new Chart of Accounts; interface design, development, and testing; installation, set-up, and configuration; acceptance testing services; pilot and operational acceptance services; help desk and field support services; system administration and security services; management dashborads and reporting; web/portal services; asset management services)  and Project Management Services</t>
  </si>
  <si>
    <t>Administrative support Office</t>
  </si>
  <si>
    <t>Procurement Specialist</t>
  </si>
  <si>
    <t>Financial Specialist</t>
  </si>
  <si>
    <t>Component I Total</t>
  </si>
  <si>
    <t xml:space="preserve">Component II - Support for IFMIS implementation </t>
  </si>
  <si>
    <t>Component II Total</t>
  </si>
  <si>
    <t>Project Management Total</t>
  </si>
  <si>
    <t>Line Ministries Desktops and Laptops</t>
  </si>
  <si>
    <t xml:space="preserve">1.1     Support for PFM Modernization </t>
  </si>
  <si>
    <t>Procurement plan 2015-2019</t>
  </si>
  <si>
    <t xml:space="preserve"> </t>
  </si>
  <si>
    <t>(i) Development and implementation of a new budget classification based on a Chart of Accounts that is GFS-compliant, which will be supported by a training program in budget classification.</t>
  </si>
  <si>
    <t>Long-term Consultant IPSAS-compliant, Treasury accounting framework to operate with the new concepts to be introduced by the proposed Chart of Accounts.(update existing Accounting manuals; prepare and deliver training courses on revised accounting framework and bookkeeping)</t>
  </si>
  <si>
    <t>Change Management consultants to develop and implement Change Management Strategy, including stakeholder coordination and communication, to guide and support proposed changes</t>
  </si>
  <si>
    <t>e-Learning platform (with user incentives)</t>
  </si>
  <si>
    <t>Training in the operation of the IFMIS system and Training for Business Analysis (and analysts)</t>
  </si>
  <si>
    <t>Act Total</t>
  </si>
  <si>
    <t>IFMIS Hardware (servers, cabinets, monitors, etc. as well as warranty, support, and delivery costs)</t>
  </si>
  <si>
    <t>IICQ</t>
  </si>
  <si>
    <t xml:space="preserve">QCBS </t>
  </si>
  <si>
    <t>Semi-Annual Progress report</t>
  </si>
  <si>
    <t>Long term IT consultant (2 years)</t>
  </si>
  <si>
    <t>(i) Implementation of a commercial, off-the-shelf (COTS) IFMIS solution, including customization, data migration, and integration services</t>
  </si>
  <si>
    <t>2.1      Monitoring</t>
  </si>
  <si>
    <t>2.2      Evaluation</t>
  </si>
  <si>
    <t>Financial Assistant</t>
  </si>
  <si>
    <t xml:space="preserve">(iii) Development and implementation of institutional instruments to sustain PFM modernization efforts </t>
  </si>
  <si>
    <t xml:space="preserve">(iv) Design and implementation of an internal audit framework to improve PFM control, transparency, and reporting. </t>
  </si>
  <si>
    <t>(v) Review of, and preparation of recommendations to strengthen, the PFM legal framework.</t>
  </si>
  <si>
    <t>Establishment of a training Program within the Treasury Division</t>
  </si>
  <si>
    <t>Establishment of a training Program within the Budget Division</t>
  </si>
  <si>
    <t>Time</t>
  </si>
  <si>
    <t>Total Cost Oct 31</t>
  </si>
  <si>
    <t>Change from Oct 31</t>
  </si>
  <si>
    <t>Total Cost Nov 12</t>
  </si>
  <si>
    <t>Total Cost Nov 13</t>
  </si>
  <si>
    <t>Total Expenditure</t>
  </si>
  <si>
    <t>COMPONENT 1</t>
  </si>
  <si>
    <t>Total Project Administration</t>
  </si>
  <si>
    <t>Direct Administrativie costs</t>
  </si>
  <si>
    <t>Project Manager</t>
  </si>
  <si>
    <t>60 mths</t>
  </si>
  <si>
    <t xml:space="preserve">      Travel</t>
  </si>
  <si>
    <t xml:space="preserve">      Per diem/hotel max 3 months</t>
  </si>
  <si>
    <t xml:space="preserve">         Administrative Support Officer</t>
  </si>
  <si>
    <t xml:space="preserve">         Procurement Specialist</t>
  </si>
  <si>
    <t xml:space="preserve">         Financial Specialist</t>
  </si>
  <si>
    <t xml:space="preserve">         Evaluation (Reflexive)</t>
  </si>
  <si>
    <t xml:space="preserve">         Evaluation (CBA)</t>
  </si>
  <si>
    <t xml:space="preserve">         Evaluation (Impact)</t>
  </si>
  <si>
    <t>Audit</t>
  </si>
  <si>
    <t xml:space="preserve">         External Audit</t>
  </si>
  <si>
    <t>Business process Re-Engineering</t>
  </si>
  <si>
    <t xml:space="preserve">Long term Consultant IT/IFMIS </t>
  </si>
  <si>
    <t>42 mths</t>
  </si>
  <si>
    <t xml:space="preserve"> Travel</t>
  </si>
  <si>
    <t xml:space="preserve"> Per diem/hotel max 3 months</t>
  </si>
  <si>
    <t>Development and Implementation of New COA</t>
  </si>
  <si>
    <t>Long term Consultant Budget Reform (COA Implementation)</t>
  </si>
  <si>
    <t>30 mths</t>
  </si>
  <si>
    <t xml:space="preserve">Long term Consultant Accounting Framework for the Treasury </t>
  </si>
  <si>
    <t>24 mths</t>
  </si>
  <si>
    <t xml:space="preserve">     Travel</t>
  </si>
  <si>
    <t xml:space="preserve">     Per diem/hotel max 3 months</t>
  </si>
  <si>
    <t>Development and Implementation of Institutional Arrangement to sustain PFM</t>
  </si>
  <si>
    <t xml:space="preserve">Long term Consultants (1) PSIP strengthen Project Mgt Training </t>
  </si>
  <si>
    <t xml:space="preserve">Long term Consultants (3) PSIP strengthen Project Mgt Training </t>
  </si>
  <si>
    <t>Project Technical Advisor</t>
  </si>
  <si>
    <t xml:space="preserve">    Change Management </t>
  </si>
  <si>
    <t>Change Management Consultantancies</t>
  </si>
  <si>
    <t>Long term Consultant to prepare sustainability strategy</t>
  </si>
  <si>
    <t>12 mths</t>
  </si>
  <si>
    <t>Training programs for Budget and Treasury Division staff for sustainability of new processes</t>
  </si>
  <si>
    <t>Internal Audit Reform</t>
  </si>
  <si>
    <t>Long term Consultant Internal Audit Reform</t>
  </si>
  <si>
    <t>Review and Preparation of Recommendations to strengthen PFM LEGAL Framework</t>
  </si>
  <si>
    <t xml:space="preserve"> Short term consultancy legal review;Internal Audit</t>
  </si>
  <si>
    <t xml:space="preserve"> Short term consultancy legal review; COA</t>
  </si>
  <si>
    <t xml:space="preserve"> Short term consultancy legal review; IFMIS</t>
  </si>
  <si>
    <t xml:space="preserve"> Short term consultancy legal review; reporting standards</t>
  </si>
  <si>
    <t>Drafting costs</t>
  </si>
  <si>
    <t>COMPONENT 2</t>
  </si>
  <si>
    <t>IFMAS Purchase and Installation</t>
  </si>
  <si>
    <t>Hardware</t>
  </si>
  <si>
    <t>Freight, Delivery, Insurance</t>
  </si>
  <si>
    <t>Software</t>
  </si>
  <si>
    <t>Technical Support</t>
  </si>
  <si>
    <t>Gap/Fit Analysis</t>
  </si>
  <si>
    <t>Design &amp; Customisation</t>
  </si>
  <si>
    <t>Process Definition</t>
  </si>
  <si>
    <t>Interfaces Design, Develop, Test</t>
  </si>
  <si>
    <t>Installation, Set-up, Configuration</t>
  </si>
  <si>
    <t>Acceptance Testing (POC) Services</t>
  </si>
  <si>
    <t>Pilot &amp; Operational Acceptance Services</t>
  </si>
  <si>
    <t>Help Desk &amp; Field Support Services</t>
  </si>
  <si>
    <t>System Administration &amp; Security Services</t>
  </si>
  <si>
    <t>Mgmt Dashboards &amp; Reporting</t>
  </si>
  <si>
    <t>Web/Portal Services</t>
  </si>
  <si>
    <t>Asset Management Services</t>
  </si>
  <si>
    <t>Extended Hardware Warranty &amp; Support</t>
  </si>
  <si>
    <t>Software Maintenance &amp; Support</t>
  </si>
  <si>
    <t>Project Office</t>
  </si>
  <si>
    <t>Total Contingencies</t>
  </si>
  <si>
    <t xml:space="preserve">    Contingencies</t>
  </si>
  <si>
    <t>IFMIS Cost Schedule</t>
  </si>
  <si>
    <t>Total Cost</t>
  </si>
  <si>
    <t>DESIGN SERVICES</t>
  </si>
  <si>
    <t>Total Design Services</t>
  </si>
  <si>
    <t>PROOF OF CONCEPT (POC)</t>
  </si>
  <si>
    <t>Total POC</t>
  </si>
  <si>
    <t>PILOT, OPERATIONAL ACCEPTANCE &amp; ROLLOUT</t>
  </si>
  <si>
    <t>Total Pilot &amp; Roll Out</t>
  </si>
  <si>
    <t>SUPPORT</t>
  </si>
  <si>
    <t>Total Support</t>
  </si>
  <si>
    <t>PROJECT TOTALS:</t>
  </si>
  <si>
    <t>Solution</t>
  </si>
  <si>
    <t>Phase</t>
  </si>
  <si>
    <t>Design Services</t>
  </si>
  <si>
    <t>POC Services</t>
  </si>
  <si>
    <t>Pilot Services</t>
  </si>
  <si>
    <t>Prof Services</t>
  </si>
  <si>
    <t>Support Services</t>
  </si>
  <si>
    <t>Proj Mgmt Services</t>
  </si>
  <si>
    <t>TOTAL COST</t>
  </si>
  <si>
    <t>Design</t>
  </si>
  <si>
    <t>Subtotals:</t>
  </si>
  <si>
    <t>Total Design Services:</t>
  </si>
  <si>
    <t>Total POC:</t>
  </si>
  <si>
    <t>PILOT</t>
  </si>
  <si>
    <t>Total Pilot &amp; Initial Roll-out:</t>
  </si>
  <si>
    <t>Total Support:</t>
  </si>
  <si>
    <t>GRAND TOTAL:</t>
  </si>
  <si>
    <t>Establishment of a trainingProgram within the Min of Planning PPRD, including 3 long term consultantss</t>
  </si>
  <si>
    <t>Assistant Finalcial Specialist</t>
  </si>
  <si>
    <t>Site Visits</t>
  </si>
  <si>
    <t>Implementation of the Cashiering System (400,000)</t>
  </si>
  <si>
    <r>
      <t xml:space="preserve">a. Training in the operation of the IFMIS system and of business analysts
b. IFMIS software package
c. IFMIS hardware
</t>
    </r>
    <r>
      <rPr>
        <b/>
        <sz val="12"/>
        <color rgb="FFFF0000"/>
        <rFont val="Calibri"/>
        <family val="2"/>
        <scheme val="minor"/>
      </rPr>
      <t xml:space="preserve">d. Cashiering system </t>
    </r>
    <r>
      <rPr>
        <sz val="12"/>
        <rFont val="Calibri"/>
        <family val="2"/>
        <scheme val="minor"/>
      </rPr>
      <t xml:space="preserve">
</t>
    </r>
  </si>
  <si>
    <t xml:space="preserve">QBS (with price and technical proposals submitted at the same time) </t>
  </si>
  <si>
    <t>NCB</t>
  </si>
  <si>
    <t>ICB</t>
  </si>
  <si>
    <t>Rental space and logistical support for project  operation of the vendor in the IFMIS implementation</t>
  </si>
  <si>
    <t xml:space="preserve">QBS  </t>
  </si>
  <si>
    <t>Financial Analysis</t>
  </si>
  <si>
    <t>Reflective</t>
  </si>
  <si>
    <t xml:space="preserve"> Long-term Consultant to harmonize processes and IFMIS functionality, develop IT governance documents, and support sustainability plan implementation, IT staff training</t>
  </si>
  <si>
    <t xml:space="preserve">(ii) Business process reengineering for budget preparation and execution processes. </t>
  </si>
  <si>
    <t xml:space="preserve">Chief Technical Coordinator for PFM Reform to oversee and coordinate modernization activities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</si>
</sst>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d\-mmm\-yy;@"/>
    <numFmt numFmtId="165" formatCode="[$USD]\ #,##0.00"/>
    <numFmt numFmtId="166" formatCode="_(&quot;$&quot;\ * #,##0_);_(&quot;$&quot;\ * \(#,##0\);_(&quot;$&quot;\ * &quot;-&quot;??_);_(@_)"/>
    <numFmt numFmtId="167" formatCode="[$USD]\ #,##0"/>
    <numFmt numFmtId="168" formatCode="_(&quot;$&quot;* #,##0_);_(&quot;$&quot;* \(#,##0\);_(&quot;$&quot;* &quot;-&quot;??_);_(@_)"/>
  </numFmts>
  <fonts count="6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i/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rgb="FFFF0000"/>
      <name val="Calibri"/>
      <family val="2"/>
    </font>
    <font>
      <b/>
      <sz val="14"/>
      <name val="Calibri"/>
      <family val="2"/>
      <scheme val="minor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1"/>
      <color rgb="FF000000"/>
      <name val="Calibri"/>
      <family val="2"/>
      <scheme val="minor"/>
    </font>
    <font>
      <b/>
      <u val="doubleAccounting"/>
      <sz val="11"/>
      <color theme="1"/>
      <name val="Calibri"/>
      <family val="2"/>
      <scheme val="minor"/>
    </font>
    <font>
      <b/>
      <u val="doubleAccounting"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B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49"/>
      </top>
      <bottom/>
      <diagonal/>
    </border>
  </borders>
  <cellStyleXfs count="134">
    <xf numFmtId="0" fontId="0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6" fillId="29" borderId="17" applyNumberFormat="0" applyAlignment="0" applyProtection="0"/>
    <xf numFmtId="0" fontId="26" fillId="29" borderId="17" applyNumberFormat="0" applyAlignment="0" applyProtection="0"/>
    <xf numFmtId="0" fontId="26" fillId="29" borderId="17" applyNumberFormat="0" applyAlignment="0" applyProtection="0"/>
    <xf numFmtId="0" fontId="27" fillId="30" borderId="18" applyNumberFormat="0" applyAlignment="0" applyProtection="0"/>
    <xf numFmtId="0" fontId="27" fillId="30" borderId="18" applyNumberFormat="0" applyAlignment="0" applyProtection="0"/>
    <xf numFmtId="0" fontId="27" fillId="30" borderId="18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16" borderId="17" applyNumberFormat="0" applyAlignment="0" applyProtection="0"/>
    <xf numFmtId="0" fontId="33" fillId="16" borderId="17" applyNumberFormat="0" applyAlignment="0" applyProtection="0"/>
    <xf numFmtId="0" fontId="33" fillId="16" borderId="17" applyNumberFormat="0" applyAlignment="0" applyProtection="0"/>
    <xf numFmtId="0" fontId="34" fillId="0" borderId="22" applyNumberFormat="0" applyFill="0" applyAlignment="0" applyProtection="0"/>
    <xf numFmtId="0" fontId="34" fillId="0" borderId="22" applyNumberFormat="0" applyFill="0" applyAlignment="0" applyProtection="0"/>
    <xf numFmtId="0" fontId="34" fillId="0" borderId="22" applyNumberFormat="0" applyFill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23" applyNumberFormat="0" applyFont="0" applyAlignment="0" applyProtection="0"/>
    <xf numFmtId="0" fontId="7" fillId="32" borderId="23" applyNumberFormat="0" applyFont="0" applyAlignment="0" applyProtection="0"/>
    <xf numFmtId="0" fontId="7" fillId="32" borderId="23" applyNumberFormat="0" applyFont="0" applyAlignment="0" applyProtection="0"/>
    <xf numFmtId="0" fontId="36" fillId="29" borderId="24" applyNumberFormat="0" applyAlignment="0" applyProtection="0"/>
    <xf numFmtId="0" fontId="36" fillId="29" borderId="24" applyNumberFormat="0" applyAlignment="0" applyProtection="0"/>
    <xf numFmtId="0" fontId="36" fillId="29" borderId="24" applyNumberForma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5" applyNumberFormat="0" applyFill="0" applyAlignment="0" applyProtection="0"/>
    <xf numFmtId="0" fontId="38" fillId="0" borderId="25" applyNumberFormat="0" applyFill="0" applyAlignment="0" applyProtection="0"/>
    <xf numFmtId="0" fontId="38" fillId="0" borderId="25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391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6" fillId="0" borderId="0" xfId="0" applyFont="1" applyFill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left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 applyProtection="1"/>
    <xf numFmtId="165" fontId="0" fillId="0" borderId="0" xfId="0" applyNumberFormat="1"/>
    <xf numFmtId="0" fontId="0" fillId="0" borderId="0" xfId="0" applyFont="1" applyAlignment="1">
      <alignment horizontal="center" wrapText="1"/>
    </xf>
    <xf numFmtId="6" fontId="10" fillId="2" borderId="3" xfId="0" applyNumberFormat="1" applyFont="1" applyFill="1" applyBorder="1" applyAlignment="1">
      <alignment horizontal="right" vertical="center" wrapText="1"/>
    </xf>
    <xf numFmtId="6" fontId="4" fillId="2" borderId="1" xfId="0" applyNumberFormat="1" applyFont="1" applyFill="1" applyBorder="1" applyAlignment="1">
      <alignment horizontal="right" vertical="center" wrapText="1"/>
    </xf>
    <xf numFmtId="0" fontId="13" fillId="4" borderId="9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13" fillId="4" borderId="10" xfId="2" applyFont="1" applyFill="1" applyBorder="1" applyAlignment="1">
      <alignment horizontal="center" vertical="center" wrapText="1"/>
    </xf>
    <xf numFmtId="0" fontId="13" fillId="4" borderId="11" xfId="2" applyFont="1" applyFill="1" applyBorder="1" applyAlignment="1">
      <alignment horizontal="center" vertical="center" wrapText="1"/>
    </xf>
    <xf numFmtId="165" fontId="13" fillId="4" borderId="12" xfId="2" applyNumberFormat="1" applyFont="1" applyFill="1" applyBorder="1" applyAlignment="1">
      <alignment horizontal="right" vertical="center" wrapText="1"/>
    </xf>
    <xf numFmtId="165" fontId="13" fillId="4" borderId="14" xfId="2" applyNumberFormat="1" applyFont="1" applyFill="1" applyBorder="1" applyAlignment="1">
      <alignment horizontal="right" vertical="center" wrapText="1"/>
    </xf>
    <xf numFmtId="167" fontId="15" fillId="0" borderId="1" xfId="2" applyNumberFormat="1" applyFont="1" applyFill="1" applyBorder="1" applyAlignment="1">
      <alignment horizontal="right" vertical="center" wrapText="1"/>
    </xf>
    <xf numFmtId="167" fontId="15" fillId="0" borderId="10" xfId="2" applyNumberFormat="1" applyFont="1" applyFill="1" applyBorder="1" applyAlignment="1">
      <alignment horizontal="right" vertical="center" wrapText="1"/>
    </xf>
    <xf numFmtId="167" fontId="15" fillId="0" borderId="5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6" fontId="0" fillId="0" borderId="0" xfId="0" applyNumberFormat="1" applyFont="1" applyAlignment="1">
      <alignment wrapText="1"/>
    </xf>
    <xf numFmtId="6" fontId="4" fillId="0" borderId="1" xfId="0" applyNumberFormat="1" applyFont="1" applyFill="1" applyBorder="1" applyAlignment="1">
      <alignment horizontal="right" vertical="center" wrapText="1"/>
    </xf>
    <xf numFmtId="6" fontId="4" fillId="0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8" fontId="11" fillId="0" borderId="0" xfId="0" applyNumberFormat="1" applyFont="1" applyAlignment="1">
      <alignment wrapText="1"/>
    </xf>
    <xf numFmtId="0" fontId="3" fillId="0" borderId="0" xfId="3"/>
    <xf numFmtId="0" fontId="19" fillId="6" borderId="1" xfId="3" applyFont="1" applyFill="1" applyBorder="1" applyAlignment="1">
      <alignment horizontal="center" vertical="center" wrapText="1"/>
    </xf>
    <xf numFmtId="0" fontId="20" fillId="8" borderId="1" xfId="3" applyFont="1" applyFill="1" applyBorder="1" applyAlignment="1">
      <alignment horizontal="left" vertical="center" wrapText="1"/>
    </xf>
    <xf numFmtId="3" fontId="20" fillId="8" borderId="1" xfId="3" applyNumberFormat="1" applyFont="1" applyFill="1" applyBorder="1" applyAlignment="1">
      <alignment horizontal="right" vertical="center" wrapText="1"/>
    </xf>
    <xf numFmtId="0" fontId="20" fillId="0" borderId="1" xfId="3" applyFont="1" applyBorder="1" applyAlignment="1">
      <alignment horizontal="left" vertical="center" wrapText="1"/>
    </xf>
    <xf numFmtId="0" fontId="20" fillId="0" borderId="1" xfId="3" applyFont="1" applyBorder="1" applyAlignment="1">
      <alignment horizontal="right" vertical="center" wrapText="1"/>
    </xf>
    <xf numFmtId="3" fontId="20" fillId="0" borderId="1" xfId="3" applyNumberFormat="1" applyFont="1" applyBorder="1" applyAlignment="1">
      <alignment horizontal="right" vertical="center" wrapText="1"/>
    </xf>
    <xf numFmtId="3" fontId="20" fillId="0" borderId="1" xfId="3" applyNumberFormat="1" applyFont="1" applyFill="1" applyBorder="1" applyAlignment="1">
      <alignment horizontal="right" vertical="center" wrapText="1"/>
    </xf>
    <xf numFmtId="0" fontId="20" fillId="0" borderId="1" xfId="3" applyFont="1" applyBorder="1" applyAlignment="1">
      <alignment horizontal="right" vertical="center"/>
    </xf>
    <xf numFmtId="0" fontId="20" fillId="8" borderId="1" xfId="3" applyFont="1" applyFill="1" applyBorder="1"/>
    <xf numFmtId="0" fontId="20" fillId="0" borderId="1" xfId="3" applyFont="1" applyBorder="1"/>
    <xf numFmtId="0" fontId="20" fillId="0" borderId="0" xfId="3" applyFont="1"/>
    <xf numFmtId="6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0" fillId="0" borderId="0" xfId="0" applyNumberFormat="1" applyFont="1" applyAlignment="1">
      <alignment wrapText="1"/>
    </xf>
    <xf numFmtId="0" fontId="2" fillId="0" borderId="0" xfId="4"/>
    <xf numFmtId="3" fontId="3" fillId="0" borderId="0" xfId="3" applyNumberFormat="1"/>
    <xf numFmtId="166" fontId="0" fillId="0" borderId="0" xfId="0" applyNumberFormat="1" applyFont="1" applyAlignment="1">
      <alignment wrapText="1"/>
    </xf>
    <xf numFmtId="0" fontId="41" fillId="33" borderId="27" xfId="4" applyFont="1" applyFill="1" applyBorder="1" applyAlignment="1">
      <alignment horizontal="center" vertical="center" wrapText="1"/>
    </xf>
    <xf numFmtId="0" fontId="41" fillId="33" borderId="28" xfId="4" applyFont="1" applyFill="1" applyBorder="1" applyAlignment="1">
      <alignment horizontal="center" vertical="center" wrapText="1"/>
    </xf>
    <xf numFmtId="0" fontId="41" fillId="0" borderId="29" xfId="4" applyFont="1" applyBorder="1" applyAlignment="1">
      <alignment horizontal="left" vertical="center" wrapText="1" indent="1"/>
    </xf>
    <xf numFmtId="3" fontId="41" fillId="0" borderId="30" xfId="4" applyNumberFormat="1" applyFont="1" applyBorder="1" applyAlignment="1">
      <alignment horizontal="right" vertical="center" wrapText="1"/>
    </xf>
    <xf numFmtId="4" fontId="42" fillId="0" borderId="30" xfId="4" applyNumberFormat="1" applyFont="1" applyBorder="1" applyAlignment="1">
      <alignment horizontal="center" vertical="center" wrapText="1"/>
    </xf>
    <xf numFmtId="0" fontId="40" fillId="0" borderId="29" xfId="4" applyFont="1" applyBorder="1" applyAlignment="1">
      <alignment horizontal="left" vertical="center" wrapText="1" indent="4"/>
    </xf>
    <xf numFmtId="3" fontId="40" fillId="0" borderId="30" xfId="4" applyNumberFormat="1" applyFont="1" applyBorder="1" applyAlignment="1">
      <alignment horizontal="right" vertical="center" wrapText="1"/>
    </xf>
    <xf numFmtId="0" fontId="40" fillId="0" borderId="30" xfId="4" applyFont="1" applyBorder="1" applyAlignment="1">
      <alignment horizontal="right" vertical="center" wrapText="1"/>
    </xf>
    <xf numFmtId="4" fontId="43" fillId="0" borderId="30" xfId="4" applyNumberFormat="1" applyFont="1" applyBorder="1" applyAlignment="1">
      <alignment horizontal="center" vertical="center" wrapText="1"/>
    </xf>
    <xf numFmtId="0" fontId="41" fillId="0" borderId="30" xfId="4" applyFont="1" applyBorder="1" applyAlignment="1">
      <alignment horizontal="right" vertical="center" wrapText="1"/>
    </xf>
    <xf numFmtId="0" fontId="41" fillId="33" borderId="29" xfId="4" applyFont="1" applyFill="1" applyBorder="1" applyAlignment="1">
      <alignment vertical="center" wrapText="1"/>
    </xf>
    <xf numFmtId="3" fontId="41" fillId="33" borderId="30" xfId="4" applyNumberFormat="1" applyFont="1" applyFill="1" applyBorder="1" applyAlignment="1">
      <alignment horizontal="right" vertical="center" wrapText="1"/>
    </xf>
    <xf numFmtId="4" fontId="42" fillId="9" borderId="30" xfId="4" applyNumberFormat="1" applyFont="1" applyFill="1" applyBorder="1" applyAlignment="1">
      <alignment horizontal="center" vertical="center" wrapText="1"/>
    </xf>
    <xf numFmtId="0" fontId="41" fillId="33" borderId="30" xfId="4" applyFont="1" applyFill="1" applyBorder="1" applyAlignment="1">
      <alignment horizontal="center" vertical="center" wrapText="1"/>
    </xf>
    <xf numFmtId="0" fontId="41" fillId="9" borderId="30" xfId="4" applyFont="1" applyFill="1" applyBorder="1" applyAlignment="1">
      <alignment horizontal="center" vertical="center" wrapText="1"/>
    </xf>
    <xf numFmtId="3" fontId="41" fillId="9" borderId="30" xfId="4" applyNumberFormat="1" applyFont="1" applyFill="1" applyBorder="1" applyAlignment="1">
      <alignment horizontal="center" vertical="center" wrapText="1"/>
    </xf>
    <xf numFmtId="0" fontId="44" fillId="34" borderId="33" xfId="4" applyFont="1" applyFill="1" applyBorder="1" applyAlignment="1">
      <alignment horizontal="center" vertical="center" wrapText="1"/>
    </xf>
    <xf numFmtId="0" fontId="44" fillId="34" borderId="34" xfId="4" applyFont="1" applyFill="1" applyBorder="1" applyAlignment="1">
      <alignment horizontal="center" vertical="center" wrapText="1"/>
    </xf>
    <xf numFmtId="0" fontId="44" fillId="0" borderId="35" xfId="4" applyFont="1" applyBorder="1" applyAlignment="1">
      <alignment horizontal="center" vertical="center" wrapText="1"/>
    </xf>
    <xf numFmtId="3" fontId="45" fillId="0" borderId="36" xfId="4" applyNumberFormat="1" applyFont="1" applyBorder="1" applyAlignment="1">
      <alignment horizontal="center" vertical="center" wrapText="1"/>
    </xf>
    <xf numFmtId="0" fontId="44" fillId="0" borderId="36" xfId="4" applyFont="1" applyBorder="1" applyAlignment="1">
      <alignment horizontal="center" vertical="center" wrapText="1"/>
    </xf>
    <xf numFmtId="0" fontId="44" fillId="34" borderId="35" xfId="4" applyFont="1" applyFill="1" applyBorder="1" applyAlignment="1">
      <alignment horizontal="center" vertical="center" wrapText="1"/>
    </xf>
    <xf numFmtId="3" fontId="45" fillId="34" borderId="36" xfId="4" applyNumberFormat="1" applyFont="1" applyFill="1" applyBorder="1" applyAlignment="1">
      <alignment horizontal="center" vertical="center" wrapText="1"/>
    </xf>
    <xf numFmtId="0" fontId="44" fillId="34" borderId="36" xfId="4" applyFont="1" applyFill="1" applyBorder="1" applyAlignment="1">
      <alignment horizontal="center" vertical="center" wrapText="1"/>
    </xf>
    <xf numFmtId="4" fontId="44" fillId="34" borderId="36" xfId="4" applyNumberFormat="1" applyFont="1" applyFill="1" applyBorder="1" applyAlignment="1">
      <alignment horizontal="center" vertical="center" wrapText="1"/>
    </xf>
    <xf numFmtId="0" fontId="46" fillId="0" borderId="0" xfId="4" applyFont="1" applyAlignment="1">
      <alignment vertical="center"/>
    </xf>
    <xf numFmtId="0" fontId="11" fillId="10" borderId="1" xfId="4" applyFont="1" applyFill="1" applyBorder="1" applyAlignment="1">
      <alignment horizontal="center"/>
    </xf>
    <xf numFmtId="3" fontId="2" fillId="10" borderId="1" xfId="4" applyNumberFormat="1" applyFill="1" applyBorder="1"/>
    <xf numFmtId="4" fontId="2" fillId="36" borderId="1" xfId="4" applyNumberFormat="1" applyFill="1" applyBorder="1" applyAlignment="1">
      <alignment horizontal="center"/>
    </xf>
    <xf numFmtId="3" fontId="2" fillId="0" borderId="0" xfId="4" applyNumberFormat="1"/>
    <xf numFmtId="3" fontId="21" fillId="36" borderId="1" xfId="4" applyNumberFormat="1" applyFont="1" applyFill="1" applyBorder="1"/>
    <xf numFmtId="3" fontId="2" fillId="36" borderId="1" xfId="4" applyNumberFormat="1" applyFill="1" applyBorder="1" applyAlignment="1">
      <alignment horizontal="center"/>
    </xf>
    <xf numFmtId="3" fontId="21" fillId="36" borderId="1" xfId="4" applyNumberFormat="1" applyFont="1" applyFill="1" applyBorder="1" applyAlignment="1">
      <alignment horizontal="center"/>
    </xf>
    <xf numFmtId="3" fontId="2" fillId="0" borderId="1" xfId="4" applyNumberFormat="1" applyBorder="1"/>
    <xf numFmtId="0" fontId="20" fillId="7" borderId="1" xfId="4" applyFont="1" applyFill="1" applyBorder="1" applyAlignment="1">
      <alignment vertical="top" wrapText="1"/>
    </xf>
    <xf numFmtId="3" fontId="2" fillId="0" borderId="1" xfId="4" applyNumberFormat="1" applyBorder="1" applyAlignment="1">
      <alignment horizontal="right"/>
    </xf>
    <xf numFmtId="0" fontId="2" fillId="37" borderId="1" xfId="4" applyFill="1" applyBorder="1"/>
    <xf numFmtId="3" fontId="2" fillId="37" borderId="1" xfId="4" applyNumberFormat="1" applyFill="1" applyBorder="1"/>
    <xf numFmtId="3" fontId="2" fillId="37" borderId="1" xfId="4" applyNumberFormat="1" applyFill="1" applyBorder="1" applyAlignment="1">
      <alignment horizontal="center"/>
    </xf>
    <xf numFmtId="0" fontId="20" fillId="37" borderId="1" xfId="4" applyFont="1" applyFill="1" applyBorder="1" applyAlignment="1">
      <alignment vertical="top" wrapText="1"/>
    </xf>
    <xf numFmtId="3" fontId="2" fillId="0" borderId="0" xfId="4" applyNumberFormat="1" applyFill="1"/>
    <xf numFmtId="0" fontId="2" fillId="0" borderId="0" xfId="4" applyFill="1"/>
    <xf numFmtId="0" fontId="20" fillId="0" borderId="0" xfId="4" applyFont="1"/>
    <xf numFmtId="3" fontId="2" fillId="0" borderId="0" xfId="4" applyNumberFormat="1" applyAlignment="1">
      <alignment horizontal="center"/>
    </xf>
    <xf numFmtId="0" fontId="2" fillId="0" borderId="0" xfId="4" applyAlignment="1">
      <alignment horizontal="center"/>
    </xf>
    <xf numFmtId="0" fontId="15" fillId="0" borderId="1" xfId="2" applyFont="1" applyBorder="1" applyAlignment="1" applyProtection="1"/>
    <xf numFmtId="167" fontId="15" fillId="0" borderId="4" xfId="2" applyNumberFormat="1" applyFont="1" applyFill="1" applyBorder="1" applyAlignment="1">
      <alignment horizontal="right" vertical="center" wrapText="1"/>
    </xf>
    <xf numFmtId="167" fontId="15" fillId="0" borderId="16" xfId="2" applyNumberFormat="1" applyFont="1" applyFill="1" applyBorder="1" applyAlignment="1">
      <alignment horizontal="right" vertical="center" wrapText="1"/>
    </xf>
    <xf numFmtId="0" fontId="13" fillId="4" borderId="2" xfId="2" applyFont="1" applyFill="1" applyBorder="1" applyAlignment="1">
      <alignment horizontal="center" vertical="center" wrapText="1"/>
    </xf>
    <xf numFmtId="0" fontId="13" fillId="4" borderId="4" xfId="2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20" fillId="0" borderId="37" xfId="0" applyFont="1" applyBorder="1" applyAlignment="1">
      <alignment horizontal="left" vertical="center" wrapText="1"/>
    </xf>
    <xf numFmtId="3" fontId="20" fillId="0" borderId="37" xfId="0" applyNumberFormat="1" applyFont="1" applyBorder="1" applyAlignment="1">
      <alignment horizontal="right" vertical="center" wrapText="1"/>
    </xf>
    <xf numFmtId="0" fontId="19" fillId="6" borderId="1" xfId="3" applyFont="1" applyFill="1" applyBorder="1" applyAlignment="1">
      <alignment horizontal="center" vertical="center"/>
    </xf>
    <xf numFmtId="3" fontId="20" fillId="0" borderId="1" xfId="4" applyNumberFormat="1" applyFont="1" applyFill="1" applyBorder="1" applyAlignment="1">
      <alignment horizontal="right" vertical="top" wrapText="1"/>
    </xf>
    <xf numFmtId="3" fontId="20" fillId="36" borderId="1" xfId="4" applyNumberFormat="1" applyFont="1" applyFill="1" applyBorder="1" applyAlignment="1">
      <alignment horizontal="center" vertical="top" wrapText="1"/>
    </xf>
    <xf numFmtId="0" fontId="20" fillId="7" borderId="1" xfId="4" applyFont="1" applyFill="1" applyBorder="1" applyAlignment="1">
      <alignment vertical="top" wrapText="1"/>
    </xf>
    <xf numFmtId="0" fontId="20" fillId="38" borderId="1" xfId="3" applyFont="1" applyFill="1" applyBorder="1" applyAlignment="1">
      <alignment horizontal="left" vertical="center" wrapText="1"/>
    </xf>
    <xf numFmtId="3" fontId="20" fillId="38" borderId="1" xfId="3" applyNumberFormat="1" applyFont="1" applyFill="1" applyBorder="1" applyAlignment="1">
      <alignment horizontal="right" vertical="center" wrapText="1"/>
    </xf>
    <xf numFmtId="0" fontId="20" fillId="38" borderId="1" xfId="3" applyFont="1" applyFill="1" applyBorder="1" applyAlignment="1">
      <alignment wrapText="1"/>
    </xf>
    <xf numFmtId="0" fontId="20" fillId="38" borderId="1" xfId="3" applyFont="1" applyFill="1" applyBorder="1"/>
    <xf numFmtId="0" fontId="20" fillId="38" borderId="37" xfId="0" applyFont="1" applyFill="1" applyBorder="1" applyAlignment="1">
      <alignment horizontal="left" vertical="center" wrapText="1"/>
    </xf>
    <xf numFmtId="3" fontId="20" fillId="38" borderId="37" xfId="0" applyNumberFormat="1" applyFont="1" applyFill="1" applyBorder="1" applyAlignment="1">
      <alignment horizontal="right" vertical="center" wrapText="1"/>
    </xf>
    <xf numFmtId="0" fontId="20" fillId="38" borderId="1" xfId="3" applyFont="1" applyFill="1" applyBorder="1" applyAlignment="1">
      <alignment horizontal="right" vertical="center"/>
    </xf>
    <xf numFmtId="0" fontId="20" fillId="38" borderId="38" xfId="3" applyFont="1" applyFill="1" applyBorder="1" applyAlignment="1">
      <alignment horizontal="left" vertical="center" wrapText="1"/>
    </xf>
    <xf numFmtId="3" fontId="20" fillId="38" borderId="38" xfId="3" applyNumberFormat="1" applyFont="1" applyFill="1" applyBorder="1" applyAlignment="1">
      <alignment horizontal="right" vertical="center" wrapText="1"/>
    </xf>
    <xf numFmtId="0" fontId="20" fillId="38" borderId="38" xfId="0" applyFont="1" applyFill="1" applyBorder="1" applyAlignment="1">
      <alignment horizontal="left" vertical="center" wrapText="1"/>
    </xf>
    <xf numFmtId="3" fontId="20" fillId="38" borderId="38" xfId="0" applyNumberFormat="1" applyFont="1" applyFill="1" applyBorder="1" applyAlignment="1">
      <alignment horizontal="right" vertical="center" wrapText="1"/>
    </xf>
    <xf numFmtId="0" fontId="20" fillId="0" borderId="38" xfId="3" applyFont="1" applyBorder="1" applyAlignment="1">
      <alignment horizontal="left" vertical="center" wrapText="1"/>
    </xf>
    <xf numFmtId="3" fontId="20" fillId="0" borderId="38" xfId="3" applyNumberFormat="1" applyFont="1" applyBorder="1" applyAlignment="1">
      <alignment horizontal="right" vertical="center" wrapText="1"/>
    </xf>
    <xf numFmtId="0" fontId="20" fillId="8" borderId="38" xfId="3" applyFont="1" applyFill="1" applyBorder="1" applyAlignment="1">
      <alignment horizontal="left" vertical="center" wrapText="1"/>
    </xf>
    <xf numFmtId="3" fontId="20" fillId="8" borderId="38" xfId="3" applyNumberFormat="1" applyFont="1" applyFill="1" applyBorder="1" applyAlignment="1">
      <alignment horizontal="right" vertical="center" wrapText="1"/>
    </xf>
    <xf numFmtId="0" fontId="20" fillId="0" borderId="41" xfId="3" applyFont="1" applyBorder="1" applyAlignment="1">
      <alignment horizontal="left" vertical="center" wrapText="1"/>
    </xf>
    <xf numFmtId="0" fontId="20" fillId="0" borderId="41" xfId="0" applyFont="1" applyBorder="1" applyAlignment="1">
      <alignment horizontal="left" vertical="center" wrapText="1"/>
    </xf>
    <xf numFmtId="0" fontId="20" fillId="38" borderId="39" xfId="0" applyFont="1" applyFill="1" applyBorder="1" applyAlignment="1">
      <alignment horizontal="left" vertical="center" wrapText="1"/>
    </xf>
    <xf numFmtId="3" fontId="20" fillId="38" borderId="39" xfId="0" applyNumberFormat="1" applyFont="1" applyFill="1" applyBorder="1" applyAlignment="1">
      <alignment horizontal="right" vertical="center" wrapText="1"/>
    </xf>
    <xf numFmtId="3" fontId="20" fillId="38" borderId="39" xfId="3" applyNumberFormat="1" applyFont="1" applyFill="1" applyBorder="1" applyAlignment="1">
      <alignment horizontal="right" vertical="center" wrapText="1"/>
    </xf>
    <xf numFmtId="0" fontId="20" fillId="0" borderId="43" xfId="3" applyFont="1" applyBorder="1" applyAlignment="1">
      <alignment horizontal="left" vertical="center" wrapText="1"/>
    </xf>
    <xf numFmtId="3" fontId="20" fillId="0" borderId="39" xfId="3" applyNumberFormat="1" applyFont="1" applyBorder="1" applyAlignment="1">
      <alignment horizontal="right" vertical="center" wrapText="1"/>
    </xf>
    <xf numFmtId="0" fontId="20" fillId="38" borderId="39" xfId="3" applyFont="1" applyFill="1" applyBorder="1" applyAlignment="1">
      <alignment horizontal="left" vertical="center" wrapText="1"/>
    </xf>
    <xf numFmtId="0" fontId="20" fillId="0" borderId="39" xfId="3" applyFont="1" applyBorder="1" applyAlignment="1">
      <alignment horizontal="left" vertical="center" wrapText="1"/>
    </xf>
    <xf numFmtId="0" fontId="20" fillId="8" borderId="39" xfId="3" applyFont="1" applyFill="1" applyBorder="1" applyAlignment="1">
      <alignment horizontal="left" vertical="center" wrapText="1"/>
    </xf>
    <xf numFmtId="3" fontId="20" fillId="8" borderId="39" xfId="3" applyNumberFormat="1" applyFont="1" applyFill="1" applyBorder="1" applyAlignment="1">
      <alignment horizontal="right" vertical="center" wrapText="1"/>
    </xf>
    <xf numFmtId="0" fontId="3" fillId="0" borderId="38" xfId="3" applyBorder="1"/>
    <xf numFmtId="0" fontId="3" fillId="0" borderId="41" xfId="3" applyBorder="1"/>
    <xf numFmtId="0" fontId="3" fillId="0" borderId="0" xfId="3" applyBorder="1"/>
    <xf numFmtId="0" fontId="3" fillId="0" borderId="40" xfId="3" applyBorder="1"/>
    <xf numFmtId="0" fontId="20" fillId="7" borderId="38" xfId="4" applyFont="1" applyFill="1" applyBorder="1" applyAlignment="1">
      <alignment vertical="top" wrapText="1"/>
    </xf>
    <xf numFmtId="0" fontId="20" fillId="0" borderId="0" xfId="3" applyFont="1" applyBorder="1"/>
    <xf numFmtId="0" fontId="20" fillId="0" borderId="38" xfId="3" applyFont="1" applyBorder="1"/>
    <xf numFmtId="167" fontId="15" fillId="0" borderId="39" xfId="2" applyNumberFormat="1" applyFont="1" applyFill="1" applyBorder="1" applyAlignment="1">
      <alignment horizontal="right" vertical="center" wrapText="1"/>
    </xf>
    <xf numFmtId="167" fontId="15" fillId="0" borderId="43" xfId="2" applyNumberFormat="1" applyFont="1" applyFill="1" applyBorder="1" applyAlignment="1">
      <alignment horizontal="right" vertical="center" wrapText="1"/>
    </xf>
    <xf numFmtId="0" fontId="19" fillId="2" borderId="38" xfId="3" applyFont="1" applyFill="1" applyBorder="1" applyAlignment="1">
      <alignment horizontal="center" vertical="center"/>
    </xf>
    <xf numFmtId="0" fontId="19" fillId="2" borderId="38" xfId="3" applyFont="1" applyFill="1" applyBorder="1" applyAlignment="1">
      <alignment horizontal="center" vertical="center" wrapText="1"/>
    </xf>
    <xf numFmtId="0" fontId="19" fillId="2" borderId="41" xfId="3" applyFont="1" applyFill="1" applyBorder="1" applyAlignment="1">
      <alignment horizontal="center" vertical="center"/>
    </xf>
    <xf numFmtId="0" fontId="19" fillId="6" borderId="1" xfId="3" applyFont="1" applyFill="1" applyBorder="1" applyAlignment="1">
      <alignment horizontal="center" vertical="center"/>
    </xf>
    <xf numFmtId="0" fontId="20" fillId="6" borderId="1" xfId="3" applyFont="1" applyFill="1" applyBorder="1" applyAlignment="1">
      <alignment horizontal="center" vertical="center"/>
    </xf>
    <xf numFmtId="0" fontId="19" fillId="5" borderId="1" xfId="3" applyFont="1" applyFill="1" applyBorder="1" applyAlignment="1">
      <alignment horizontal="center"/>
    </xf>
    <xf numFmtId="0" fontId="19" fillId="6" borderId="38" xfId="3" applyFont="1" applyFill="1" applyBorder="1" applyAlignment="1">
      <alignment horizontal="center" vertical="center" wrapText="1"/>
    </xf>
    <xf numFmtId="3" fontId="20" fillId="8" borderId="38" xfId="0" applyNumberFormat="1" applyFont="1" applyFill="1" applyBorder="1" applyAlignment="1">
      <alignment horizontal="right" vertical="center" wrapText="1"/>
    </xf>
    <xf numFmtId="0" fontId="20" fillId="38" borderId="38" xfId="3" applyFont="1" applyFill="1" applyBorder="1" applyAlignment="1">
      <alignment wrapText="1"/>
    </xf>
    <xf numFmtId="0" fontId="20" fillId="38" borderId="38" xfId="3" applyFont="1" applyFill="1" applyBorder="1"/>
    <xf numFmtId="0" fontId="20" fillId="8" borderId="38" xfId="3" applyFont="1" applyFill="1" applyBorder="1"/>
    <xf numFmtId="3" fontId="19" fillId="0" borderId="42" xfId="3" applyNumberFormat="1" applyFont="1" applyFill="1" applyBorder="1" applyAlignment="1">
      <alignment horizontal="center" vertical="center" wrapText="1"/>
    </xf>
    <xf numFmtId="0" fontId="18" fillId="5" borderId="15" xfId="3" applyFont="1" applyFill="1" applyBorder="1" applyAlignment="1">
      <alignment horizontal="center" vertical="center" wrapText="1"/>
    </xf>
    <xf numFmtId="3" fontId="19" fillId="5" borderId="38" xfId="3" applyNumberFormat="1" applyFont="1" applyFill="1" applyBorder="1" applyAlignment="1">
      <alignment horizontal="center"/>
    </xf>
    <xf numFmtId="0" fontId="19" fillId="0" borderId="42" xfId="3" applyFont="1" applyFill="1" applyBorder="1" applyAlignment="1">
      <alignment horizontal="left" vertical="center" wrapText="1"/>
    </xf>
    <xf numFmtId="3" fontId="19" fillId="0" borderId="39" xfId="3" applyNumberFormat="1" applyFont="1" applyFill="1" applyBorder="1" applyAlignment="1">
      <alignment horizontal="right" wrapText="1"/>
    </xf>
    <xf numFmtId="3" fontId="19" fillId="0" borderId="38" xfId="3" applyNumberFormat="1" applyFont="1" applyFill="1" applyBorder="1" applyAlignment="1">
      <alignment horizontal="right" wrapText="1"/>
    </xf>
    <xf numFmtId="3" fontId="18" fillId="5" borderId="0" xfId="3" applyNumberFormat="1" applyFont="1" applyFill="1" applyBorder="1" applyAlignment="1">
      <alignment horizontal="center"/>
    </xf>
    <xf numFmtId="0" fontId="19" fillId="0" borderId="1" xfId="3" applyFont="1" applyFill="1" applyBorder="1" applyAlignment="1">
      <alignment vertical="top" wrapText="1"/>
    </xf>
    <xf numFmtId="0" fontId="19" fillId="0" borderId="1" xfId="3" applyFont="1" applyFill="1" applyBorder="1" applyAlignment="1">
      <alignment vertical="center" wrapText="1"/>
    </xf>
    <xf numFmtId="3" fontId="20" fillId="38" borderId="1" xfId="3" applyNumberFormat="1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left" vertical="center" wrapText="1"/>
    </xf>
    <xf numFmtId="0" fontId="4" fillId="2" borderId="38" xfId="0" applyFont="1" applyFill="1" applyBorder="1" applyAlignment="1">
      <alignment horizontal="left" vertical="center" wrapText="1"/>
    </xf>
    <xf numFmtId="0" fontId="0" fillId="0" borderId="38" xfId="0" applyFont="1" applyBorder="1" applyAlignment="1">
      <alignment horizontal="center" vertical="center" wrapText="1"/>
    </xf>
    <xf numFmtId="6" fontId="4" fillId="0" borderId="38" xfId="0" applyNumberFormat="1" applyFont="1" applyFill="1" applyBorder="1" applyAlignment="1">
      <alignment horizontal="right" vertical="center" wrapText="1"/>
    </xf>
    <xf numFmtId="0" fontId="0" fillId="0" borderId="45" xfId="0" applyBorder="1" applyAlignment="1">
      <alignment wrapText="1"/>
    </xf>
    <xf numFmtId="3" fontId="20" fillId="0" borderId="0" xfId="3" applyNumberFormat="1" applyFont="1" applyBorder="1"/>
    <xf numFmtId="0" fontId="47" fillId="38" borderId="39" xfId="0" applyFont="1" applyFill="1" applyBorder="1" applyAlignment="1">
      <alignment horizontal="left" vertical="center" wrapText="1"/>
    </xf>
    <xf numFmtId="3" fontId="47" fillId="38" borderId="38" xfId="3" applyNumberFormat="1" applyFont="1" applyFill="1" applyBorder="1" applyAlignment="1">
      <alignment horizontal="right" vertical="center" wrapText="1"/>
    </xf>
    <xf numFmtId="3" fontId="47" fillId="8" borderId="1" xfId="3" applyNumberFormat="1" applyFont="1" applyFill="1" applyBorder="1" applyAlignment="1">
      <alignment horizontal="right" vertical="center" wrapText="1"/>
    </xf>
    <xf numFmtId="3" fontId="47" fillId="0" borderId="1" xfId="3" applyNumberFormat="1" applyFont="1" applyBorder="1" applyAlignment="1">
      <alignment horizontal="right" vertical="center" wrapText="1"/>
    </xf>
    <xf numFmtId="3" fontId="47" fillId="38" borderId="1" xfId="3" applyNumberFormat="1" applyFont="1" applyFill="1" applyBorder="1" applyAlignment="1">
      <alignment horizontal="right" vertical="center" wrapText="1"/>
    </xf>
    <xf numFmtId="3" fontId="20" fillId="0" borderId="0" xfId="3" applyNumberFormat="1" applyFont="1"/>
    <xf numFmtId="3" fontId="20" fillId="0" borderId="38" xfId="3" applyNumberFormat="1" applyFont="1" applyFill="1" applyBorder="1" applyAlignment="1">
      <alignment horizontal="right" vertical="center" wrapText="1"/>
    </xf>
    <xf numFmtId="3" fontId="2" fillId="0" borderId="38" xfId="4" applyNumberFormat="1" applyBorder="1" applyAlignment="1">
      <alignment horizontal="right"/>
    </xf>
    <xf numFmtId="3" fontId="2" fillId="36" borderId="38" xfId="4" applyNumberForma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3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4" fillId="0" borderId="38" xfId="0" applyFont="1" applyFill="1" applyBorder="1" applyAlignment="1">
      <alignment horizontal="left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left" vertical="center" wrapText="1"/>
    </xf>
    <xf numFmtId="0" fontId="0" fillId="0" borderId="45" xfId="0" applyFill="1" applyBorder="1" applyAlignment="1">
      <alignment wrapText="1"/>
    </xf>
    <xf numFmtId="6" fontId="10" fillId="0" borderId="38" xfId="0" applyNumberFormat="1" applyFont="1" applyFill="1" applyBorder="1" applyAlignment="1">
      <alignment horizontal="righ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16" fillId="0" borderId="38" xfId="0" applyFont="1" applyFill="1" applyBorder="1" applyAlignment="1">
      <alignment horizontal="left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3" fontId="4" fillId="0" borderId="38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1" fillId="4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1" fillId="0" borderId="0" xfId="0" applyFont="1"/>
    <xf numFmtId="3" fontId="11" fillId="0" borderId="0" xfId="0" applyNumberFormat="1" applyFont="1"/>
    <xf numFmtId="0" fontId="51" fillId="39" borderId="0" xfId="0" applyFont="1" applyFill="1"/>
    <xf numFmtId="0" fontId="0" fillId="39" borderId="0" xfId="0" applyFill="1"/>
    <xf numFmtId="3" fontId="11" fillId="39" borderId="0" xfId="0" applyNumberFormat="1" applyFont="1" applyFill="1"/>
    <xf numFmtId="0" fontId="49" fillId="0" borderId="0" xfId="0" applyFont="1" applyAlignment="1">
      <alignment horizontal="center"/>
    </xf>
    <xf numFmtId="0" fontId="52" fillId="0" borderId="0" xfId="0" applyFont="1" applyFill="1"/>
    <xf numFmtId="0" fontId="53" fillId="0" borderId="0" xfId="0" applyFont="1" applyFill="1"/>
    <xf numFmtId="3" fontId="21" fillId="0" borderId="0" xfId="0" applyNumberFormat="1" applyFont="1"/>
    <xf numFmtId="0" fontId="11" fillId="0" borderId="0" xfId="0" applyFont="1"/>
    <xf numFmtId="0" fontId="16" fillId="0" borderId="0" xfId="0" applyFont="1"/>
    <xf numFmtId="3" fontId="0" fillId="0" borderId="0" xfId="0" applyNumberFormat="1" applyFont="1"/>
    <xf numFmtId="0" fontId="5" fillId="40" borderId="0" xfId="0" applyFont="1" applyFill="1" applyBorder="1" applyAlignment="1">
      <alignment horizontal="left" vertical="center" indent="2"/>
    </xf>
    <xf numFmtId="0" fontId="5" fillId="40" borderId="0" xfId="0" applyFont="1" applyFill="1" applyBorder="1" applyAlignment="1">
      <alignment horizontal="right"/>
    </xf>
    <xf numFmtId="3" fontId="23" fillId="0" borderId="0" xfId="0" applyNumberFormat="1" applyFont="1" applyFill="1"/>
    <xf numFmtId="0" fontId="0" fillId="0" borderId="0" xfId="0" applyFont="1"/>
    <xf numFmtId="0" fontId="54" fillId="40" borderId="0" xfId="0" applyFont="1" applyFill="1" applyBorder="1" applyAlignment="1">
      <alignment horizontal="left" vertical="center" wrapText="1" indent="2"/>
    </xf>
    <xf numFmtId="0" fontId="5" fillId="40" borderId="0" xfId="0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left" vertical="center" wrapText="1"/>
    </xf>
    <xf numFmtId="3" fontId="55" fillId="0" borderId="0" xfId="132" applyNumberFormat="1" applyFont="1" applyFill="1" applyBorder="1" applyAlignment="1">
      <alignment vertical="center" wrapText="1"/>
    </xf>
    <xf numFmtId="0" fontId="17" fillId="40" borderId="0" xfId="0" applyFont="1" applyFill="1" applyBorder="1" applyAlignment="1">
      <alignment vertical="top" wrapText="1"/>
    </xf>
    <xf numFmtId="0" fontId="56" fillId="40" borderId="0" xfId="0" applyFont="1" applyFill="1" applyBorder="1" applyAlignment="1">
      <alignment horizontal="left" vertical="center" wrapText="1" indent="2"/>
    </xf>
    <xf numFmtId="0" fontId="5" fillId="40" borderId="0" xfId="0" applyFont="1" applyFill="1" applyBorder="1" applyAlignment="1">
      <alignment horizontal="right" wrapText="1"/>
    </xf>
    <xf numFmtId="0" fontId="17" fillId="40" borderId="0" xfId="0" applyFont="1" applyFill="1" applyBorder="1" applyAlignment="1">
      <alignment horizontal="right" wrapText="1"/>
    </xf>
    <xf numFmtId="0" fontId="56" fillId="40" borderId="0" xfId="0" applyFont="1" applyFill="1" applyBorder="1" applyAlignment="1">
      <alignment horizontal="left" vertical="center" indent="2"/>
    </xf>
    <xf numFmtId="0" fontId="56" fillId="40" borderId="0" xfId="0" applyFont="1" applyFill="1" applyBorder="1" applyAlignment="1">
      <alignment vertical="top" wrapText="1"/>
    </xf>
    <xf numFmtId="0" fontId="21" fillId="0" borderId="0" xfId="0" applyFont="1"/>
    <xf numFmtId="0" fontId="17" fillId="40" borderId="0" xfId="0" applyFont="1" applyFill="1" applyBorder="1" applyAlignment="1">
      <alignment horizontal="left" vertical="center" wrapText="1" indent="2"/>
    </xf>
    <xf numFmtId="0" fontId="57" fillId="39" borderId="0" xfId="0" applyFont="1" applyFill="1" applyAlignment="1">
      <alignment horizontal="center" vertical="center"/>
    </xf>
    <xf numFmtId="0" fontId="21" fillId="39" borderId="0" xfId="0" applyFont="1" applyFill="1" applyAlignment="1">
      <alignment horizontal="center" vertical="center"/>
    </xf>
    <xf numFmtId="0" fontId="21" fillId="39" borderId="0" xfId="0" applyFont="1" applyFill="1" applyAlignment="1">
      <alignment horizontal="center" vertical="center" wrapText="1"/>
    </xf>
    <xf numFmtId="0" fontId="0" fillId="0" borderId="0" xfId="0" applyFill="1"/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58" fillId="0" borderId="0" xfId="0" applyFont="1" applyFill="1" applyAlignment="1">
      <alignment horizontal="left" vertical="top"/>
    </xf>
    <xf numFmtId="0" fontId="58" fillId="0" borderId="0" xfId="0" applyFont="1" applyFill="1" applyAlignment="1">
      <alignment horizontal="center"/>
    </xf>
    <xf numFmtId="0" fontId="58" fillId="0" borderId="0" xfId="0" applyFont="1" applyFill="1"/>
    <xf numFmtId="0" fontId="59" fillId="0" borderId="0" xfId="0" applyFont="1" applyFill="1" applyAlignment="1">
      <alignment horizontal="left" indent="2"/>
    </xf>
    <xf numFmtId="0" fontId="38" fillId="0" borderId="0" xfId="0" applyFont="1" applyFill="1"/>
    <xf numFmtId="3" fontId="38" fillId="0" borderId="0" xfId="0" applyNumberFormat="1" applyFont="1" applyFill="1"/>
    <xf numFmtId="0" fontId="59" fillId="0" borderId="0" xfId="0" applyFont="1" applyAlignment="1">
      <alignment horizontal="left" indent="2"/>
    </xf>
    <xf numFmtId="3" fontId="23" fillId="0" borderId="0" xfId="0" applyNumberFormat="1" applyFont="1" applyAlignment="1">
      <alignment horizontal="right"/>
    </xf>
    <xf numFmtId="3" fontId="23" fillId="0" borderId="0" xfId="0" applyNumberFormat="1" applyFont="1" applyFill="1" applyAlignment="1">
      <alignment horizontal="right"/>
    </xf>
    <xf numFmtId="0" fontId="23" fillId="0" borderId="0" xfId="0" applyFont="1" applyFill="1" applyAlignment="1">
      <alignment horizontal="right" indent="2"/>
    </xf>
    <xf numFmtId="0" fontId="60" fillId="39" borderId="0" xfId="0" applyFont="1" applyFill="1"/>
    <xf numFmtId="0" fontId="59" fillId="39" borderId="0" xfId="0" applyFont="1" applyFill="1"/>
    <xf numFmtId="0" fontId="53" fillId="39" borderId="0" xfId="0" applyFont="1" applyFill="1"/>
    <xf numFmtId="0" fontId="61" fillId="0" borderId="0" xfId="0" applyFont="1" applyFill="1" applyBorder="1" applyAlignment="1">
      <alignment horizontal="left" vertical="center" wrapText="1"/>
    </xf>
    <xf numFmtId="3" fontId="12" fillId="0" borderId="0" xfId="132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 indent="2"/>
    </xf>
    <xf numFmtId="0" fontId="0" fillId="39" borderId="0" xfId="0" applyFont="1" applyFill="1" applyBorder="1"/>
    <xf numFmtId="0" fontId="0" fillId="39" borderId="0" xfId="0" applyFont="1" applyFill="1"/>
    <xf numFmtId="0" fontId="62" fillId="0" borderId="0" xfId="0" applyFont="1"/>
    <xf numFmtId="0" fontId="53" fillId="0" borderId="0" xfId="0" applyFont="1"/>
    <xf numFmtId="0" fontId="53" fillId="0" borderId="48" xfId="0" applyFont="1" applyBorder="1" applyAlignment="1">
      <alignment vertical="center" wrapText="1"/>
    </xf>
    <xf numFmtId="0" fontId="53" fillId="0" borderId="0" xfId="0" applyFont="1" applyBorder="1" applyAlignment="1">
      <alignment vertical="center" wrapText="1"/>
    </xf>
    <xf numFmtId="3" fontId="0" fillId="0" borderId="0" xfId="0" applyNumberFormat="1"/>
    <xf numFmtId="0" fontId="63" fillId="0" borderId="0" xfId="0" applyFont="1" applyFill="1"/>
    <xf numFmtId="0" fontId="53" fillId="0" borderId="0" xfId="0" applyFont="1" applyAlignment="1">
      <alignment vertical="center" wrapText="1"/>
    </xf>
    <xf numFmtId="3" fontId="64" fillId="0" borderId="0" xfId="0" applyNumberFormat="1" applyFont="1"/>
    <xf numFmtId="0" fontId="53" fillId="0" borderId="0" xfId="0" applyFont="1" applyFill="1" applyAlignment="1">
      <alignment wrapText="1"/>
    </xf>
    <xf numFmtId="0" fontId="53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3" fontId="65" fillId="0" borderId="0" xfId="0" applyNumberFormat="1" applyFont="1"/>
    <xf numFmtId="0" fontId="21" fillId="41" borderId="0" xfId="0" applyFont="1" applyFill="1" applyAlignment="1">
      <alignment horizontal="center" vertical="center"/>
    </xf>
    <xf numFmtId="0" fontId="14" fillId="41" borderId="0" xfId="0" applyFont="1" applyFill="1" applyAlignment="1">
      <alignment horizontal="center" vertical="center" wrapText="1"/>
    </xf>
    <xf numFmtId="44" fontId="14" fillId="41" borderId="0" xfId="133" applyFont="1" applyFill="1" applyAlignment="1">
      <alignment horizontal="center" vertical="center" wrapText="1"/>
    </xf>
    <xf numFmtId="0" fontId="53" fillId="0" borderId="0" xfId="0" applyFont="1" applyAlignment="1">
      <alignment horizontal="right"/>
    </xf>
    <xf numFmtId="0" fontId="63" fillId="0" borderId="0" xfId="0" applyFont="1" applyFill="1" applyAlignment="1">
      <alignment horizontal="right"/>
    </xf>
    <xf numFmtId="0" fontId="58" fillId="0" borderId="0" xfId="0" applyFont="1" applyFill="1" applyAlignment="1">
      <alignment horizontal="center" vertical="center"/>
    </xf>
    <xf numFmtId="3" fontId="66" fillId="0" borderId="0" xfId="0" applyNumberFormat="1" applyFont="1"/>
    <xf numFmtId="0" fontId="20" fillId="0" borderId="38" xfId="0" applyFont="1" applyFill="1" applyBorder="1" applyAlignment="1">
      <alignment horizontal="left" vertical="center" wrapText="1"/>
    </xf>
    <xf numFmtId="0" fontId="20" fillId="38" borderId="39" xfId="0" applyFont="1" applyFill="1" applyBorder="1" applyAlignment="1">
      <alignment horizontal="center" vertical="center" wrapText="1"/>
    </xf>
    <xf numFmtId="0" fontId="20" fillId="42" borderId="38" xfId="0" applyFont="1" applyFill="1" applyBorder="1" applyAlignment="1">
      <alignment horizontal="left" vertical="center" wrapText="1"/>
    </xf>
    <xf numFmtId="3" fontId="20" fillId="42" borderId="38" xfId="0" applyNumberFormat="1" applyFont="1" applyFill="1" applyBorder="1" applyAlignment="1">
      <alignment horizontal="right" vertical="center" wrapText="1"/>
    </xf>
    <xf numFmtId="3" fontId="47" fillId="42" borderId="38" xfId="3" applyNumberFormat="1" applyFont="1" applyFill="1" applyBorder="1" applyAlignment="1">
      <alignment horizontal="right" vertical="center" wrapText="1"/>
    </xf>
    <xf numFmtId="0" fontId="0" fillId="43" borderId="0" xfId="0" applyFont="1" applyFill="1"/>
    <xf numFmtId="0" fontId="5" fillId="43" borderId="0" xfId="0" applyFont="1" applyFill="1" applyBorder="1" applyAlignment="1">
      <alignment horizontal="left" vertical="center" indent="2"/>
    </xf>
    <xf numFmtId="0" fontId="5" fillId="43" borderId="0" xfId="0" applyFont="1" applyFill="1" applyBorder="1" applyAlignment="1">
      <alignment horizontal="right"/>
    </xf>
    <xf numFmtId="3" fontId="23" fillId="43" borderId="0" xfId="0" applyNumberFormat="1" applyFont="1" applyFill="1"/>
    <xf numFmtId="3" fontId="0" fillId="43" borderId="0" xfId="0" applyNumberFormat="1" applyFont="1" applyFill="1"/>
    <xf numFmtId="0" fontId="54" fillId="43" borderId="0" xfId="0" applyFont="1" applyFill="1" applyBorder="1" applyAlignment="1">
      <alignment horizontal="left" vertical="center" wrapText="1" indent="2"/>
    </xf>
    <xf numFmtId="0" fontId="5" fillId="10" borderId="0" xfId="0" applyFont="1" applyFill="1" applyBorder="1" applyAlignment="1">
      <alignment horizontal="left" vertical="center" wrapText="1" indent="2"/>
    </xf>
    <xf numFmtId="0" fontId="5" fillId="10" borderId="0" xfId="0" applyFont="1" applyFill="1" applyBorder="1" applyAlignment="1">
      <alignment horizontal="right"/>
    </xf>
    <xf numFmtId="3" fontId="23" fillId="10" borderId="0" xfId="0" applyNumberFormat="1" applyFont="1" applyFill="1"/>
    <xf numFmtId="3" fontId="0" fillId="10" borderId="0" xfId="0" applyNumberFormat="1" applyFont="1" applyFill="1"/>
    <xf numFmtId="0" fontId="0" fillId="10" borderId="0" xfId="0" applyFont="1" applyFill="1"/>
    <xf numFmtId="3" fontId="47" fillId="8" borderId="38" xfId="3" applyNumberFormat="1" applyFont="1" applyFill="1" applyBorder="1" applyAlignment="1">
      <alignment horizontal="right" vertical="center" wrapText="1"/>
    </xf>
    <xf numFmtId="3" fontId="47" fillId="0" borderId="38" xfId="3" applyNumberFormat="1" applyFont="1" applyBorder="1" applyAlignment="1">
      <alignment horizontal="right" vertical="center" wrapText="1"/>
    </xf>
    <xf numFmtId="3" fontId="20" fillId="38" borderId="38" xfId="3" applyNumberFormat="1" applyFont="1" applyFill="1" applyBorder="1" applyAlignment="1">
      <alignment horizontal="center" vertical="center" wrapText="1"/>
    </xf>
    <xf numFmtId="0" fontId="58" fillId="44" borderId="0" xfId="0" applyFont="1" applyFill="1"/>
    <xf numFmtId="3" fontId="38" fillId="44" borderId="0" xfId="0" applyNumberFormat="1" applyFont="1" applyFill="1"/>
    <xf numFmtId="3" fontId="21" fillId="44" borderId="0" xfId="0" applyNumberFormat="1" applyFont="1" applyFill="1"/>
    <xf numFmtId="0" fontId="21" fillId="44" borderId="0" xfId="0" applyFont="1" applyFill="1"/>
    <xf numFmtId="0" fontId="67" fillId="0" borderId="1" xfId="0" applyFont="1" applyFill="1" applyBorder="1" applyAlignment="1">
      <alignment horizontal="left" vertical="center" wrapText="1"/>
    </xf>
    <xf numFmtId="0" fontId="20" fillId="0" borderId="1" xfId="3" applyFont="1" applyFill="1" applyBorder="1" applyAlignment="1">
      <alignment horizontal="left" vertical="center" wrapText="1"/>
    </xf>
    <xf numFmtId="4" fontId="2" fillId="0" borderId="0" xfId="4" applyNumberFormat="1"/>
    <xf numFmtId="4" fontId="1" fillId="0" borderId="0" xfId="4" applyNumberFormat="1" applyFont="1"/>
    <xf numFmtId="0" fontId="49" fillId="5" borderId="45" xfId="3" applyFont="1" applyFill="1" applyBorder="1" applyAlignment="1">
      <alignment horizontal="center" wrapText="1"/>
    </xf>
    <xf numFmtId="0" fontId="50" fillId="0" borderId="45" xfId="0" applyFont="1" applyBorder="1" applyAlignment="1"/>
    <xf numFmtId="0" fontId="50" fillId="0" borderId="46" xfId="0" applyFont="1" applyBorder="1" applyAlignment="1"/>
    <xf numFmtId="0" fontId="22" fillId="4" borderId="2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13" fillId="4" borderId="7" xfId="2" applyFont="1" applyFill="1" applyBorder="1" applyAlignment="1">
      <alignment horizontal="center" vertical="center" wrapText="1"/>
    </xf>
    <xf numFmtId="0" fontId="13" fillId="4" borderId="8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4" fillId="0" borderId="13" xfId="2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center" vertic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4" xfId="2" applyFont="1" applyFill="1" applyBorder="1" applyAlignment="1">
      <alignment horizontal="center" vertical="center" wrapText="1"/>
    </xf>
    <xf numFmtId="17" fontId="15" fillId="0" borderId="12" xfId="2" applyNumberFormat="1" applyFont="1" applyFill="1" applyBorder="1" applyAlignment="1">
      <alignment horizontal="center" vertical="center" wrapText="1"/>
    </xf>
    <xf numFmtId="0" fontId="15" fillId="0" borderId="14" xfId="2" applyNumberFormat="1" applyFont="1" applyFill="1" applyBorder="1" applyAlignment="1">
      <alignment horizontal="center" vertical="center" wrapText="1"/>
    </xf>
    <xf numFmtId="0" fontId="19" fillId="0" borderId="39" xfId="3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9" fillId="0" borderId="39" xfId="3" applyFont="1" applyFill="1" applyBorder="1" applyAlignment="1">
      <alignment horizontal="left" vertical="center" wrapText="1"/>
    </xf>
    <xf numFmtId="0" fontId="19" fillId="0" borderId="13" xfId="3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3" fontId="19" fillId="0" borderId="39" xfId="3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9" fillId="6" borderId="40" xfId="3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9" fillId="6" borderId="42" xfId="3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9" fillId="5" borderId="40" xfId="3" applyFont="1" applyFill="1" applyBorder="1" applyAlignment="1">
      <alignment horizontal="center"/>
    </xf>
    <xf numFmtId="0" fontId="19" fillId="5" borderId="47" xfId="3" applyFont="1" applyFill="1" applyBorder="1" applyAlignment="1">
      <alignment horizontal="center"/>
    </xf>
    <xf numFmtId="0" fontId="19" fillId="5" borderId="41" xfId="3" applyFont="1" applyFill="1" applyBorder="1" applyAlignment="1">
      <alignment horizontal="center"/>
    </xf>
    <xf numFmtId="0" fontId="0" fillId="0" borderId="1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3" fontId="19" fillId="0" borderId="13" xfId="3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48" fillId="0" borderId="43" xfId="0" applyFont="1" applyBorder="1" applyAlignment="1">
      <alignment horizontal="left" vertical="center" wrapText="1" indent="1"/>
    </xf>
    <xf numFmtId="0" fontId="11" fillId="0" borderId="46" xfId="0" applyFont="1" applyBorder="1" applyAlignment="1">
      <alignment horizontal="left" vertical="center" wrapText="1"/>
    </xf>
    <xf numFmtId="3" fontId="48" fillId="0" borderId="39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8" fillId="5" borderId="45" xfId="3" applyFont="1" applyFill="1" applyBorder="1" applyAlignment="1">
      <alignment horizontal="center" wrapText="1"/>
    </xf>
    <xf numFmtId="0" fontId="0" fillId="0" borderId="45" xfId="0" applyBorder="1" applyAlignment="1"/>
    <xf numFmtId="0" fontId="0" fillId="0" borderId="46" xfId="0" applyBorder="1" applyAlignment="1"/>
    <xf numFmtId="0" fontId="40" fillId="0" borderId="26" xfId="4" applyFont="1" applyBorder="1" applyAlignment="1">
      <alignment horizontal="center" wrapText="1"/>
    </xf>
    <xf numFmtId="0" fontId="40" fillId="3" borderId="31" xfId="4" applyFont="1" applyFill="1" applyBorder="1" applyAlignment="1">
      <alignment vertical="center" wrapText="1"/>
    </xf>
    <xf numFmtId="0" fontId="2" fillId="0" borderId="32" xfId="4" applyBorder="1" applyAlignment="1">
      <alignment horizontal="center"/>
    </xf>
    <xf numFmtId="0" fontId="19" fillId="6" borderId="1" xfId="4" applyFont="1" applyFill="1" applyBorder="1" applyAlignment="1">
      <alignment horizontal="center" vertical="center"/>
    </xf>
    <xf numFmtId="0" fontId="2" fillId="0" borderId="1" xfId="4" applyBorder="1" applyAlignment="1">
      <alignment horizontal="center" vertical="center"/>
    </xf>
    <xf numFmtId="0" fontId="11" fillId="35" borderId="1" xfId="4" applyFont="1" applyFill="1" applyBorder="1" applyAlignment="1">
      <alignment horizontal="center"/>
    </xf>
  </cellXfs>
  <cellStyles count="134">
    <cellStyle name="20% - Accent1 2" xfId="5"/>
    <cellStyle name="20% - Accent1 3" xfId="6"/>
    <cellStyle name="20% - Accent1 4" xfId="7"/>
    <cellStyle name="20% - Accent2 2" xfId="8"/>
    <cellStyle name="20% - Accent2 3" xfId="9"/>
    <cellStyle name="20% - Accent2 4" xfId="10"/>
    <cellStyle name="20% - Accent3 2" xfId="11"/>
    <cellStyle name="20% - Accent3 3" xfId="12"/>
    <cellStyle name="20% - Accent3 4" xfId="13"/>
    <cellStyle name="20% - Accent4 2" xfId="14"/>
    <cellStyle name="20% - Accent4 3" xfId="15"/>
    <cellStyle name="20% - Accent4 4" xfId="16"/>
    <cellStyle name="20% - Accent5 2" xfId="17"/>
    <cellStyle name="20% - Accent5 3" xfId="18"/>
    <cellStyle name="20% - Accent5 4" xfId="19"/>
    <cellStyle name="20% - Accent6 2" xfId="20"/>
    <cellStyle name="20% - Accent6 3" xfId="21"/>
    <cellStyle name="20% - Accent6 4" xfId="22"/>
    <cellStyle name="40% - Accent1 2" xfId="23"/>
    <cellStyle name="40% - Accent1 3" xfId="24"/>
    <cellStyle name="40% - Accent1 4" xfId="25"/>
    <cellStyle name="40% - Accent2 2" xfId="26"/>
    <cellStyle name="40% - Accent2 3" xfId="27"/>
    <cellStyle name="40% - Accent2 4" xfId="28"/>
    <cellStyle name="40% - Accent3 2" xfId="29"/>
    <cellStyle name="40% - Accent3 3" xfId="30"/>
    <cellStyle name="40% - Accent3 4" xfId="31"/>
    <cellStyle name="40% - Accent4 2" xfId="32"/>
    <cellStyle name="40% - Accent4 3" xfId="33"/>
    <cellStyle name="40% - Accent4 4" xfId="34"/>
    <cellStyle name="40% - Accent5 2" xfId="35"/>
    <cellStyle name="40% - Accent5 3" xfId="36"/>
    <cellStyle name="40% - Accent5 4" xfId="37"/>
    <cellStyle name="40% - Accent6 2" xfId="38"/>
    <cellStyle name="40% - Accent6 3" xfId="39"/>
    <cellStyle name="40% - Accent6 4" xfId="40"/>
    <cellStyle name="60% - Accent1 2" xfId="41"/>
    <cellStyle name="60% - Accent1 3" xfId="42"/>
    <cellStyle name="60% - Accent1 4" xfId="43"/>
    <cellStyle name="60% - Accent2 2" xfId="44"/>
    <cellStyle name="60% - Accent2 3" xfId="45"/>
    <cellStyle name="60% - Accent2 4" xfId="46"/>
    <cellStyle name="60% - Accent3 2" xfId="47"/>
    <cellStyle name="60% - Accent3 3" xfId="48"/>
    <cellStyle name="60% - Accent3 4" xfId="49"/>
    <cellStyle name="60% - Accent4 2" xfId="50"/>
    <cellStyle name="60% - Accent4 3" xfId="51"/>
    <cellStyle name="60% - Accent4 4" xfId="52"/>
    <cellStyle name="60% - Accent5 2" xfId="53"/>
    <cellStyle name="60% - Accent5 3" xfId="54"/>
    <cellStyle name="60% - Accent5 4" xfId="55"/>
    <cellStyle name="60% - Accent6 2" xfId="56"/>
    <cellStyle name="60% - Accent6 3" xfId="57"/>
    <cellStyle name="60% - Accent6 4" xfId="58"/>
    <cellStyle name="Accent1 2" xfId="59"/>
    <cellStyle name="Accent1 3" xfId="60"/>
    <cellStyle name="Accent1 4" xfId="61"/>
    <cellStyle name="Accent2 2" xfId="62"/>
    <cellStyle name="Accent2 3" xfId="63"/>
    <cellStyle name="Accent2 4" xfId="64"/>
    <cellStyle name="Accent3 2" xfId="65"/>
    <cellStyle name="Accent3 3" xfId="66"/>
    <cellStyle name="Accent3 4" xfId="67"/>
    <cellStyle name="Accent4 2" xfId="68"/>
    <cellStyle name="Accent4 3" xfId="69"/>
    <cellStyle name="Accent4 4" xfId="70"/>
    <cellStyle name="Accent5 2" xfId="71"/>
    <cellStyle name="Accent5 3" xfId="72"/>
    <cellStyle name="Accent5 4" xfId="73"/>
    <cellStyle name="Accent6 2" xfId="74"/>
    <cellStyle name="Accent6 3" xfId="75"/>
    <cellStyle name="Accent6 4" xfId="76"/>
    <cellStyle name="Bad 2" xfId="77"/>
    <cellStyle name="Bad 3" xfId="78"/>
    <cellStyle name="Bad 4" xfId="79"/>
    <cellStyle name="Calculation 2" xfId="80"/>
    <cellStyle name="Calculation 3" xfId="81"/>
    <cellStyle name="Calculation 4" xfId="82"/>
    <cellStyle name="Check Cell 2" xfId="83"/>
    <cellStyle name="Check Cell 3" xfId="84"/>
    <cellStyle name="Check Cell 4" xfId="85"/>
    <cellStyle name="Comma" xfId="132" builtinId="3"/>
    <cellStyle name="Currency" xfId="133" builtinId="4"/>
    <cellStyle name="Explanatory Text 2" xfId="86"/>
    <cellStyle name="Explanatory Text 3" xfId="87"/>
    <cellStyle name="Explanatory Text 4" xfId="88"/>
    <cellStyle name="Good 2" xfId="89"/>
    <cellStyle name="Good 3" xfId="90"/>
    <cellStyle name="Good 4" xfId="91"/>
    <cellStyle name="Heading 1 2" xfId="92"/>
    <cellStyle name="Heading 1 3" xfId="93"/>
    <cellStyle name="Heading 1 4" xfId="94"/>
    <cellStyle name="Heading 2 2" xfId="95"/>
    <cellStyle name="Heading 2 3" xfId="96"/>
    <cellStyle name="Heading 2 4" xfId="97"/>
    <cellStyle name="Heading 3 2" xfId="98"/>
    <cellStyle name="Heading 3 3" xfId="99"/>
    <cellStyle name="Heading 3 4" xfId="100"/>
    <cellStyle name="Heading 4 2" xfId="101"/>
    <cellStyle name="Heading 4 3" xfId="102"/>
    <cellStyle name="Heading 4 4" xfId="103"/>
    <cellStyle name="Input 2" xfId="104"/>
    <cellStyle name="Input 3" xfId="105"/>
    <cellStyle name="Input 4" xfId="106"/>
    <cellStyle name="Linked Cell 2" xfId="107"/>
    <cellStyle name="Linked Cell 3" xfId="108"/>
    <cellStyle name="Linked Cell 4" xfId="109"/>
    <cellStyle name="Neutral 2" xfId="110"/>
    <cellStyle name="Neutral 3" xfId="111"/>
    <cellStyle name="Neutral 4" xfId="112"/>
    <cellStyle name="Normal" xfId="0" builtinId="0"/>
    <cellStyle name="Normal 2" xfId="1"/>
    <cellStyle name="Normal 2 2" xfId="113"/>
    <cellStyle name="Normal 2 3" xfId="114"/>
    <cellStyle name="Normal 2 4" xfId="115"/>
    <cellStyle name="Normal 3" xfId="2"/>
    <cellStyle name="Normal 3 2" xfId="116"/>
    <cellStyle name="Normal 4" xfId="3"/>
    <cellStyle name="Normal 5" xfId="4"/>
    <cellStyle name="Note 2" xfId="117"/>
    <cellStyle name="Note 3" xfId="118"/>
    <cellStyle name="Note 4" xfId="119"/>
    <cellStyle name="Output 2" xfId="120"/>
    <cellStyle name="Output 3" xfId="121"/>
    <cellStyle name="Output 4" xfId="122"/>
    <cellStyle name="Title 2" xfId="123"/>
    <cellStyle name="Title 3" xfId="124"/>
    <cellStyle name="Title 4" xfId="125"/>
    <cellStyle name="Total 2" xfId="126"/>
    <cellStyle name="Total 3" xfId="127"/>
    <cellStyle name="Total 4" xfId="128"/>
    <cellStyle name="Warning Text 2" xfId="129"/>
    <cellStyle name="Warning Text 3" xfId="130"/>
    <cellStyle name="Warning Text 4" xfId="131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Users/Marcio/AppData/Local/Microsoft/Windows/INetCache/Content.Outlook/C1RVFVGR/IFMIS%20Cost%20Estimates%20to%20verify%20Nov%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 View"/>
      <sheetName val="Process View"/>
      <sheetName val="Worksheet"/>
    </sheetNames>
    <sheetDataSet>
      <sheetData sheetId="0"/>
      <sheetData sheetId="1">
        <row r="3">
          <cell r="C3">
            <v>150000</v>
          </cell>
        </row>
        <row r="4">
          <cell r="C4">
            <v>300000</v>
          </cell>
        </row>
        <row r="5">
          <cell r="C5">
            <v>120000</v>
          </cell>
        </row>
        <row r="6">
          <cell r="C6">
            <v>1650000</v>
          </cell>
        </row>
        <row r="7">
          <cell r="C7">
            <v>50000</v>
          </cell>
        </row>
        <row r="8">
          <cell r="C8">
            <v>567500</v>
          </cell>
        </row>
        <row r="9">
          <cell r="C9">
            <v>408600</v>
          </cell>
        </row>
        <row r="12">
          <cell r="C12">
            <v>731760</v>
          </cell>
        </row>
        <row r="13">
          <cell r="C13">
            <v>1950000</v>
          </cell>
          <cell r="D13">
            <v>1950000</v>
          </cell>
        </row>
        <row r="14">
          <cell r="C14">
            <v>256115.99999999997</v>
          </cell>
        </row>
        <row r="15">
          <cell r="C15">
            <v>400000</v>
          </cell>
        </row>
        <row r="16">
          <cell r="C16">
            <v>133333.33333333334</v>
          </cell>
          <cell r="D16">
            <v>266666.66666666669</v>
          </cell>
        </row>
        <row r="17">
          <cell r="C17">
            <v>350000</v>
          </cell>
          <cell r="D17">
            <v>350000</v>
          </cell>
        </row>
        <row r="18">
          <cell r="C18">
            <v>125000</v>
          </cell>
          <cell r="D18">
            <v>250000</v>
          </cell>
        </row>
        <row r="19">
          <cell r="C19">
            <v>90000</v>
          </cell>
          <cell r="D19">
            <v>180000</v>
          </cell>
        </row>
        <row r="22">
          <cell r="D22">
            <v>1250000</v>
          </cell>
          <cell r="E22">
            <v>1250000</v>
          </cell>
        </row>
        <row r="23">
          <cell r="D23">
            <v>1100000</v>
          </cell>
          <cell r="E23">
            <v>825000</v>
          </cell>
          <cell r="F23">
            <v>825000</v>
          </cell>
        </row>
        <row r="24">
          <cell r="D24">
            <v>520000</v>
          </cell>
          <cell r="E24">
            <v>520000</v>
          </cell>
          <cell r="F24">
            <v>260000</v>
          </cell>
        </row>
        <row r="25">
          <cell r="D25">
            <v>573125</v>
          </cell>
          <cell r="E25">
            <v>573125</v>
          </cell>
          <cell r="F25">
            <v>491250</v>
          </cell>
        </row>
        <row r="26">
          <cell r="D26">
            <v>412650</v>
          </cell>
          <cell r="E26">
            <v>412650</v>
          </cell>
          <cell r="F26">
            <v>353700</v>
          </cell>
        </row>
        <row r="29">
          <cell r="C29">
            <v>731760</v>
          </cell>
        </row>
        <row r="30">
          <cell r="C30">
            <v>1950000</v>
          </cell>
          <cell r="D30">
            <v>1950000</v>
          </cell>
        </row>
        <row r="31">
          <cell r="D31">
            <v>194000</v>
          </cell>
          <cell r="E31">
            <v>116400</v>
          </cell>
          <cell r="F31">
            <v>77600</v>
          </cell>
        </row>
        <row r="32">
          <cell r="D32">
            <v>98000</v>
          </cell>
          <cell r="E32">
            <v>98000</v>
          </cell>
          <cell r="F32">
            <v>84000</v>
          </cell>
        </row>
        <row r="33">
          <cell r="D33">
            <v>393750</v>
          </cell>
          <cell r="E33">
            <v>393750</v>
          </cell>
          <cell r="F33">
            <v>337500</v>
          </cell>
        </row>
        <row r="34">
          <cell r="D34">
            <v>61000</v>
          </cell>
          <cell r="E34">
            <v>122000</v>
          </cell>
          <cell r="F34">
            <v>61000</v>
          </cell>
        </row>
        <row r="35">
          <cell r="D35">
            <v>583516.5</v>
          </cell>
          <cell r="E35">
            <v>583516.5</v>
          </cell>
          <cell r="F35">
            <v>500157</v>
          </cell>
        </row>
        <row r="36">
          <cell r="D36">
            <v>420131.88</v>
          </cell>
          <cell r="E36">
            <v>420131.88</v>
          </cell>
          <cell r="F36">
            <v>360113.04</v>
          </cell>
        </row>
      </sheetData>
      <sheetData sheetId="2">
        <row r="2">
          <cell r="E2">
            <v>150000</v>
          </cell>
        </row>
        <row r="3">
          <cell r="E3">
            <v>300000</v>
          </cell>
        </row>
        <row r="4">
          <cell r="E4">
            <v>120000</v>
          </cell>
        </row>
        <row r="5">
          <cell r="E5">
            <v>1650000</v>
          </cell>
        </row>
        <row r="6">
          <cell r="E6">
            <v>50000</v>
          </cell>
        </row>
        <row r="9">
          <cell r="J9">
            <v>567500</v>
          </cell>
        </row>
        <row r="12">
          <cell r="C12">
            <v>731760</v>
          </cell>
        </row>
        <row r="13">
          <cell r="D13">
            <v>3900000</v>
          </cell>
        </row>
        <row r="14">
          <cell r="C14">
            <v>256115.99999999997</v>
          </cell>
        </row>
        <row r="15">
          <cell r="F15">
            <v>400000</v>
          </cell>
        </row>
        <row r="16">
          <cell r="F16">
            <v>400000</v>
          </cell>
        </row>
        <row r="17">
          <cell r="F17">
            <v>700000</v>
          </cell>
        </row>
        <row r="20">
          <cell r="J20">
            <v>375000</v>
          </cell>
          <cell r="K20">
            <v>270000</v>
          </cell>
        </row>
        <row r="23">
          <cell r="G23">
            <v>2500000</v>
          </cell>
        </row>
        <row r="24">
          <cell r="G24">
            <v>2750000</v>
          </cell>
        </row>
        <row r="25">
          <cell r="G25">
            <v>1300000</v>
          </cell>
        </row>
        <row r="26">
          <cell r="J26">
            <v>1637500</v>
          </cell>
        </row>
        <row r="28">
          <cell r="K28">
            <v>1179000</v>
          </cell>
        </row>
        <row r="31">
          <cell r="I31">
            <v>731760</v>
          </cell>
        </row>
        <row r="32">
          <cell r="I32">
            <v>3900000</v>
          </cell>
        </row>
        <row r="33">
          <cell r="I33">
            <v>388000</v>
          </cell>
        </row>
        <row r="34">
          <cell r="I34">
            <v>280000</v>
          </cell>
        </row>
        <row r="35">
          <cell r="I35">
            <v>1125000</v>
          </cell>
        </row>
        <row r="36">
          <cell r="I36">
            <v>244000</v>
          </cell>
        </row>
        <row r="37">
          <cell r="J37">
            <v>1667190</v>
          </cell>
        </row>
        <row r="39">
          <cell r="K39">
            <v>1200376.8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3"/>
  <sheetViews>
    <sheetView showGridLines="0" tabSelected="1" topLeftCell="A16" zoomScale="70" zoomScaleNormal="70" zoomScaleSheetLayoutView="80" workbookViewId="0">
      <selection activeCell="D32" sqref="D32"/>
    </sheetView>
  </sheetViews>
  <sheetFormatPr defaultColWidth="9" defaultRowHeight="15.75" x14ac:dyDescent="0.25"/>
  <cols>
    <col min="1" max="1" width="8.125" style="35" customWidth="1"/>
    <col min="2" max="2" width="50" style="6" customWidth="1"/>
    <col min="3" max="3" width="11.25" style="19" customWidth="1"/>
    <col min="4" max="4" width="11.125" style="6" customWidth="1"/>
    <col min="5" max="5" width="17.125" style="6" bestFit="1" customWidth="1"/>
    <col min="6" max="6" width="16.75" style="6" customWidth="1"/>
    <col min="7" max="7" width="11.875" style="6" hidden="1" customWidth="1"/>
    <col min="8" max="8" width="14.125" style="19" customWidth="1"/>
    <col min="9" max="9" width="27.125" style="19" bestFit="1" customWidth="1"/>
    <col min="10" max="10" width="15.125" style="6" customWidth="1"/>
    <col min="11" max="12" width="14.125" style="6" customWidth="1"/>
    <col min="13" max="13" width="81.375" style="6" customWidth="1"/>
    <col min="14" max="16384" width="9" style="6"/>
  </cols>
  <sheetData>
    <row r="1" spans="1:56" ht="51.6" customHeight="1" x14ac:dyDescent="0.35">
      <c r="A1" s="331" t="str">
        <f>'Detailed Budget '!C1</f>
        <v>Performance Monitoring and Public Financial Management Reform  (US$)
(TT-L1042)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3"/>
    </row>
    <row r="2" spans="1:56" ht="21" x14ac:dyDescent="0.25">
      <c r="A2" s="337" t="s">
        <v>105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56" x14ac:dyDescent="0.25">
      <c r="B3" s="55"/>
      <c r="C3" s="56"/>
      <c r="D3" s="55"/>
      <c r="E3" s="55"/>
      <c r="F3" s="55"/>
      <c r="G3" s="55"/>
      <c r="H3" s="56"/>
      <c r="I3" s="56"/>
      <c r="J3" s="338" t="s">
        <v>12</v>
      </c>
      <c r="K3" s="339"/>
      <c r="L3" s="55"/>
      <c r="M3" s="55"/>
      <c r="N3" s="55"/>
    </row>
    <row r="4" spans="1:56" s="7" customFormat="1" ht="101.25" customHeight="1" x14ac:dyDescent="0.25">
      <c r="A4" s="32" t="s">
        <v>2</v>
      </c>
      <c r="B4" s="59" t="s">
        <v>6</v>
      </c>
      <c r="C4" s="59" t="s">
        <v>37</v>
      </c>
      <c r="D4" s="59" t="s">
        <v>11</v>
      </c>
      <c r="E4" s="59" t="s">
        <v>8</v>
      </c>
      <c r="F4" s="59" t="s">
        <v>9</v>
      </c>
      <c r="G4" s="59" t="s">
        <v>0</v>
      </c>
      <c r="H4" s="59" t="s">
        <v>5</v>
      </c>
      <c r="I4" s="59" t="s">
        <v>10</v>
      </c>
      <c r="J4" s="59" t="s">
        <v>32</v>
      </c>
      <c r="K4" s="59" t="s">
        <v>33</v>
      </c>
      <c r="L4" s="59" t="s">
        <v>36</v>
      </c>
      <c r="M4" s="59" t="s">
        <v>7</v>
      </c>
    </row>
    <row r="5" spans="1:56" s="7" customFormat="1" ht="23.25" customHeight="1" x14ac:dyDescent="0.25">
      <c r="A5" s="334" t="s">
        <v>30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</row>
    <row r="6" spans="1:56" s="4" customFormat="1" ht="51.6" customHeight="1" x14ac:dyDescent="0.25">
      <c r="A6" s="33"/>
      <c r="B6" s="3"/>
      <c r="C6" s="57"/>
      <c r="D6" s="2"/>
      <c r="E6" s="37"/>
      <c r="F6" s="21"/>
      <c r="G6" s="57"/>
      <c r="H6" s="53"/>
      <c r="I6" s="53"/>
      <c r="J6" s="57"/>
      <c r="K6" s="57"/>
      <c r="L6" s="57"/>
      <c r="M6" s="60"/>
      <c r="N6" s="115"/>
      <c r="O6" s="115"/>
    </row>
    <row r="7" spans="1:56" s="4" customFormat="1" ht="95.45" customHeight="1" x14ac:dyDescent="0.25">
      <c r="A7" s="33">
        <v>1</v>
      </c>
      <c r="B7" s="3" t="str">
        <f>'Detailed Budget '!C6</f>
        <v>Long-term Consultant IPSAS-compliant, Treasury accounting framework to operate with the new concepts to be introduced by the proposed Chart of Accounts.(update existing Accounting manuals; prepare and deliver training courses on revised accounting framework and bookkeeping)</v>
      </c>
      <c r="C7" s="57" t="s">
        <v>4</v>
      </c>
      <c r="D7" s="57" t="s">
        <v>1</v>
      </c>
      <c r="E7" s="37">
        <f>'Detailed Budget '!G6</f>
        <v>397500</v>
      </c>
      <c r="F7" s="21">
        <f t="shared" ref="F7" si="0">+E7</f>
        <v>397500</v>
      </c>
      <c r="G7" s="57"/>
      <c r="H7" s="53" t="s">
        <v>31</v>
      </c>
      <c r="I7" s="53" t="s">
        <v>114</v>
      </c>
      <c r="J7" s="57">
        <v>2015</v>
      </c>
      <c r="K7" s="57">
        <v>2019</v>
      </c>
      <c r="L7" s="57">
        <v>1</v>
      </c>
      <c r="M7" s="60" t="str">
        <f>'Detailed Budget '!A5</f>
        <v>(i) Development and implementation of a new budget classification based on a Chart of Accounts that is GFS-compliant, which will be supported by a training program in budget classification.</v>
      </c>
      <c r="N7" s="115"/>
      <c r="O7" s="115"/>
    </row>
    <row r="8" spans="1:56" s="205" customFormat="1" ht="31.5" x14ac:dyDescent="0.25">
      <c r="A8" s="33">
        <v>2</v>
      </c>
      <c r="B8" s="200" t="str">
        <f>'Detailed Budget '!C8</f>
        <v>Long-term consultant to prepare a Sustainability Strategy for Modernization effort</v>
      </c>
      <c r="C8" s="201" t="s">
        <v>4</v>
      </c>
      <c r="D8" s="201" t="s">
        <v>1</v>
      </c>
      <c r="E8" s="37">
        <f>'Detailed Budget '!G8</f>
        <v>221500</v>
      </c>
      <c r="F8" s="37">
        <f t="shared" ref="F8:F15" si="1">+E8</f>
        <v>221500</v>
      </c>
      <c r="G8" s="201"/>
      <c r="H8" s="202" t="s">
        <v>31</v>
      </c>
      <c r="I8" s="202" t="s">
        <v>114</v>
      </c>
      <c r="J8" s="201">
        <v>2015</v>
      </c>
      <c r="K8" s="201">
        <v>2019</v>
      </c>
      <c r="L8" s="201">
        <v>1</v>
      </c>
      <c r="M8" s="203" t="str">
        <f>'Detailed Budget '!A8</f>
        <v xml:space="preserve">(iii) Development and implementation of institutional instruments to sustain PFM modernization efforts </v>
      </c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</row>
    <row r="9" spans="1:56" s="205" customFormat="1" ht="31.5" x14ac:dyDescent="0.25">
      <c r="A9" s="33">
        <v>3</v>
      </c>
      <c r="B9" s="200" t="str">
        <f>'Detailed Budget '!N10</f>
        <v>Establishment of a trainingProgram within the Min of Planning PPRD, including 3 long term consultantss</v>
      </c>
      <c r="C9" s="201" t="s">
        <v>4</v>
      </c>
      <c r="D9" s="201" t="s">
        <v>1</v>
      </c>
      <c r="E9" s="37">
        <f>'Detailed Budget '!Q10</f>
        <v>1192500</v>
      </c>
      <c r="F9" s="37">
        <f t="shared" si="1"/>
        <v>1192500</v>
      </c>
      <c r="G9" s="201"/>
      <c r="H9" s="202" t="s">
        <v>31</v>
      </c>
      <c r="I9" s="202" t="s">
        <v>114</v>
      </c>
      <c r="J9" s="201">
        <v>2015</v>
      </c>
      <c r="K9" s="201">
        <v>2019</v>
      </c>
      <c r="L9" s="201">
        <v>1</v>
      </c>
      <c r="M9" s="203" t="str">
        <f>'Detailed Budget '!A8</f>
        <v xml:space="preserve">(iii) Development and implementation of institutional instruments to sustain PFM modernization efforts </v>
      </c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</row>
    <row r="10" spans="1:56" s="205" customFormat="1" ht="31.5" x14ac:dyDescent="0.25">
      <c r="A10" s="33">
        <v>4</v>
      </c>
      <c r="B10" s="200" t="str">
        <f>'Detailed Budget '!N11</f>
        <v>Establishment of a training Program within the Budget Division</v>
      </c>
      <c r="C10" s="201" t="s">
        <v>4</v>
      </c>
      <c r="D10" s="201" t="s">
        <v>1</v>
      </c>
      <c r="E10" s="37">
        <f>'Detailed Budget '!Q11</f>
        <v>854000</v>
      </c>
      <c r="F10" s="37">
        <f t="shared" si="1"/>
        <v>854000</v>
      </c>
      <c r="G10" s="201"/>
      <c r="H10" s="202" t="s">
        <v>31</v>
      </c>
      <c r="I10" s="202" t="s">
        <v>114</v>
      </c>
      <c r="J10" s="201">
        <v>2015</v>
      </c>
      <c r="K10" s="201">
        <v>2019</v>
      </c>
      <c r="L10" s="201">
        <v>1</v>
      </c>
      <c r="M10" s="203" t="str">
        <f>'Detailed Budget '!A8</f>
        <v xml:space="preserve">(iii) Development and implementation of institutional instruments to sustain PFM modernization efforts </v>
      </c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</row>
    <row r="11" spans="1:56" s="205" customFormat="1" ht="31.5" x14ac:dyDescent="0.25">
      <c r="A11" s="33">
        <v>5</v>
      </c>
      <c r="B11" s="200" t="str">
        <f>'Detailed Budget '!N12</f>
        <v>Establishment of a training Program within the Treasury Division</v>
      </c>
      <c r="C11" s="201" t="s">
        <v>4</v>
      </c>
      <c r="D11" s="201" t="s">
        <v>1</v>
      </c>
      <c r="E11" s="37">
        <f>'Detailed Budget '!Q12</f>
        <v>854000</v>
      </c>
      <c r="F11" s="37">
        <f t="shared" si="1"/>
        <v>854000</v>
      </c>
      <c r="G11" s="201"/>
      <c r="H11" s="202" t="s">
        <v>31</v>
      </c>
      <c r="I11" s="202" t="s">
        <v>114</v>
      </c>
      <c r="J11" s="201">
        <v>2015</v>
      </c>
      <c r="K11" s="201">
        <v>2019</v>
      </c>
      <c r="L11" s="201">
        <v>1</v>
      </c>
      <c r="M11" s="203" t="str">
        <f>'Detailed Budget '!A8</f>
        <v xml:space="preserve">(iii) Development and implementation of institutional instruments to sustain PFM modernization efforts </v>
      </c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</row>
    <row r="12" spans="1:56" s="4" customFormat="1" ht="63" x14ac:dyDescent="0.25">
      <c r="A12" s="33">
        <v>6</v>
      </c>
      <c r="B12" s="3" t="str">
        <f>'Detailed Budget '!C13</f>
        <v>Change Management consultants to develop and implement Change Management Strategy, including stakeholder coordination and communication, to guide and support proposed changes</v>
      </c>
      <c r="C12" s="57" t="s">
        <v>4</v>
      </c>
      <c r="D12" s="57" t="s">
        <v>1</v>
      </c>
      <c r="E12" s="37">
        <f>'Detailed Budget '!G13</f>
        <v>1000000</v>
      </c>
      <c r="F12" s="37">
        <f t="shared" si="1"/>
        <v>1000000</v>
      </c>
      <c r="G12" s="57"/>
      <c r="H12" s="53" t="s">
        <v>31</v>
      </c>
      <c r="I12" s="53" t="s">
        <v>233</v>
      </c>
      <c r="J12" s="57">
        <v>2015</v>
      </c>
      <c r="K12" s="57">
        <v>2019</v>
      </c>
      <c r="L12" s="225">
        <v>1</v>
      </c>
      <c r="M12" s="184" t="str">
        <f>'Detailed Budget '!A8</f>
        <v xml:space="preserve">(iii) Development and implementation of institutional instruments to sustain PFM modernization efforts </v>
      </c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</row>
    <row r="13" spans="1:56" s="4" customFormat="1" ht="30" customHeight="1" x14ac:dyDescent="0.25">
      <c r="A13" s="33">
        <v>7</v>
      </c>
      <c r="B13" s="3" t="str">
        <f>'Detailed Budget '!C14</f>
        <v xml:space="preserve">Chief Technical Coordinator for PFM Reform to oversee and coordinate modernization activities </v>
      </c>
      <c r="C13" s="2" t="s">
        <v>4</v>
      </c>
      <c r="D13" s="2" t="s">
        <v>1</v>
      </c>
      <c r="E13" s="37">
        <f>'Detailed Budget '!G14</f>
        <v>880000</v>
      </c>
      <c r="F13" s="21">
        <f>E13</f>
        <v>880000</v>
      </c>
      <c r="G13" s="57"/>
      <c r="H13" s="53" t="s">
        <v>31</v>
      </c>
      <c r="I13" s="53" t="s">
        <v>114</v>
      </c>
      <c r="J13" s="57">
        <v>2015</v>
      </c>
      <c r="K13" s="57">
        <v>2019</v>
      </c>
      <c r="L13" s="225">
        <v>1</v>
      </c>
      <c r="M13" s="184" t="s">
        <v>122</v>
      </c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</row>
    <row r="14" spans="1:56" s="4" customFormat="1" ht="47.25" x14ac:dyDescent="0.25">
      <c r="A14" s="33">
        <v>8</v>
      </c>
      <c r="B14" s="3" t="str">
        <f>'Detailed Budget '!C16</f>
        <v>Long-term Consultant Internal Audit Reform (support implementation of recommendations of Internal Audit Reform report, including training)</v>
      </c>
      <c r="C14" s="57" t="s">
        <v>4</v>
      </c>
      <c r="D14" s="57" t="s">
        <v>1</v>
      </c>
      <c r="E14" s="37">
        <f>'Detailed Budget '!G16</f>
        <v>397500</v>
      </c>
      <c r="F14" s="21">
        <f t="shared" si="1"/>
        <v>397500</v>
      </c>
      <c r="G14" s="57"/>
      <c r="H14" s="53" t="s">
        <v>31</v>
      </c>
      <c r="I14" s="53" t="s">
        <v>114</v>
      </c>
      <c r="J14" s="57">
        <v>2015</v>
      </c>
      <c r="K14" s="57">
        <v>2019</v>
      </c>
      <c r="L14" s="225">
        <v>1</v>
      </c>
      <c r="M14" s="184" t="str">
        <f>'Detailed Budget '!A16</f>
        <v xml:space="preserve">(iv) Design and implementation of an internal audit framework to improve PFM control, transparency, and reporting. </v>
      </c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</row>
    <row r="15" spans="1:56" s="207" customFormat="1" ht="31.5" x14ac:dyDescent="0.25">
      <c r="A15" s="33">
        <v>9</v>
      </c>
      <c r="B15" s="207" t="str">
        <f>'Detailed Budget '!C17</f>
        <v>Short-term review of Exchequer and Audit Act (internal audit)</v>
      </c>
      <c r="C15" s="208" t="s">
        <v>4</v>
      </c>
      <c r="D15" s="209" t="s">
        <v>1</v>
      </c>
      <c r="E15" s="37">
        <f>'Detailed Budget '!G17</f>
        <v>60000</v>
      </c>
      <c r="F15" s="37">
        <f t="shared" si="1"/>
        <v>60000</v>
      </c>
      <c r="H15" s="210" t="s">
        <v>31</v>
      </c>
      <c r="I15" s="202" t="s">
        <v>114</v>
      </c>
      <c r="J15" s="201">
        <v>2015</v>
      </c>
      <c r="K15" s="201">
        <v>2019</v>
      </c>
      <c r="L15" s="226">
        <v>1</v>
      </c>
      <c r="M15" s="219" t="str">
        <f>'Detailed Budget '!A17</f>
        <v>(v) Review of, and preparation of recommendations to strengthen, the PFM legal framework.</v>
      </c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</row>
    <row r="16" spans="1:56" s="214" customFormat="1" ht="31.5" x14ac:dyDescent="0.25">
      <c r="A16" s="33">
        <v>10</v>
      </c>
      <c r="B16" s="200" t="str">
        <f>'Detailed Budget '!C18</f>
        <v>Short-term review of Exchequer and Audit Act (Chart of Accounts)</v>
      </c>
      <c r="C16" s="210" t="s">
        <v>4</v>
      </c>
      <c r="D16" s="212" t="s">
        <v>1</v>
      </c>
      <c r="E16" s="37">
        <f>'Detailed Budget '!G18</f>
        <v>60000</v>
      </c>
      <c r="F16" s="37">
        <f t="shared" ref="F16" si="2">+E16</f>
        <v>60000</v>
      </c>
      <c r="G16" s="212"/>
      <c r="H16" s="210" t="s">
        <v>31</v>
      </c>
      <c r="I16" s="202" t="s">
        <v>114</v>
      </c>
      <c r="J16" s="201">
        <v>2015</v>
      </c>
      <c r="K16" s="201">
        <v>2019</v>
      </c>
      <c r="L16" s="226">
        <v>1</v>
      </c>
      <c r="M16" s="219" t="str">
        <f>'Detailed Budget '!A17</f>
        <v>(v) Review of, and preparation of recommendations to strengthen, the PFM legal framework.</v>
      </c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</row>
    <row r="17" spans="1:56" s="214" customFormat="1" x14ac:dyDescent="0.25">
      <c r="A17" s="33">
        <v>11</v>
      </c>
      <c r="B17" s="200" t="str">
        <f>'Detailed Budget '!C19</f>
        <v>Short-term review of Exchequer and Audit Act (IFMIS)</v>
      </c>
      <c r="C17" s="210" t="s">
        <v>4</v>
      </c>
      <c r="D17" s="212" t="s">
        <v>1</v>
      </c>
      <c r="E17" s="37">
        <f>'Detailed Budget '!G19</f>
        <v>60000</v>
      </c>
      <c r="F17" s="37">
        <f t="shared" ref="F17:F18" si="3">+E17</f>
        <v>60000</v>
      </c>
      <c r="G17" s="212"/>
      <c r="H17" s="210" t="s">
        <v>31</v>
      </c>
      <c r="I17" s="202" t="s">
        <v>114</v>
      </c>
      <c r="J17" s="201">
        <v>2015</v>
      </c>
      <c r="K17" s="201">
        <v>2019</v>
      </c>
      <c r="L17" s="226">
        <v>1</v>
      </c>
      <c r="M17" s="219" t="str">
        <f>'Detailed Budget '!A17</f>
        <v>(v) Review of, and preparation of recommendations to strengthen, the PFM legal framework.</v>
      </c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</row>
    <row r="18" spans="1:56" s="31" customFormat="1" ht="31.5" x14ac:dyDescent="0.25">
      <c r="A18" s="33">
        <v>12</v>
      </c>
      <c r="B18" s="3" t="str">
        <f>'Detailed Budget '!C20</f>
        <v>Short-term review of Exchequer and Audit Act (reporting standards)</v>
      </c>
      <c r="C18" s="8" t="s">
        <v>4</v>
      </c>
      <c r="D18" s="2" t="s">
        <v>1</v>
      </c>
      <c r="E18" s="37">
        <f>'Detailed Budget '!G20</f>
        <v>113500</v>
      </c>
      <c r="F18" s="21">
        <f t="shared" si="3"/>
        <v>113500</v>
      </c>
      <c r="G18" s="2"/>
      <c r="H18" s="8" t="s">
        <v>31</v>
      </c>
      <c r="I18" s="53" t="s">
        <v>114</v>
      </c>
      <c r="J18" s="57">
        <v>2015</v>
      </c>
      <c r="K18" s="57">
        <v>2019</v>
      </c>
      <c r="L18" s="225">
        <v>1</v>
      </c>
      <c r="M18" s="184" t="str">
        <f>'Detailed Budget '!A17</f>
        <v>(v) Review of, and preparation of recommendations to strengthen, the PFM legal framework.</v>
      </c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</row>
    <row r="19" spans="1:56" s="31" customFormat="1" ht="31.5" x14ac:dyDescent="0.25">
      <c r="A19" s="33">
        <v>13</v>
      </c>
      <c r="B19" s="3" t="str">
        <f>'Detailed Budget '!C21</f>
        <v>Legislative drafter (prepare draft Amendment on the basis of short-term consultant recommendations)</v>
      </c>
      <c r="C19" s="8" t="s">
        <v>4</v>
      </c>
      <c r="D19" s="2" t="s">
        <v>1</v>
      </c>
      <c r="E19" s="37">
        <f>'Detailed Budget '!G21</f>
        <v>60000</v>
      </c>
      <c r="F19" s="21">
        <f t="shared" ref="F19" si="4">+E19</f>
        <v>60000</v>
      </c>
      <c r="G19" s="2"/>
      <c r="H19" s="8" t="s">
        <v>31</v>
      </c>
      <c r="I19" s="53" t="s">
        <v>114</v>
      </c>
      <c r="J19" s="57">
        <v>2015</v>
      </c>
      <c r="K19" s="57">
        <v>2019</v>
      </c>
      <c r="L19" s="225">
        <v>1</v>
      </c>
      <c r="M19" s="184" t="str">
        <f>'Detailed Budget '!A17</f>
        <v>(v) Review of, and preparation of recommendations to strengthen, the PFM legal framework.</v>
      </c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</row>
    <row r="20" spans="1:56" s="188" customFormat="1" x14ac:dyDescent="0.25">
      <c r="A20" s="181"/>
      <c r="B20" s="185"/>
      <c r="C20" s="182"/>
      <c r="D20" s="186"/>
      <c r="E20" s="187"/>
      <c r="F20" s="21"/>
      <c r="G20" s="186"/>
      <c r="H20" s="182"/>
      <c r="I20" s="53"/>
      <c r="J20" s="183"/>
      <c r="K20" s="183"/>
      <c r="L20" s="225"/>
      <c r="M20" s="184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</row>
    <row r="21" spans="1:56" s="220" customFormat="1" ht="31.5" x14ac:dyDescent="0.25">
      <c r="A21" s="206">
        <v>14</v>
      </c>
      <c r="B21" s="215" t="str">
        <f>'Detailed Budget '!J24</f>
        <v>Site Visits</v>
      </c>
      <c r="C21" s="182" t="s">
        <v>4</v>
      </c>
      <c r="D21" s="186" t="s">
        <v>1</v>
      </c>
      <c r="E21" s="187">
        <f>'Detailed Budget '!M24</f>
        <v>360000</v>
      </c>
      <c r="F21" s="37">
        <f t="shared" ref="F21:F22" si="5">+E21</f>
        <v>360000</v>
      </c>
      <c r="G21" s="217"/>
      <c r="H21" s="182" t="s">
        <v>31</v>
      </c>
      <c r="I21" s="53" t="s">
        <v>34</v>
      </c>
      <c r="J21" s="183">
        <v>2015</v>
      </c>
      <c r="K21" s="183">
        <v>2019</v>
      </c>
      <c r="L21" s="225">
        <v>2</v>
      </c>
      <c r="M21" s="219" t="str">
        <f>'Detailed Budget '!A23</f>
        <v>(i) Implementation of a commercial, off-the-shelf (COTS) IFMIS solution, including customization, data migration, and integration services</v>
      </c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</row>
    <row r="22" spans="1:56" s="220" customFormat="1" x14ac:dyDescent="0.25">
      <c r="A22" s="206">
        <v>15</v>
      </c>
      <c r="B22" s="215" t="str">
        <f>'Detailed Budget '!C28</f>
        <v>Administrative support Office</v>
      </c>
      <c r="C22" s="216" t="s">
        <v>4</v>
      </c>
      <c r="D22" s="217" t="s">
        <v>1</v>
      </c>
      <c r="E22" s="221">
        <f>'Detailed Budget '!G28</f>
        <v>120000</v>
      </c>
      <c r="F22" s="37">
        <f t="shared" si="5"/>
        <v>120000</v>
      </c>
      <c r="G22" s="217"/>
      <c r="H22" s="216" t="s">
        <v>31</v>
      </c>
      <c r="I22" s="202" t="s">
        <v>34</v>
      </c>
      <c r="J22" s="218">
        <v>2015</v>
      </c>
      <c r="K22" s="218">
        <v>2019</v>
      </c>
      <c r="L22" s="226">
        <v>3</v>
      </c>
      <c r="M22" s="219" t="str">
        <f>'Detailed Budget '!A28</f>
        <v>Monitoring</v>
      </c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</row>
    <row r="23" spans="1:56" s="213" customFormat="1" x14ac:dyDescent="0.25">
      <c r="A23" s="222">
        <v>16</v>
      </c>
      <c r="B23" s="215" t="str">
        <f>'Detailed Budget '!C29</f>
        <v>Procurement Specialist</v>
      </c>
      <c r="C23" s="216" t="s">
        <v>4</v>
      </c>
      <c r="D23" s="217" t="s">
        <v>1</v>
      </c>
      <c r="E23" s="221">
        <f>'Detailed Budget '!G29</f>
        <v>270000</v>
      </c>
      <c r="F23" s="37">
        <f t="shared" ref="F23:F24" si="6">+E23</f>
        <v>270000</v>
      </c>
      <c r="G23" s="217"/>
      <c r="H23" s="216" t="s">
        <v>31</v>
      </c>
      <c r="I23" s="202" t="s">
        <v>34</v>
      </c>
      <c r="J23" s="218">
        <v>2015</v>
      </c>
      <c r="K23" s="218">
        <v>2019</v>
      </c>
      <c r="L23" s="226">
        <v>3</v>
      </c>
      <c r="M23" s="219" t="s">
        <v>26</v>
      </c>
    </row>
    <row r="24" spans="1:56" s="213" customFormat="1" x14ac:dyDescent="0.25">
      <c r="A24" s="222">
        <v>17</v>
      </c>
      <c r="B24" s="215" t="str">
        <f>'Detailed Budget '!C30</f>
        <v>Financial Specialist</v>
      </c>
      <c r="C24" s="216" t="s">
        <v>4</v>
      </c>
      <c r="D24" s="217" t="s">
        <v>1</v>
      </c>
      <c r="E24" s="221">
        <f>'Detailed Budget '!G30</f>
        <v>270000</v>
      </c>
      <c r="F24" s="37">
        <f t="shared" si="6"/>
        <v>270000</v>
      </c>
      <c r="G24" s="217"/>
      <c r="H24" s="216" t="s">
        <v>31</v>
      </c>
      <c r="I24" s="202" t="s">
        <v>34</v>
      </c>
      <c r="J24" s="218">
        <v>2015</v>
      </c>
      <c r="K24" s="218">
        <v>2019</v>
      </c>
      <c r="L24" s="226">
        <v>3</v>
      </c>
      <c r="M24" s="219" t="str">
        <f>'Detailed Budget '!A28</f>
        <v>Monitoring</v>
      </c>
    </row>
    <row r="25" spans="1:56" s="213" customFormat="1" x14ac:dyDescent="0.25">
      <c r="A25" s="222">
        <v>18</v>
      </c>
      <c r="B25" s="215" t="str">
        <f>'Detailed Budget '!C31</f>
        <v>Financial Assistant</v>
      </c>
      <c r="C25" s="216" t="s">
        <v>4</v>
      </c>
      <c r="D25" s="217" t="s">
        <v>1</v>
      </c>
      <c r="E25" s="221">
        <f>'Detailed Budget '!G31</f>
        <v>150000</v>
      </c>
      <c r="F25" s="37">
        <f t="shared" ref="F25" si="7">+E25</f>
        <v>150000</v>
      </c>
      <c r="G25" s="217"/>
      <c r="H25" s="216" t="s">
        <v>31</v>
      </c>
      <c r="I25" s="202" t="s">
        <v>34</v>
      </c>
      <c r="J25" s="218">
        <v>2015</v>
      </c>
      <c r="K25" s="218">
        <v>2019</v>
      </c>
      <c r="L25" s="226">
        <v>3</v>
      </c>
      <c r="M25" s="219" t="str">
        <f>'Detailed Budget '!A28</f>
        <v>Monitoring</v>
      </c>
    </row>
    <row r="26" spans="1:56" s="213" customFormat="1" x14ac:dyDescent="0.25">
      <c r="A26" s="222">
        <v>19</v>
      </c>
      <c r="B26" s="223" t="str">
        <f>'Detailed Budget '!C32</f>
        <v>Semi-Annual Progress report</v>
      </c>
      <c r="C26" s="216" t="s">
        <v>4</v>
      </c>
      <c r="D26" s="217" t="s">
        <v>1</v>
      </c>
      <c r="E26" s="221">
        <f>'Detailed Budget '!G32</f>
        <v>50000</v>
      </c>
      <c r="F26" s="37">
        <f t="shared" ref="F26:F28" si="8">+E26</f>
        <v>50000</v>
      </c>
      <c r="G26" s="217"/>
      <c r="H26" s="216" t="s">
        <v>31</v>
      </c>
      <c r="I26" s="202" t="s">
        <v>34</v>
      </c>
      <c r="J26" s="218">
        <v>2015</v>
      </c>
      <c r="K26" s="218">
        <v>2019</v>
      </c>
      <c r="L26" s="226">
        <v>3</v>
      </c>
      <c r="M26" s="219" t="str">
        <f>'Detailed Budget '!A28</f>
        <v>Monitoring</v>
      </c>
    </row>
    <row r="27" spans="1:56" s="213" customFormat="1" x14ac:dyDescent="0.25">
      <c r="A27" s="222">
        <v>20</v>
      </c>
      <c r="B27" s="223" t="str">
        <f>'Detailed Budget '!C33</f>
        <v>Financial Analysis</v>
      </c>
      <c r="C27" s="216" t="s">
        <v>4</v>
      </c>
      <c r="D27" s="217" t="s">
        <v>1</v>
      </c>
      <c r="E27" s="221">
        <f>'Detailed Budget '!G33</f>
        <v>60000</v>
      </c>
      <c r="F27" s="37">
        <f t="shared" si="8"/>
        <v>60000</v>
      </c>
      <c r="G27" s="217"/>
      <c r="H27" s="216" t="s">
        <v>31</v>
      </c>
      <c r="I27" s="202" t="s">
        <v>34</v>
      </c>
      <c r="J27" s="218">
        <v>2015</v>
      </c>
      <c r="K27" s="218">
        <v>2019</v>
      </c>
      <c r="L27" s="226">
        <v>3</v>
      </c>
      <c r="M27" s="219" t="str">
        <f>'Detailed Budget '!A33</f>
        <v>Evaluation</v>
      </c>
    </row>
    <row r="28" spans="1:56" s="213" customFormat="1" x14ac:dyDescent="0.25">
      <c r="A28" s="222">
        <v>21</v>
      </c>
      <c r="B28" s="223" t="str">
        <f>'Detailed Budget '!C34</f>
        <v>Reflective</v>
      </c>
      <c r="C28" s="216" t="s">
        <v>4</v>
      </c>
      <c r="D28" s="217" t="s">
        <v>1</v>
      </c>
      <c r="E28" s="221">
        <f>'Detailed Budget '!G34</f>
        <v>60000</v>
      </c>
      <c r="F28" s="37">
        <f t="shared" si="8"/>
        <v>60000</v>
      </c>
      <c r="G28" s="217"/>
      <c r="H28" s="216" t="s">
        <v>31</v>
      </c>
      <c r="I28" s="202" t="s">
        <v>34</v>
      </c>
      <c r="J28" s="218">
        <v>2015</v>
      </c>
      <c r="K28" s="218">
        <v>2019</v>
      </c>
      <c r="L28" s="226">
        <v>3</v>
      </c>
      <c r="M28" s="219" t="str">
        <f>'Detailed Budget '!A33</f>
        <v>Evaluation</v>
      </c>
    </row>
    <row r="29" spans="1:56" s="5" customFormat="1" x14ac:dyDescent="0.25">
      <c r="A29" s="34"/>
      <c r="B29" s="9"/>
      <c r="C29" s="58"/>
      <c r="D29" s="58"/>
      <c r="E29" s="20">
        <f>SUM(E6:E28)</f>
        <v>7490500</v>
      </c>
      <c r="F29" s="20">
        <f>SUM(F6:F28)</f>
        <v>7490500</v>
      </c>
      <c r="G29" s="58"/>
      <c r="H29" s="11"/>
      <c r="I29" s="11"/>
      <c r="J29" s="58"/>
      <c r="K29" s="58"/>
      <c r="L29" s="227"/>
      <c r="M29" s="228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17"/>
      <c r="BB29" s="117"/>
      <c r="BC29" s="117"/>
      <c r="BD29" s="117"/>
    </row>
    <row r="30" spans="1:56" s="7" customFormat="1" ht="18.75" x14ac:dyDescent="0.25">
      <c r="A30" s="334" t="s">
        <v>35</v>
      </c>
      <c r="B30" s="335"/>
      <c r="C30" s="335"/>
      <c r="D30" s="335"/>
      <c r="E30" s="335"/>
      <c r="F30" s="335"/>
      <c r="G30" s="335"/>
      <c r="H30" s="335"/>
      <c r="I30" s="335"/>
      <c r="J30" s="335"/>
      <c r="K30" s="335"/>
      <c r="L30" s="335"/>
      <c r="M30" s="336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</row>
    <row r="31" spans="1:56" s="214" customFormat="1" ht="39.75" customHeight="1" x14ac:dyDescent="0.25">
      <c r="A31" s="199">
        <v>11</v>
      </c>
      <c r="B31" s="327" t="str">
        <f>'Detailed Budget '!J25</f>
        <v>Line Ministries Desktops and Laptops</v>
      </c>
      <c r="C31" s="210" t="s">
        <v>4</v>
      </c>
      <c r="D31" s="212" t="s">
        <v>1</v>
      </c>
      <c r="E31" s="37">
        <f>'Detailed Budget '!M25</f>
        <v>200000</v>
      </c>
      <c r="F31" s="37">
        <f>+E31</f>
        <v>200000</v>
      </c>
      <c r="G31" s="212"/>
      <c r="H31" s="210" t="s">
        <v>31</v>
      </c>
      <c r="I31" s="202" t="s">
        <v>234</v>
      </c>
      <c r="J31" s="201">
        <v>2015</v>
      </c>
      <c r="K31" s="201">
        <v>2019</v>
      </c>
      <c r="L31" s="201">
        <v>1</v>
      </c>
      <c r="M31" s="219" t="str">
        <f>'Detailed Budget '!A23</f>
        <v>(i) Implementation of a commercial, off-the-shelf (COTS) IFMIS solution, including customization, data migration, and integration services</v>
      </c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</row>
    <row r="32" spans="1:56" s="7" customFormat="1" ht="46.5" customHeight="1" x14ac:dyDescent="0.25">
      <c r="A32" s="54">
        <v>5</v>
      </c>
      <c r="B32" s="327" t="str">
        <f>'Detailed Budget '!J9</f>
        <v>e-Learning platform (with user incentives)</v>
      </c>
      <c r="C32" s="210" t="s">
        <v>4</v>
      </c>
      <c r="D32" s="201" t="s">
        <v>1</v>
      </c>
      <c r="E32" s="38">
        <f>'Detailed Budget '!M9</f>
        <v>1290000</v>
      </c>
      <c r="F32" s="38">
        <f>+E32</f>
        <v>1290000</v>
      </c>
      <c r="G32" s="201"/>
      <c r="H32" s="202" t="s">
        <v>31</v>
      </c>
      <c r="I32" s="202" t="s">
        <v>235</v>
      </c>
      <c r="J32" s="201">
        <v>2016</v>
      </c>
      <c r="K32" s="201">
        <v>2016</v>
      </c>
      <c r="L32" s="201">
        <v>1</v>
      </c>
      <c r="M32" s="224" t="str">
        <f>'Detailed Budget '!A23</f>
        <v>(i) Implementation of a commercial, off-the-shelf (COTS) IFMIS solution, including customization, data migration, and integration services</v>
      </c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</row>
    <row r="33" spans="1:56" s="7" customFormat="1" ht="46.5" customHeight="1" x14ac:dyDescent="0.25">
      <c r="A33" s="54">
        <v>6</v>
      </c>
      <c r="B33" s="200" t="str">
        <f>'Detailed Budget '!R23</f>
        <v>Rental space and logistical support for project  operation of the vendor in the IFMIS implementation</v>
      </c>
      <c r="C33" s="210" t="s">
        <v>4</v>
      </c>
      <c r="D33" s="201" t="s">
        <v>1</v>
      </c>
      <c r="E33" s="38">
        <f>'Detailed Budget '!U23</f>
        <v>3057977</v>
      </c>
      <c r="F33" s="38">
        <f>+E33</f>
        <v>3057977</v>
      </c>
      <c r="G33" s="201"/>
      <c r="H33" s="202" t="s">
        <v>31</v>
      </c>
      <c r="I33" s="202" t="s">
        <v>34</v>
      </c>
      <c r="J33" s="201">
        <v>2016</v>
      </c>
      <c r="K33" s="201">
        <v>2016</v>
      </c>
      <c r="L33" s="201">
        <v>2</v>
      </c>
      <c r="M33" s="224" t="str">
        <f>'Detailed Budget '!A23</f>
        <v>(i) Implementation of a commercial, off-the-shelf (COTS) IFMIS solution, including customization, data migration, and integration services</v>
      </c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</row>
    <row r="34" spans="1:56" s="1" customFormat="1" x14ac:dyDescent="0.25">
      <c r="A34" s="34"/>
      <c r="B34" s="9"/>
      <c r="C34" s="10"/>
      <c r="D34" s="10"/>
      <c r="E34" s="20">
        <f>SUM(E31:E33)</f>
        <v>4547977</v>
      </c>
      <c r="F34" s="20">
        <f>SUM(F31:F33)</f>
        <v>4547977</v>
      </c>
      <c r="G34" s="10"/>
      <c r="H34" s="13"/>
      <c r="I34" s="10"/>
      <c r="J34" s="10"/>
      <c r="K34" s="10"/>
      <c r="L34" s="10"/>
      <c r="M34" s="14"/>
    </row>
    <row r="35" spans="1:56" s="7" customFormat="1" ht="15.75" customHeight="1" x14ac:dyDescent="0.25">
      <c r="A35" s="334" t="s">
        <v>75</v>
      </c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336"/>
    </row>
    <row r="36" spans="1:56" s="220" customFormat="1" ht="78.75" x14ac:dyDescent="0.25">
      <c r="A36" s="206">
        <v>1</v>
      </c>
      <c r="B36" s="215" t="str">
        <f>'Detailed Budget '!A23</f>
        <v>(i) Implementation of a commercial, off-the-shelf (COTS) IFMIS solution, including customization, data migration, and integration services</v>
      </c>
      <c r="C36" s="216" t="s">
        <v>4</v>
      </c>
      <c r="D36" s="217" t="s">
        <v>1</v>
      </c>
      <c r="E36" s="229">
        <f>'Detailed Budget '!G23+'Detailed Budget '!I23+'Detailed Budget '!M23+'Detailed Budget '!Q23+'Detailed Budget '!I26</f>
        <v>24633826</v>
      </c>
      <c r="F36" s="37">
        <f>+E36</f>
        <v>24633826</v>
      </c>
      <c r="G36" s="217"/>
      <c r="H36" s="216" t="s">
        <v>31</v>
      </c>
      <c r="I36" s="202" t="s">
        <v>237</v>
      </c>
      <c r="J36" s="218">
        <v>2015</v>
      </c>
      <c r="K36" s="218">
        <v>2019</v>
      </c>
      <c r="L36" s="218">
        <v>2</v>
      </c>
      <c r="M36" s="219" t="s">
        <v>232</v>
      </c>
    </row>
    <row r="37" spans="1:56" s="31" customFormat="1" x14ac:dyDescent="0.25">
      <c r="A37" s="33">
        <v>20</v>
      </c>
      <c r="B37" s="3" t="str">
        <f>'Detailed Budget '!A35</f>
        <v>Auditing</v>
      </c>
      <c r="C37" s="8" t="s">
        <v>4</v>
      </c>
      <c r="D37" s="2" t="s">
        <v>1</v>
      </c>
      <c r="E37" s="37">
        <f>'Detailed Budget '!B35</f>
        <v>200000</v>
      </c>
      <c r="F37" s="21">
        <f>+E37</f>
        <v>200000</v>
      </c>
      <c r="G37" s="2"/>
      <c r="H37" s="8" t="s">
        <v>31</v>
      </c>
      <c r="I37" s="53" t="s">
        <v>115</v>
      </c>
      <c r="J37" s="57">
        <v>2015</v>
      </c>
      <c r="K37" s="57">
        <v>2019</v>
      </c>
      <c r="L37" s="57">
        <v>3</v>
      </c>
      <c r="M37" s="60" t="str">
        <f>B37</f>
        <v>Auditing</v>
      </c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</row>
    <row r="38" spans="1:56" x14ac:dyDescent="0.25">
      <c r="E38" s="64"/>
    </row>
    <row r="39" spans="1:56" x14ac:dyDescent="0.25">
      <c r="E39" s="20">
        <f>SUM(E36:E37)</f>
        <v>24833826</v>
      </c>
      <c r="F39" s="20">
        <f>SUM(F36:F37)</f>
        <v>24833826</v>
      </c>
    </row>
    <row r="40" spans="1:56" s="7" customFormat="1" ht="18.75" x14ac:dyDescent="0.25">
      <c r="A40" s="334" t="s">
        <v>38</v>
      </c>
      <c r="B40" s="335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36"/>
    </row>
    <row r="41" spans="1:56" s="5" customFormat="1" x14ac:dyDescent="0.25">
      <c r="A41" s="34"/>
      <c r="B41" s="9"/>
      <c r="C41" s="58"/>
      <c r="D41" s="58"/>
      <c r="E41" s="20">
        <v>0</v>
      </c>
      <c r="F41" s="20">
        <v>0</v>
      </c>
      <c r="G41" s="58"/>
      <c r="H41" s="11"/>
      <c r="I41" s="11"/>
      <c r="J41" s="58"/>
      <c r="K41" s="58"/>
      <c r="L41" s="58"/>
      <c r="M41" s="12"/>
    </row>
    <row r="43" spans="1:56" s="5" customFormat="1" x14ac:dyDescent="0.25">
      <c r="A43" s="34"/>
      <c r="B43" s="9"/>
      <c r="C43" s="58"/>
      <c r="D43" s="58"/>
      <c r="E43" s="20">
        <f>E29+E34+E39</f>
        <v>36872303</v>
      </c>
      <c r="F43" s="20">
        <f>F39+F34+F29</f>
        <v>36872303</v>
      </c>
      <c r="G43" s="58"/>
      <c r="H43" s="11"/>
      <c r="I43" s="11"/>
      <c r="J43" s="58"/>
      <c r="K43" s="58"/>
      <c r="L43" s="58"/>
      <c r="M43" s="12"/>
    </row>
    <row r="44" spans="1:56" x14ac:dyDescent="0.25">
      <c r="B44" s="39" t="s">
        <v>39</v>
      </c>
      <c r="E44" s="61">
        <f>+'Detailed Budget '!G36</f>
        <v>2062197</v>
      </c>
      <c r="H44" s="6"/>
      <c r="I44" s="6"/>
    </row>
    <row r="45" spans="1:56" x14ac:dyDescent="0.25">
      <c r="E45" s="40"/>
      <c r="H45" s="6"/>
      <c r="I45" s="6"/>
    </row>
    <row r="46" spans="1:56" x14ac:dyDescent="0.25">
      <c r="H46" s="6"/>
      <c r="I46" s="6"/>
    </row>
    <row r="47" spans="1:56" x14ac:dyDescent="0.25">
      <c r="E47" s="36"/>
      <c r="F47" s="36"/>
      <c r="H47" s="6"/>
      <c r="I47" s="6"/>
    </row>
    <row r="49" spans="5:8" x14ac:dyDescent="0.25">
      <c r="E49" s="36">
        <f>40000000-E43-E44</f>
        <v>1065500</v>
      </c>
    </row>
    <row r="63" spans="5:8" x14ac:dyDescent="0.25">
      <c r="H63" s="19">
        <v>33</v>
      </c>
    </row>
  </sheetData>
  <sortState ref="A5:O35">
    <sortCondition ref="I5:I35"/>
  </sortState>
  <mergeCells count="7">
    <mergeCell ref="A1:T1"/>
    <mergeCell ref="A40:M40"/>
    <mergeCell ref="A2:N2"/>
    <mergeCell ref="A5:M5"/>
    <mergeCell ref="A30:M30"/>
    <mergeCell ref="A35:M35"/>
    <mergeCell ref="J3:K3"/>
  </mergeCells>
  <pageMargins left="0.25" right="0.25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8" workbookViewId="0">
      <selection activeCell="A23" sqref="A23"/>
    </sheetView>
  </sheetViews>
  <sheetFormatPr defaultColWidth="9" defaultRowHeight="15.75" x14ac:dyDescent="0.25"/>
  <cols>
    <col min="1" max="1" width="37" customWidth="1"/>
    <col min="2" max="2" width="28.25" bestFit="1" customWidth="1"/>
    <col min="3" max="3" width="22.875" bestFit="1" customWidth="1"/>
    <col min="5" max="5" width="14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5" ht="28.5" customHeight="1" thickBot="1" x14ac:dyDescent="0.3">
      <c r="A1" s="343" t="str">
        <f>'Detailed Budget '!A1:V1</f>
        <v>Project Total</v>
      </c>
      <c r="B1" s="343"/>
      <c r="C1" s="343"/>
    </row>
    <row r="2" spans="1:5" x14ac:dyDescent="0.25">
      <c r="A2" s="340" t="s">
        <v>40</v>
      </c>
      <c r="B2" s="341"/>
      <c r="C2" s="342"/>
    </row>
    <row r="3" spans="1:5" x14ac:dyDescent="0.25">
      <c r="A3" s="22" t="s">
        <v>41</v>
      </c>
      <c r="B3" s="23" t="s">
        <v>42</v>
      </c>
      <c r="C3" s="24" t="s">
        <v>43</v>
      </c>
    </row>
    <row r="4" spans="1:5" ht="16.5" thickBot="1" x14ac:dyDescent="0.3">
      <c r="A4" s="15" t="s">
        <v>44</v>
      </c>
      <c r="B4" s="16">
        <v>42085</v>
      </c>
      <c r="C4" s="16">
        <v>43830</v>
      </c>
    </row>
    <row r="5" spans="1:5" x14ac:dyDescent="0.25">
      <c r="A5" s="344"/>
      <c r="B5" s="344"/>
      <c r="C5" s="344"/>
    </row>
    <row r="6" spans="1:5" x14ac:dyDescent="0.25">
      <c r="A6" s="345" t="s">
        <v>45</v>
      </c>
      <c r="B6" s="346"/>
      <c r="C6" s="347"/>
    </row>
    <row r="7" spans="1:5" ht="16.5" thickBot="1" x14ac:dyDescent="0.3">
      <c r="A7" s="15"/>
      <c r="B7" s="348"/>
      <c r="C7" s="349"/>
    </row>
    <row r="8" spans="1:5" ht="16.5" thickBot="1" x14ac:dyDescent="0.3">
      <c r="A8" s="344"/>
      <c r="B8" s="344"/>
      <c r="C8" s="344"/>
    </row>
    <row r="9" spans="1:5" x14ac:dyDescent="0.25">
      <c r="A9" s="340" t="s">
        <v>46</v>
      </c>
      <c r="B9" s="341"/>
      <c r="C9" s="342"/>
    </row>
    <row r="10" spans="1:5" ht="15.75" customHeight="1" x14ac:dyDescent="0.25">
      <c r="A10" s="22" t="s">
        <v>47</v>
      </c>
      <c r="B10" s="22" t="s">
        <v>48</v>
      </c>
      <c r="C10" s="22" t="s">
        <v>49</v>
      </c>
    </row>
    <row r="11" spans="1:5" x14ac:dyDescent="0.25">
      <c r="A11" s="17" t="s">
        <v>53</v>
      </c>
      <c r="B11" s="28">
        <f>'Detailed PP'!E29</f>
        <v>7490500</v>
      </c>
      <c r="C11" s="29"/>
    </row>
    <row r="12" spans="1:5" x14ac:dyDescent="0.25">
      <c r="A12" s="17" t="s">
        <v>50</v>
      </c>
      <c r="B12" s="28">
        <f>'Detailed PP'!E34</f>
        <v>4547977</v>
      </c>
      <c r="C12" s="29"/>
    </row>
    <row r="13" spans="1:5" x14ac:dyDescent="0.25">
      <c r="A13" s="17" t="s">
        <v>54</v>
      </c>
      <c r="B13" s="28">
        <f>'Detailed PP'!E39</f>
        <v>24833826</v>
      </c>
      <c r="C13" s="29"/>
    </row>
    <row r="14" spans="1:5" x14ac:dyDescent="0.25">
      <c r="A14" s="17" t="s">
        <v>39</v>
      </c>
      <c r="B14" s="28">
        <f>'Detailed PP'!E44</f>
        <v>2062197</v>
      </c>
      <c r="C14" s="29"/>
      <c r="E14" s="18"/>
    </row>
    <row r="15" spans="1:5" ht="16.5" thickBot="1" x14ac:dyDescent="0.3">
      <c r="A15" s="25" t="s">
        <v>3</v>
      </c>
      <c r="B15" s="26">
        <f>SUM(B11:B14)</f>
        <v>38934500</v>
      </c>
      <c r="C15" s="27">
        <f>SUM(C11:C14)</f>
        <v>0</v>
      </c>
    </row>
    <row r="16" spans="1:5" ht="16.5" thickBot="1" x14ac:dyDescent="0.3"/>
    <row r="17" spans="1:3" x14ac:dyDescent="0.25">
      <c r="A17" s="340" t="s">
        <v>51</v>
      </c>
      <c r="B17" s="341"/>
      <c r="C17" s="342"/>
    </row>
    <row r="18" spans="1:3" ht="31.5" x14ac:dyDescent="0.25">
      <c r="A18" s="113" t="s">
        <v>52</v>
      </c>
      <c r="B18" s="23" t="s">
        <v>48</v>
      </c>
      <c r="C18" s="114" t="s">
        <v>49</v>
      </c>
    </row>
    <row r="19" spans="1:3" x14ac:dyDescent="0.25">
      <c r="A19" s="110" t="str">
        <f>'Budget POD'!A4</f>
        <v xml:space="preserve">1.1     Support for PFM Modernization </v>
      </c>
      <c r="B19" s="28">
        <f>'Budget POD'!D4</f>
        <v>8506000</v>
      </c>
      <c r="C19" s="111">
        <f>+B19</f>
        <v>8506000</v>
      </c>
    </row>
    <row r="20" spans="1:3" x14ac:dyDescent="0.25">
      <c r="A20" s="110" t="str">
        <f>'Budget POD'!A5</f>
        <v xml:space="preserve">1.2    Support for IFMIS implementation </v>
      </c>
      <c r="B20" s="112">
        <f>'Budget POD'!D5</f>
        <v>28251803</v>
      </c>
      <c r="C20" s="111">
        <f t="shared" ref="C20:C24" si="0">+B20</f>
        <v>28251803</v>
      </c>
    </row>
    <row r="21" spans="1:3" x14ac:dyDescent="0.25">
      <c r="A21" s="110" t="str">
        <f>'Budget POD'!A6</f>
        <v>2.    Project Administration</v>
      </c>
      <c r="B21" s="28">
        <f>'Budget POD'!D6</f>
        <v>1180000</v>
      </c>
      <c r="C21" s="111">
        <f t="shared" si="0"/>
        <v>1180000</v>
      </c>
    </row>
    <row r="22" spans="1:3" x14ac:dyDescent="0.25">
      <c r="A22" s="110" t="str">
        <f>'Budget POD'!A7</f>
        <v>2.1      Monitoring</v>
      </c>
      <c r="B22" s="30">
        <f>'Budget POD'!D7</f>
        <v>860000</v>
      </c>
      <c r="C22" s="111">
        <f t="shared" si="0"/>
        <v>860000</v>
      </c>
    </row>
    <row r="23" spans="1:3" x14ac:dyDescent="0.25">
      <c r="A23" s="110" t="str">
        <f>'Budget POD'!A8</f>
        <v>2.2      Evaluation</v>
      </c>
      <c r="B23" s="30">
        <f>'Budget POD'!D8</f>
        <v>120000</v>
      </c>
      <c r="C23" s="111">
        <f t="shared" si="0"/>
        <v>120000</v>
      </c>
    </row>
    <row r="24" spans="1:3" x14ac:dyDescent="0.25">
      <c r="A24" s="110" t="str">
        <f>'Budget POD'!A9</f>
        <v>2.3      Audit</v>
      </c>
      <c r="B24" s="28">
        <f>'Budget POD'!D9</f>
        <v>200000</v>
      </c>
      <c r="C24" s="111">
        <f t="shared" si="0"/>
        <v>200000</v>
      </c>
    </row>
    <row r="25" spans="1:3" x14ac:dyDescent="0.25">
      <c r="A25" s="110" t="str">
        <f>'Budget POD'!A10</f>
        <v>3.    Contingency</v>
      </c>
      <c r="B25" s="158">
        <f>'Budget POD'!D10</f>
        <v>2062197</v>
      </c>
      <c r="C25" s="159"/>
    </row>
    <row r="26" spans="1:3" ht="16.5" thickBot="1" x14ac:dyDescent="0.3">
      <c r="A26" s="25" t="s">
        <v>3</v>
      </c>
      <c r="B26" s="26">
        <f>'Budget POD'!B11</f>
        <v>40000000</v>
      </c>
      <c r="C26" s="26">
        <f>'Budget POD'!D11</f>
        <v>40000000</v>
      </c>
    </row>
    <row r="29" spans="1:3" x14ac:dyDescent="0.25">
      <c r="B29" s="18"/>
    </row>
  </sheetData>
  <mergeCells count="8">
    <mergeCell ref="A9:C9"/>
    <mergeCell ref="A17:C17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I57"/>
  <sheetViews>
    <sheetView zoomScale="55" zoomScaleNormal="55" workbookViewId="0">
      <pane xSplit="1" ySplit="4" topLeftCell="B7" activePane="bottomRight" state="frozen"/>
      <selection pane="topRight" activeCell="B1" sqref="B1"/>
      <selection pane="bottomLeft" activeCell="A5" sqref="A5"/>
      <selection pane="bottomRight" activeCell="A8" sqref="A8:A15"/>
    </sheetView>
  </sheetViews>
  <sheetFormatPr defaultColWidth="9" defaultRowHeight="15" x14ac:dyDescent="0.25"/>
  <cols>
    <col min="1" max="1" width="35.375" style="52" customWidth="1"/>
    <col min="2" max="2" width="14.375" style="52" customWidth="1"/>
    <col min="3" max="3" width="31.625" style="52" customWidth="1"/>
    <col min="4" max="4" width="10.375" style="52" bestFit="1" customWidth="1"/>
    <col min="5" max="5" width="9.875" style="52" customWidth="1"/>
    <col min="6" max="6" width="8.875" style="52" customWidth="1"/>
    <col min="7" max="7" width="11.125" style="52" bestFit="1" customWidth="1"/>
    <col min="8" max="8" width="15.625" style="52" customWidth="1"/>
    <col min="9" max="9" width="10.125" style="52" customWidth="1"/>
    <col min="10" max="10" width="11.625" style="52" customWidth="1"/>
    <col min="11" max="11" width="5.875" style="52" customWidth="1"/>
    <col min="12" max="13" width="8.75" style="52" customWidth="1"/>
    <col min="14" max="14" width="18.25" style="52" customWidth="1"/>
    <col min="15" max="15" width="10.375" style="52" bestFit="1" customWidth="1"/>
    <col min="16" max="17" width="8.625" style="52" bestFit="1" customWidth="1"/>
    <col min="18" max="18" width="12.375" style="52" customWidth="1"/>
    <col min="19" max="19" width="8.125" style="52" customWidth="1"/>
    <col min="20" max="21" width="8.625" style="52" bestFit="1" customWidth="1"/>
    <col min="22" max="22" width="9.5" style="52" bestFit="1" customWidth="1"/>
    <col min="23" max="23" width="9.625" style="41" bestFit="1" customWidth="1"/>
    <col min="24" max="16384" width="9" style="41"/>
  </cols>
  <sheetData>
    <row r="1" spans="1:382" ht="33.75" customHeight="1" x14ac:dyDescent="0.25">
      <c r="A1" s="172" t="s">
        <v>69</v>
      </c>
      <c r="B1" s="177">
        <f>B2+B22+B27+B36</f>
        <v>40000000</v>
      </c>
      <c r="C1" s="382" t="s">
        <v>79</v>
      </c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3"/>
      <c r="U1" s="383"/>
      <c r="V1" s="384"/>
    </row>
    <row r="2" spans="1:382" x14ac:dyDescent="0.25">
      <c r="A2" s="165" t="s">
        <v>99</v>
      </c>
      <c r="B2" s="173">
        <f>SUM(B5:B21)</f>
        <v>8506000</v>
      </c>
      <c r="C2" s="368" t="s">
        <v>80</v>
      </c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70"/>
    </row>
    <row r="3" spans="1:382" ht="14.45" customHeight="1" x14ac:dyDescent="0.25">
      <c r="A3" s="364" t="s">
        <v>13</v>
      </c>
      <c r="B3" s="365"/>
      <c r="C3" s="361" t="s">
        <v>14</v>
      </c>
      <c r="D3" s="362"/>
      <c r="E3" s="362"/>
      <c r="F3" s="362"/>
      <c r="G3" s="363"/>
      <c r="H3" s="361" t="s">
        <v>15</v>
      </c>
      <c r="I3" s="363"/>
      <c r="J3" s="361" t="s">
        <v>16</v>
      </c>
      <c r="K3" s="362"/>
      <c r="L3" s="362"/>
      <c r="M3" s="363"/>
      <c r="N3" s="361" t="s">
        <v>17</v>
      </c>
      <c r="O3" s="362"/>
      <c r="P3" s="362"/>
      <c r="Q3" s="363"/>
      <c r="R3" s="163" t="s">
        <v>18</v>
      </c>
      <c r="S3" s="163"/>
      <c r="T3" s="163"/>
      <c r="U3" s="164"/>
      <c r="V3" s="163" t="s">
        <v>112</v>
      </c>
    </row>
    <row r="4" spans="1:382" ht="42.75" x14ac:dyDescent="0.25">
      <c r="A4" s="366"/>
      <c r="B4" s="367"/>
      <c r="C4" s="121" t="s">
        <v>7</v>
      </c>
      <c r="D4" s="42" t="s">
        <v>83</v>
      </c>
      <c r="E4" s="121" t="s">
        <v>92</v>
      </c>
      <c r="F4" s="166" t="s">
        <v>91</v>
      </c>
      <c r="G4" s="121" t="s">
        <v>20</v>
      </c>
      <c r="H4" s="121" t="s">
        <v>7</v>
      </c>
      <c r="I4" s="121" t="s">
        <v>3</v>
      </c>
      <c r="J4" s="121" t="s">
        <v>7</v>
      </c>
      <c r="K4" s="42" t="s">
        <v>21</v>
      </c>
      <c r="L4" s="42" t="s">
        <v>22</v>
      </c>
      <c r="M4" s="121" t="s">
        <v>3</v>
      </c>
      <c r="N4" s="121" t="s">
        <v>7</v>
      </c>
      <c r="O4" s="121" t="s">
        <v>23</v>
      </c>
      <c r="P4" s="42" t="s">
        <v>22</v>
      </c>
      <c r="Q4" s="121" t="s">
        <v>3</v>
      </c>
      <c r="R4" s="121" t="s">
        <v>7</v>
      </c>
      <c r="S4" s="121" t="s">
        <v>24</v>
      </c>
      <c r="T4" s="42" t="s">
        <v>22</v>
      </c>
      <c r="U4" s="121" t="s">
        <v>20</v>
      </c>
      <c r="V4" s="163"/>
    </row>
    <row r="5" spans="1:382" ht="60" x14ac:dyDescent="0.25">
      <c r="A5" s="376" t="s">
        <v>107</v>
      </c>
      <c r="B5" s="378">
        <f>V5+V6</f>
        <v>875000</v>
      </c>
      <c r="C5" s="134" t="s">
        <v>84</v>
      </c>
      <c r="D5" s="135">
        <v>30</v>
      </c>
      <c r="E5" s="135">
        <v>14000</v>
      </c>
      <c r="F5" s="135">
        <f>8000+49500</f>
        <v>57500</v>
      </c>
      <c r="G5" s="191">
        <f>D5*E5+F5</f>
        <v>477500</v>
      </c>
      <c r="H5" s="162"/>
      <c r="I5" s="160"/>
      <c r="J5" s="125"/>
      <c r="K5" s="131"/>
      <c r="L5" s="131"/>
      <c r="M5" s="126">
        <f>K5*L5</f>
        <v>0</v>
      </c>
      <c r="N5" s="160"/>
      <c r="O5" s="160"/>
      <c r="P5" s="161"/>
      <c r="Q5" s="160"/>
      <c r="R5" s="125"/>
      <c r="S5" s="131"/>
      <c r="T5" s="131"/>
      <c r="U5" s="131">
        <f t="shared" ref="U5:U17" si="0">S5*T5</f>
        <v>0</v>
      </c>
      <c r="V5" s="48">
        <f t="shared" ref="V5:V15" si="1">G5+I5+M5+Q5+U5</f>
        <v>477500</v>
      </c>
    </row>
    <row r="6" spans="1:382" ht="120" x14ac:dyDescent="0.25">
      <c r="A6" s="377"/>
      <c r="B6" s="379"/>
      <c r="C6" s="134" t="s">
        <v>108</v>
      </c>
      <c r="D6" s="135">
        <v>24</v>
      </c>
      <c r="E6" s="135">
        <v>14000</v>
      </c>
      <c r="F6" s="135">
        <f>12000+49500</f>
        <v>61500</v>
      </c>
      <c r="G6" s="191">
        <f>D6*E6+F6</f>
        <v>397500</v>
      </c>
      <c r="H6" s="140"/>
      <c r="I6" s="46"/>
      <c r="J6" s="125"/>
      <c r="K6" s="131"/>
      <c r="L6" s="131"/>
      <c r="M6" s="126">
        <f>K6*L6</f>
        <v>0</v>
      </c>
      <c r="N6" s="119"/>
      <c r="O6" s="120"/>
      <c r="P6" s="120"/>
      <c r="Q6" s="47">
        <f>O6*P6</f>
        <v>0</v>
      </c>
      <c r="R6" s="43"/>
      <c r="S6" s="44"/>
      <c r="T6" s="44"/>
      <c r="U6" s="44">
        <f t="shared" si="0"/>
        <v>0</v>
      </c>
      <c r="V6" s="48">
        <f t="shared" si="1"/>
        <v>397500</v>
      </c>
      <c r="W6" s="63"/>
    </row>
    <row r="7" spans="1:382" s="153" customFormat="1" ht="89.25" customHeight="1" x14ac:dyDescent="0.25">
      <c r="A7" s="179" t="s">
        <v>241</v>
      </c>
      <c r="B7" s="171">
        <f>V7</f>
        <v>588000</v>
      </c>
      <c r="C7" s="134" t="s">
        <v>240</v>
      </c>
      <c r="D7" s="135">
        <v>42</v>
      </c>
      <c r="E7" s="135">
        <v>14000</v>
      </c>
      <c r="F7" s="135">
        <v>0</v>
      </c>
      <c r="G7" s="191">
        <f>D7*E7+F7</f>
        <v>588000</v>
      </c>
      <c r="H7" s="45"/>
      <c r="I7" s="47"/>
      <c r="J7" s="125"/>
      <c r="K7" s="126"/>
      <c r="L7" s="126"/>
      <c r="M7" s="126">
        <f>K7*L7</f>
        <v>0</v>
      </c>
      <c r="N7" s="45"/>
      <c r="O7" s="47"/>
      <c r="P7" s="47"/>
      <c r="Q7" s="47">
        <f>O7*P7</f>
        <v>0</v>
      </c>
      <c r="R7" s="43"/>
      <c r="S7" s="44"/>
      <c r="T7" s="44"/>
      <c r="U7" s="44"/>
      <c r="V7" s="48">
        <f>G7+I7+M7+Q7+U7</f>
        <v>588000</v>
      </c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KU7" s="41"/>
      <c r="KV7" s="41"/>
      <c r="KW7" s="41"/>
      <c r="KX7" s="41"/>
      <c r="KY7" s="41"/>
      <c r="KZ7" s="41"/>
      <c r="LA7" s="41"/>
      <c r="LB7" s="41"/>
      <c r="LC7" s="41"/>
      <c r="LD7" s="41"/>
      <c r="LE7" s="41"/>
      <c r="LF7" s="41"/>
      <c r="LG7" s="41"/>
      <c r="LH7" s="41"/>
      <c r="LI7" s="41"/>
      <c r="LJ7" s="41"/>
      <c r="LK7" s="41"/>
      <c r="LL7" s="41"/>
      <c r="LM7" s="41"/>
      <c r="LN7" s="41"/>
      <c r="LO7" s="41"/>
      <c r="LP7" s="41"/>
      <c r="LQ7" s="41"/>
      <c r="LR7" s="41"/>
      <c r="LS7" s="41"/>
      <c r="LT7" s="41"/>
      <c r="LU7" s="41"/>
      <c r="LV7" s="41"/>
      <c r="LW7" s="41"/>
      <c r="LX7" s="41"/>
      <c r="LY7" s="41"/>
      <c r="LZ7" s="41"/>
      <c r="MA7" s="41"/>
      <c r="MB7" s="41"/>
      <c r="MC7" s="41"/>
      <c r="MD7" s="41"/>
      <c r="ME7" s="41"/>
      <c r="MF7" s="41"/>
      <c r="MG7" s="41"/>
      <c r="MH7" s="41"/>
      <c r="MI7" s="41"/>
      <c r="MJ7" s="41"/>
      <c r="MK7" s="41"/>
      <c r="ML7" s="41"/>
      <c r="MM7" s="41"/>
      <c r="MN7" s="41"/>
      <c r="MO7" s="41"/>
      <c r="MP7" s="41"/>
      <c r="MQ7" s="41"/>
      <c r="MR7" s="41"/>
      <c r="MS7" s="41"/>
      <c r="MT7" s="41"/>
      <c r="MU7" s="41"/>
      <c r="MV7" s="41"/>
      <c r="MW7" s="41"/>
      <c r="MX7" s="41"/>
      <c r="MY7" s="41"/>
      <c r="MZ7" s="41"/>
      <c r="NA7" s="41"/>
      <c r="NB7" s="41"/>
      <c r="NC7" s="41"/>
      <c r="ND7" s="41"/>
      <c r="NE7" s="41"/>
      <c r="NF7" s="41"/>
      <c r="NG7" s="41"/>
      <c r="NH7" s="41"/>
      <c r="NI7" s="41"/>
      <c r="NJ7" s="41"/>
      <c r="NK7" s="41"/>
      <c r="NL7" s="41"/>
      <c r="NM7" s="41"/>
      <c r="NN7" s="41"/>
      <c r="NO7" s="41"/>
      <c r="NP7" s="41"/>
      <c r="NQ7" s="41"/>
      <c r="NR7" s="41"/>
    </row>
    <row r="8" spans="1:382" ht="45" x14ac:dyDescent="0.25">
      <c r="A8" s="353" t="s">
        <v>122</v>
      </c>
      <c r="B8" s="358">
        <f>SUM(V8:V15)</f>
        <v>6292000</v>
      </c>
      <c r="C8" s="134" t="s">
        <v>93</v>
      </c>
      <c r="D8" s="135">
        <v>12</v>
      </c>
      <c r="E8" s="135">
        <v>14000</v>
      </c>
      <c r="F8" s="135">
        <v>53500</v>
      </c>
      <c r="G8" s="135">
        <f>D8*E8+F8</f>
        <v>221500</v>
      </c>
      <c r="H8" s="136"/>
      <c r="I8" s="137"/>
      <c r="J8" s="132"/>
      <c r="K8" s="133"/>
      <c r="L8" s="133"/>
      <c r="M8" s="126">
        <f>K8*L8</f>
        <v>0</v>
      </c>
      <c r="N8" s="136"/>
      <c r="O8" s="137"/>
      <c r="P8" s="137"/>
      <c r="Q8" s="47">
        <f>O8*P8</f>
        <v>0</v>
      </c>
      <c r="R8" s="138"/>
      <c r="S8" s="139"/>
      <c r="T8" s="139"/>
      <c r="U8" s="44">
        <f>S8*T8</f>
        <v>0</v>
      </c>
      <c r="V8" s="48">
        <f t="shared" si="1"/>
        <v>221500</v>
      </c>
    </row>
    <row r="9" spans="1:382" ht="60" x14ac:dyDescent="0.25">
      <c r="A9" s="354"/>
      <c r="B9" s="359"/>
      <c r="C9" s="134"/>
      <c r="D9" s="135"/>
      <c r="E9" s="135"/>
      <c r="F9" s="135"/>
      <c r="G9" s="133">
        <f t="shared" ref="G9" si="2">D9*E9</f>
        <v>0</v>
      </c>
      <c r="H9" s="136"/>
      <c r="I9" s="137"/>
      <c r="J9" s="132" t="s">
        <v>110</v>
      </c>
      <c r="K9" s="133">
        <v>1</v>
      </c>
      <c r="L9" s="133">
        <v>1290000</v>
      </c>
      <c r="M9" s="126">
        <f>K9*L9</f>
        <v>1290000</v>
      </c>
      <c r="N9" s="136" t="s">
        <v>106</v>
      </c>
      <c r="O9" s="137">
        <v>0</v>
      </c>
      <c r="P9" s="137">
        <v>0</v>
      </c>
      <c r="Q9" s="47">
        <f>O9*P9</f>
        <v>0</v>
      </c>
      <c r="R9" s="138"/>
      <c r="S9" s="139"/>
      <c r="T9" s="139"/>
      <c r="U9" s="44">
        <f t="shared" ref="U9" si="3">S9*T9</f>
        <v>0</v>
      </c>
      <c r="V9" s="48">
        <f t="shared" si="1"/>
        <v>1290000</v>
      </c>
    </row>
    <row r="10" spans="1:382" ht="75" x14ac:dyDescent="0.25">
      <c r="A10" s="355"/>
      <c r="B10" s="359"/>
      <c r="C10" s="134"/>
      <c r="D10" s="135"/>
      <c r="E10" s="135"/>
      <c r="F10" s="135"/>
      <c r="G10" s="191"/>
      <c r="H10" s="136"/>
      <c r="I10" s="137"/>
      <c r="J10" s="132"/>
      <c r="K10" s="133"/>
      <c r="L10" s="133"/>
      <c r="M10" s="133"/>
      <c r="N10" s="304" t="s">
        <v>228</v>
      </c>
      <c r="O10" s="137">
        <v>1</v>
      </c>
      <c r="P10" s="137">
        <v>1192500</v>
      </c>
      <c r="Q10" s="47">
        <f t="shared" ref="Q10" si="4">O10*P10</f>
        <v>1192500</v>
      </c>
      <c r="R10" s="138"/>
      <c r="S10" s="139"/>
      <c r="T10" s="139"/>
      <c r="U10" s="139"/>
      <c r="V10" s="48">
        <f t="shared" si="1"/>
        <v>1192500</v>
      </c>
    </row>
    <row r="11" spans="1:382" ht="45" x14ac:dyDescent="0.25">
      <c r="A11" s="355"/>
      <c r="B11" s="359"/>
      <c r="C11" s="134"/>
      <c r="D11" s="135"/>
      <c r="E11" s="135"/>
      <c r="F11" s="135"/>
      <c r="G11" s="191"/>
      <c r="H11" s="136"/>
      <c r="I11" s="137"/>
      <c r="J11" s="132"/>
      <c r="K11" s="133"/>
      <c r="L11" s="133"/>
      <c r="M11" s="133"/>
      <c r="N11" s="304" t="s">
        <v>126</v>
      </c>
      <c r="O11" s="137">
        <v>1</v>
      </c>
      <c r="P11" s="137">
        <v>854000</v>
      </c>
      <c r="Q11" s="47">
        <f t="shared" ref="Q11:Q12" si="5">O11*P11</f>
        <v>854000</v>
      </c>
      <c r="R11" s="138"/>
      <c r="S11" s="139"/>
      <c r="T11" s="139"/>
      <c r="U11" s="139"/>
      <c r="V11" s="48">
        <f t="shared" si="1"/>
        <v>854000</v>
      </c>
    </row>
    <row r="12" spans="1:382" ht="45" x14ac:dyDescent="0.25">
      <c r="A12" s="355"/>
      <c r="B12" s="359"/>
      <c r="C12" s="134"/>
      <c r="D12" s="135"/>
      <c r="E12" s="135"/>
      <c r="F12" s="135"/>
      <c r="G12" s="191"/>
      <c r="H12" s="136"/>
      <c r="I12" s="137"/>
      <c r="J12" s="132"/>
      <c r="K12" s="133"/>
      <c r="L12" s="133"/>
      <c r="M12" s="133"/>
      <c r="N12" s="304" t="s">
        <v>125</v>
      </c>
      <c r="O12" s="137">
        <v>1</v>
      </c>
      <c r="P12" s="137">
        <v>854000</v>
      </c>
      <c r="Q12" s="47">
        <f t="shared" si="5"/>
        <v>854000</v>
      </c>
      <c r="R12" s="138"/>
      <c r="S12" s="139"/>
      <c r="T12" s="139"/>
      <c r="U12" s="139"/>
      <c r="V12" s="48">
        <f t="shared" si="1"/>
        <v>854000</v>
      </c>
    </row>
    <row r="13" spans="1:382" ht="90" x14ac:dyDescent="0.25">
      <c r="A13" s="356"/>
      <c r="B13" s="359"/>
      <c r="C13" s="134" t="s">
        <v>109</v>
      </c>
      <c r="D13" s="135">
        <v>1</v>
      </c>
      <c r="E13" s="135">
        <v>1000000</v>
      </c>
      <c r="F13" s="135"/>
      <c r="G13" s="135">
        <f>D13*E13</f>
        <v>1000000</v>
      </c>
      <c r="H13" s="136"/>
      <c r="I13" s="137"/>
      <c r="J13" s="132"/>
      <c r="K13" s="133"/>
      <c r="L13" s="133"/>
      <c r="M13" s="126">
        <f>K13*L13</f>
        <v>0</v>
      </c>
      <c r="N13" s="136"/>
      <c r="O13" s="137"/>
      <c r="P13" s="137"/>
      <c r="Q13" s="47">
        <f>O13*P13</f>
        <v>0</v>
      </c>
      <c r="R13" s="138"/>
      <c r="S13" s="139"/>
      <c r="T13" s="139"/>
      <c r="U13" s="44">
        <f>S13*T13</f>
        <v>0</v>
      </c>
      <c r="V13" s="48">
        <f t="shared" si="1"/>
        <v>1000000</v>
      </c>
    </row>
    <row r="14" spans="1:382" ht="45" x14ac:dyDescent="0.25">
      <c r="A14" s="356"/>
      <c r="B14" s="359"/>
      <c r="C14" s="134" t="s">
        <v>242</v>
      </c>
      <c r="D14" s="135">
        <v>60</v>
      </c>
      <c r="E14" s="135">
        <v>14600</v>
      </c>
      <c r="F14" s="135">
        <f>4000</f>
        <v>4000</v>
      </c>
      <c r="G14" s="135">
        <f>D14*E14+F14</f>
        <v>880000</v>
      </c>
      <c r="H14" s="136"/>
      <c r="I14" s="137"/>
      <c r="J14" s="132"/>
      <c r="K14" s="133"/>
      <c r="L14" s="133"/>
      <c r="M14" s="133"/>
      <c r="N14" s="136"/>
      <c r="O14" s="137"/>
      <c r="P14" s="137"/>
      <c r="Q14" s="47">
        <f>O14*P14</f>
        <v>0</v>
      </c>
      <c r="R14" s="138"/>
      <c r="S14" s="139"/>
      <c r="T14" s="139"/>
      <c r="U14" s="139"/>
      <c r="V14" s="48">
        <f t="shared" si="1"/>
        <v>880000</v>
      </c>
    </row>
    <row r="15" spans="1:382" hidden="1" x14ac:dyDescent="0.25">
      <c r="A15" s="357"/>
      <c r="B15" s="360"/>
      <c r="C15" s="306" t="s">
        <v>117</v>
      </c>
      <c r="D15" s="307">
        <v>24</v>
      </c>
      <c r="E15" s="307">
        <v>14000</v>
      </c>
      <c r="F15" s="307">
        <f>4000</f>
        <v>4000</v>
      </c>
      <c r="G15" s="308">
        <v>0</v>
      </c>
      <c r="H15" s="140"/>
      <c r="I15" s="137"/>
      <c r="J15" s="132"/>
      <c r="K15" s="133"/>
      <c r="L15" s="133"/>
      <c r="M15" s="133"/>
      <c r="N15" s="136"/>
      <c r="O15" s="137"/>
      <c r="P15" s="137"/>
      <c r="Q15" s="137"/>
      <c r="R15" s="138"/>
      <c r="S15" s="139"/>
      <c r="T15" s="139"/>
      <c r="U15" s="139"/>
      <c r="V15" s="48">
        <f t="shared" si="1"/>
        <v>0</v>
      </c>
    </row>
    <row r="16" spans="1:382" ht="60" x14ac:dyDescent="0.25">
      <c r="A16" s="174" t="s">
        <v>123</v>
      </c>
      <c r="B16" s="171">
        <f>V16</f>
        <v>397500</v>
      </c>
      <c r="C16" s="132" t="s">
        <v>85</v>
      </c>
      <c r="D16" s="133">
        <v>24</v>
      </c>
      <c r="E16" s="133">
        <v>14000</v>
      </c>
      <c r="F16" s="133">
        <f>12000+49500</f>
        <v>61500</v>
      </c>
      <c r="G16" s="191">
        <f>D16*E16+F16</f>
        <v>397500</v>
      </c>
      <c r="H16" s="141"/>
      <c r="I16" s="120"/>
      <c r="J16" s="129"/>
      <c r="K16" s="130"/>
      <c r="L16" s="130"/>
      <c r="M16" s="126">
        <f t="shared" ref="M16:M17" si="6">K16*L16</f>
        <v>0</v>
      </c>
      <c r="N16" s="45"/>
      <c r="O16" s="49"/>
      <c r="P16" s="49"/>
      <c r="Q16" s="47">
        <f t="shared" ref="Q16:Q21" si="7">O16*P16</f>
        <v>0</v>
      </c>
      <c r="R16" s="43"/>
      <c r="S16" s="44"/>
      <c r="T16" s="44"/>
      <c r="U16" s="44">
        <f t="shared" si="0"/>
        <v>0</v>
      </c>
      <c r="V16" s="48">
        <f t="shared" ref="V16" si="8">G16+I16+M16+Q16+U16</f>
        <v>397500</v>
      </c>
    </row>
    <row r="17" spans="1:382 1795:1855" ht="30" x14ac:dyDescent="0.25">
      <c r="A17" s="353" t="s">
        <v>124</v>
      </c>
      <c r="B17" s="358">
        <f>SUM(V17:V21)</f>
        <v>353500</v>
      </c>
      <c r="C17" s="190" t="s">
        <v>86</v>
      </c>
      <c r="D17" s="143">
        <v>1</v>
      </c>
      <c r="E17" s="143">
        <v>60000</v>
      </c>
      <c r="F17" s="143"/>
      <c r="G17" s="191">
        <f t="shared" ref="G17:G21" si="9">D17*E17+F17</f>
        <v>60000</v>
      </c>
      <c r="H17" s="145"/>
      <c r="I17" s="146"/>
      <c r="J17" s="147"/>
      <c r="K17" s="144"/>
      <c r="L17" s="144"/>
      <c r="M17" s="126">
        <f t="shared" si="6"/>
        <v>0</v>
      </c>
      <c r="N17" s="148"/>
      <c r="O17" s="146"/>
      <c r="P17" s="146"/>
      <c r="Q17" s="47">
        <f t="shared" si="7"/>
        <v>0</v>
      </c>
      <c r="R17" s="149"/>
      <c r="S17" s="150"/>
      <c r="T17" s="150"/>
      <c r="U17" s="44">
        <f t="shared" si="0"/>
        <v>0</v>
      </c>
      <c r="V17" s="48">
        <f t="shared" ref="V17:V21" si="10">G17+I17+M17+Q17+U17</f>
        <v>60000</v>
      </c>
    </row>
    <row r="18" spans="1:382 1795:1855" s="151" customFormat="1" ht="30" x14ac:dyDescent="0.25">
      <c r="A18" s="380"/>
      <c r="B18" s="359"/>
      <c r="C18" s="142" t="s">
        <v>87</v>
      </c>
      <c r="D18" s="143">
        <v>1</v>
      </c>
      <c r="E18" s="143">
        <v>60000</v>
      </c>
      <c r="F18" s="143"/>
      <c r="G18" s="191">
        <f t="shared" si="9"/>
        <v>60000</v>
      </c>
      <c r="H18" s="145"/>
      <c r="I18" s="146"/>
      <c r="J18" s="147"/>
      <c r="K18" s="144"/>
      <c r="L18" s="144"/>
      <c r="M18" s="133"/>
      <c r="N18" s="148"/>
      <c r="O18" s="146"/>
      <c r="P18" s="146"/>
      <c r="Q18" s="137"/>
      <c r="R18" s="149"/>
      <c r="S18" s="150"/>
      <c r="T18" s="150"/>
      <c r="U18" s="139"/>
      <c r="V18" s="48">
        <f t="shared" si="10"/>
        <v>60000</v>
      </c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  <c r="BQ18" s="153"/>
      <c r="BR18" s="153"/>
      <c r="BS18" s="153"/>
      <c r="BT18" s="153"/>
      <c r="BU18" s="153"/>
      <c r="BV18" s="153"/>
      <c r="BW18" s="153"/>
      <c r="BX18" s="153"/>
      <c r="BY18" s="153"/>
      <c r="BZ18" s="153"/>
      <c r="CA18" s="153"/>
      <c r="CB18" s="153"/>
      <c r="CC18" s="153"/>
      <c r="CD18" s="153"/>
      <c r="CE18" s="153"/>
      <c r="CF18" s="153"/>
      <c r="CG18" s="153"/>
      <c r="CH18" s="153"/>
      <c r="CI18" s="153"/>
      <c r="CJ18" s="153"/>
      <c r="CK18" s="153"/>
      <c r="CL18" s="153"/>
      <c r="CM18" s="153"/>
      <c r="CN18" s="153"/>
      <c r="CO18" s="153"/>
      <c r="CP18" s="153"/>
      <c r="CQ18" s="153"/>
      <c r="CR18" s="153"/>
      <c r="CS18" s="153"/>
      <c r="CT18" s="153"/>
      <c r="CU18" s="153"/>
      <c r="CV18" s="153"/>
      <c r="CW18" s="153"/>
      <c r="CX18" s="153"/>
      <c r="CY18" s="153"/>
      <c r="CZ18" s="152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KU18" s="41"/>
      <c r="KV18" s="41"/>
      <c r="KW18" s="41"/>
      <c r="KX18" s="41"/>
      <c r="KY18" s="41"/>
      <c r="KZ18" s="41"/>
      <c r="LA18" s="41"/>
      <c r="LB18" s="41"/>
      <c r="LC18" s="41"/>
      <c r="LD18" s="41"/>
      <c r="LE18" s="41"/>
      <c r="LF18" s="41"/>
      <c r="LG18" s="41"/>
      <c r="LH18" s="41"/>
      <c r="LI18" s="41"/>
      <c r="LJ18" s="41"/>
      <c r="LK18" s="41"/>
      <c r="LL18" s="41"/>
      <c r="LM18" s="41"/>
      <c r="LN18" s="41"/>
      <c r="LO18" s="41"/>
      <c r="LP18" s="41"/>
      <c r="LQ18" s="41"/>
      <c r="LR18" s="41"/>
      <c r="LS18" s="41"/>
      <c r="LT18" s="41"/>
      <c r="LU18" s="41"/>
      <c r="LV18" s="41"/>
      <c r="LW18" s="41"/>
      <c r="LX18" s="41"/>
      <c r="LY18" s="41"/>
      <c r="LZ18" s="41"/>
      <c r="MA18" s="41"/>
      <c r="MB18" s="41"/>
      <c r="MC18" s="41"/>
      <c r="MD18" s="41"/>
      <c r="ME18" s="41"/>
      <c r="MF18" s="41"/>
      <c r="MG18" s="41"/>
      <c r="MH18" s="41"/>
      <c r="MI18" s="41"/>
      <c r="MJ18" s="41"/>
      <c r="MK18" s="41"/>
      <c r="ML18" s="41"/>
      <c r="MM18" s="41"/>
      <c r="MN18" s="41"/>
      <c r="MO18" s="41"/>
      <c r="MP18" s="41"/>
      <c r="MQ18" s="41"/>
      <c r="MR18" s="41"/>
      <c r="MS18" s="41"/>
      <c r="MT18" s="41"/>
      <c r="MU18" s="41"/>
      <c r="MV18" s="41"/>
      <c r="MW18" s="41"/>
      <c r="MX18" s="41"/>
      <c r="MY18" s="41"/>
      <c r="MZ18" s="41"/>
      <c r="NA18" s="41"/>
      <c r="NB18" s="41"/>
      <c r="NC18" s="41"/>
      <c r="ND18" s="41"/>
      <c r="NE18" s="41"/>
      <c r="NF18" s="41"/>
      <c r="NG18" s="41"/>
      <c r="NH18" s="41"/>
      <c r="NI18" s="41"/>
      <c r="NJ18" s="41"/>
      <c r="NK18" s="41"/>
      <c r="NL18" s="41"/>
      <c r="NM18" s="41"/>
      <c r="NN18" s="41"/>
      <c r="NO18" s="41"/>
      <c r="NP18" s="41"/>
      <c r="NQ18" s="41"/>
      <c r="NR18" s="41"/>
      <c r="BQA18" s="154"/>
      <c r="BQB18" s="153"/>
      <c r="BQC18" s="153"/>
      <c r="BQD18" s="153"/>
      <c r="BQE18" s="153"/>
      <c r="BQF18" s="153"/>
      <c r="BQG18" s="153"/>
      <c r="BQH18" s="153"/>
      <c r="BQI18" s="153"/>
      <c r="BQJ18" s="153"/>
      <c r="BQK18" s="153"/>
      <c r="BQL18" s="153"/>
      <c r="BQM18" s="153"/>
      <c r="BQN18" s="153"/>
      <c r="BQO18" s="153"/>
      <c r="BQP18" s="153"/>
      <c r="BQQ18" s="153"/>
      <c r="BQR18" s="153"/>
      <c r="BQS18" s="153"/>
      <c r="BQT18" s="153"/>
      <c r="BQU18" s="153"/>
      <c r="BQV18" s="153"/>
      <c r="BQW18" s="153"/>
      <c r="BQX18" s="153"/>
      <c r="BQY18" s="153"/>
      <c r="BQZ18" s="153"/>
      <c r="BRA18" s="153"/>
      <c r="BRB18" s="153"/>
      <c r="BRC18" s="153"/>
      <c r="BRD18" s="153"/>
      <c r="BRE18" s="153"/>
      <c r="BRF18" s="153"/>
      <c r="BRG18" s="153"/>
      <c r="BRH18" s="153"/>
      <c r="BRI18" s="153"/>
      <c r="BRJ18" s="153"/>
      <c r="BRK18" s="153"/>
      <c r="BRL18" s="153"/>
      <c r="BRM18" s="153"/>
      <c r="BRN18" s="153"/>
      <c r="BRO18" s="153"/>
      <c r="BRP18" s="153"/>
      <c r="BRQ18" s="153"/>
      <c r="BRR18" s="153"/>
      <c r="BRS18" s="153"/>
      <c r="BRT18" s="153"/>
      <c r="BRU18" s="153"/>
      <c r="BRV18" s="153"/>
      <c r="BRW18" s="153"/>
      <c r="BRX18" s="153"/>
      <c r="BRY18" s="153"/>
      <c r="BRZ18" s="153"/>
      <c r="BSA18" s="153"/>
      <c r="BSB18" s="153"/>
      <c r="BSC18" s="153"/>
      <c r="BSD18" s="153"/>
      <c r="BSE18" s="153"/>
      <c r="BSF18" s="153"/>
      <c r="BSG18" s="153"/>
      <c r="BSH18" s="153"/>
      <c r="BSI18" s="152"/>
    </row>
    <row r="19" spans="1:382 1795:1855" s="151" customFormat="1" ht="30" x14ac:dyDescent="0.25">
      <c r="A19" s="380"/>
      <c r="B19" s="359"/>
      <c r="C19" s="142" t="s">
        <v>88</v>
      </c>
      <c r="D19" s="143">
        <v>1</v>
      </c>
      <c r="E19" s="143">
        <v>60000</v>
      </c>
      <c r="F19" s="143"/>
      <c r="G19" s="191">
        <f t="shared" si="9"/>
        <v>60000</v>
      </c>
      <c r="H19" s="145"/>
      <c r="I19" s="146"/>
      <c r="J19" s="147"/>
      <c r="K19" s="144"/>
      <c r="L19" s="144"/>
      <c r="M19" s="133"/>
      <c r="N19" s="148"/>
      <c r="O19" s="146"/>
      <c r="P19" s="146"/>
      <c r="Q19" s="137"/>
      <c r="R19" s="149"/>
      <c r="S19" s="150"/>
      <c r="T19" s="150"/>
      <c r="U19" s="139"/>
      <c r="V19" s="48">
        <f t="shared" si="10"/>
        <v>60000</v>
      </c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2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KU19" s="41"/>
      <c r="KV19" s="41"/>
      <c r="KW19" s="41"/>
      <c r="KX19" s="41"/>
      <c r="KY19" s="41"/>
      <c r="KZ19" s="41"/>
      <c r="LA19" s="41"/>
      <c r="LB19" s="41"/>
      <c r="LC19" s="41"/>
      <c r="LD19" s="41"/>
      <c r="LE19" s="41"/>
      <c r="LF19" s="41"/>
      <c r="LG19" s="41"/>
      <c r="LH19" s="41"/>
      <c r="LI19" s="41"/>
      <c r="LJ19" s="41"/>
      <c r="LK19" s="41"/>
      <c r="LL19" s="41"/>
      <c r="LM19" s="41"/>
      <c r="LN19" s="41"/>
      <c r="LO19" s="41"/>
      <c r="LP19" s="41"/>
      <c r="LQ19" s="41"/>
      <c r="LR19" s="41"/>
      <c r="LS19" s="41"/>
      <c r="LT19" s="41"/>
      <c r="LU19" s="41"/>
      <c r="LV19" s="41"/>
      <c r="LW19" s="41"/>
      <c r="LX19" s="41"/>
      <c r="LY19" s="41"/>
      <c r="LZ19" s="41"/>
      <c r="MA19" s="41"/>
      <c r="MB19" s="41"/>
      <c r="MC19" s="41"/>
      <c r="MD19" s="41"/>
      <c r="ME19" s="41"/>
      <c r="MF19" s="41"/>
      <c r="MG19" s="41"/>
      <c r="MH19" s="41"/>
      <c r="MI19" s="41"/>
      <c r="MJ19" s="41"/>
      <c r="MK19" s="41"/>
      <c r="ML19" s="41"/>
      <c r="MM19" s="41"/>
      <c r="MN19" s="41"/>
      <c r="MO19" s="41"/>
      <c r="MP19" s="41"/>
      <c r="MQ19" s="41"/>
      <c r="MR19" s="41"/>
      <c r="MS19" s="41"/>
      <c r="MT19" s="41"/>
      <c r="MU19" s="41"/>
      <c r="MV19" s="41"/>
      <c r="MW19" s="41"/>
      <c r="MX19" s="41"/>
      <c r="MY19" s="41"/>
      <c r="MZ19" s="41"/>
      <c r="NA19" s="41"/>
      <c r="NB19" s="41"/>
      <c r="NC19" s="41"/>
      <c r="ND19" s="41"/>
      <c r="NE19" s="41"/>
      <c r="NF19" s="41"/>
      <c r="NG19" s="41"/>
      <c r="NH19" s="41"/>
      <c r="NI19" s="41"/>
      <c r="NJ19" s="41"/>
      <c r="NK19" s="41"/>
      <c r="NL19" s="41"/>
      <c r="NM19" s="41"/>
      <c r="NN19" s="41"/>
      <c r="NO19" s="41"/>
      <c r="NP19" s="41"/>
      <c r="NQ19" s="41"/>
      <c r="NR19" s="41"/>
      <c r="BQA19" s="154"/>
      <c r="BQB19" s="153"/>
      <c r="BQC19" s="153"/>
      <c r="BQD19" s="153"/>
      <c r="BQE19" s="153"/>
      <c r="BQF19" s="153"/>
      <c r="BQG19" s="153"/>
      <c r="BQH19" s="153"/>
      <c r="BQI19" s="153"/>
      <c r="BQJ19" s="153"/>
      <c r="BQK19" s="153"/>
      <c r="BQL19" s="153"/>
      <c r="BQM19" s="153"/>
      <c r="BQN19" s="153"/>
      <c r="BQO19" s="153"/>
      <c r="BQP19" s="153"/>
      <c r="BQQ19" s="153"/>
      <c r="BQR19" s="153"/>
      <c r="BQS19" s="153"/>
      <c r="BQT19" s="153"/>
      <c r="BQU19" s="153"/>
      <c r="BQV19" s="153"/>
      <c r="BQW19" s="153"/>
      <c r="BQX19" s="153"/>
      <c r="BQY19" s="153"/>
      <c r="BQZ19" s="153"/>
      <c r="BRA19" s="153"/>
      <c r="BRB19" s="153"/>
      <c r="BRC19" s="153"/>
      <c r="BRD19" s="153"/>
      <c r="BRE19" s="153"/>
      <c r="BRF19" s="153"/>
      <c r="BRG19" s="153"/>
      <c r="BRH19" s="153"/>
      <c r="BRI19" s="153"/>
      <c r="BRJ19" s="153"/>
      <c r="BRK19" s="153"/>
      <c r="BRL19" s="153"/>
      <c r="BRM19" s="153"/>
      <c r="BRN19" s="153"/>
      <c r="BRO19" s="153"/>
      <c r="BRP19" s="153"/>
      <c r="BRQ19" s="153"/>
      <c r="BRR19" s="153"/>
      <c r="BRS19" s="153"/>
      <c r="BRT19" s="153"/>
      <c r="BRU19" s="153"/>
      <c r="BRV19" s="153"/>
      <c r="BRW19" s="153"/>
      <c r="BRX19" s="153"/>
      <c r="BRY19" s="153"/>
      <c r="BRZ19" s="153"/>
      <c r="BSA19" s="153"/>
      <c r="BSB19" s="153"/>
      <c r="BSC19" s="153"/>
      <c r="BSD19" s="153"/>
      <c r="BSE19" s="153"/>
      <c r="BSF19" s="153"/>
      <c r="BSG19" s="153"/>
      <c r="BSH19" s="153"/>
      <c r="BSI19" s="152"/>
    </row>
    <row r="20" spans="1:382 1795:1855" s="151" customFormat="1" ht="30" x14ac:dyDescent="0.25">
      <c r="A20" s="380"/>
      <c r="B20" s="359"/>
      <c r="C20" s="305" t="s">
        <v>89</v>
      </c>
      <c r="D20" s="143">
        <v>1</v>
      </c>
      <c r="E20" s="143">
        <v>60000</v>
      </c>
      <c r="F20" s="143">
        <f>4000+49500</f>
        <v>53500</v>
      </c>
      <c r="G20" s="191">
        <f t="shared" si="9"/>
        <v>113500</v>
      </c>
      <c r="H20" s="145"/>
      <c r="I20" s="146"/>
      <c r="J20" s="147"/>
      <c r="K20" s="144"/>
      <c r="L20" s="144"/>
      <c r="M20" s="133"/>
      <c r="N20" s="148"/>
      <c r="O20" s="146"/>
      <c r="P20" s="146"/>
      <c r="Q20" s="137"/>
      <c r="R20" s="149"/>
      <c r="S20" s="150"/>
      <c r="T20" s="150"/>
      <c r="U20" s="139"/>
      <c r="V20" s="48">
        <f t="shared" si="10"/>
        <v>113500</v>
      </c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2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KU20" s="41"/>
      <c r="KV20" s="41"/>
      <c r="KW20" s="41"/>
      <c r="KX20" s="41"/>
      <c r="KY20" s="41"/>
      <c r="KZ20" s="41"/>
      <c r="LA20" s="41"/>
      <c r="LB20" s="41"/>
      <c r="LC20" s="41"/>
      <c r="LD20" s="41"/>
      <c r="LE20" s="41"/>
      <c r="LF20" s="41"/>
      <c r="LG20" s="41"/>
      <c r="LH20" s="41"/>
      <c r="LI20" s="41"/>
      <c r="LJ20" s="41"/>
      <c r="LK20" s="41"/>
      <c r="LL20" s="41"/>
      <c r="LM20" s="41"/>
      <c r="LN20" s="41"/>
      <c r="LO20" s="41"/>
      <c r="LP20" s="41"/>
      <c r="LQ20" s="41"/>
      <c r="LR20" s="41"/>
      <c r="LS20" s="41"/>
      <c r="LT20" s="41"/>
      <c r="LU20" s="41"/>
      <c r="LV20" s="41"/>
      <c r="LW20" s="41"/>
      <c r="LX20" s="41"/>
      <c r="LY20" s="41"/>
      <c r="LZ20" s="41"/>
      <c r="MA20" s="41"/>
      <c r="MB20" s="41"/>
      <c r="MC20" s="41"/>
      <c r="MD20" s="41"/>
      <c r="ME20" s="41"/>
      <c r="MF20" s="41"/>
      <c r="MG20" s="41"/>
      <c r="MH20" s="41"/>
      <c r="MI20" s="41"/>
      <c r="MJ20" s="41"/>
      <c r="MK20" s="41"/>
      <c r="ML20" s="41"/>
      <c r="MM20" s="41"/>
      <c r="MN20" s="41"/>
      <c r="MO20" s="41"/>
      <c r="MP20" s="41"/>
      <c r="MQ20" s="41"/>
      <c r="MR20" s="41"/>
      <c r="MS20" s="41"/>
      <c r="MT20" s="41"/>
      <c r="MU20" s="41"/>
      <c r="MV20" s="41"/>
      <c r="MW20" s="41"/>
      <c r="MX20" s="41"/>
      <c r="MY20" s="41"/>
      <c r="MZ20" s="41"/>
      <c r="NA20" s="41"/>
      <c r="NB20" s="41"/>
      <c r="NC20" s="41"/>
      <c r="ND20" s="41"/>
      <c r="NE20" s="41"/>
      <c r="NF20" s="41"/>
      <c r="NG20" s="41"/>
      <c r="NH20" s="41"/>
      <c r="NI20" s="41"/>
      <c r="NJ20" s="41"/>
      <c r="NK20" s="41"/>
      <c r="NL20" s="41"/>
      <c r="NM20" s="41"/>
      <c r="NN20" s="41"/>
      <c r="NO20" s="41"/>
      <c r="NP20" s="41"/>
      <c r="NQ20" s="41"/>
      <c r="NR20" s="41"/>
      <c r="BQA20" s="154"/>
      <c r="BQB20" s="153"/>
      <c r="BQC20" s="153"/>
      <c r="BQD20" s="153"/>
      <c r="BQE20" s="153"/>
      <c r="BQF20" s="153"/>
      <c r="BQG20" s="153"/>
      <c r="BQH20" s="153"/>
      <c r="BQI20" s="153"/>
      <c r="BQJ20" s="153"/>
      <c r="BQK20" s="153"/>
      <c r="BQL20" s="153"/>
      <c r="BQM20" s="153"/>
      <c r="BQN20" s="153"/>
      <c r="BQO20" s="153"/>
      <c r="BQP20" s="153"/>
      <c r="BQQ20" s="153"/>
      <c r="BQR20" s="153"/>
      <c r="BQS20" s="153"/>
      <c r="BQT20" s="153"/>
      <c r="BQU20" s="153"/>
      <c r="BQV20" s="153"/>
      <c r="BQW20" s="153"/>
      <c r="BQX20" s="153"/>
      <c r="BQY20" s="153"/>
      <c r="BQZ20" s="153"/>
      <c r="BRA20" s="153"/>
      <c r="BRB20" s="153"/>
      <c r="BRC20" s="153"/>
      <c r="BRD20" s="153"/>
      <c r="BRE20" s="153"/>
      <c r="BRF20" s="153"/>
      <c r="BRG20" s="153"/>
      <c r="BRH20" s="153"/>
      <c r="BRI20" s="153"/>
      <c r="BRJ20" s="153"/>
      <c r="BRK20" s="153"/>
      <c r="BRL20" s="153"/>
      <c r="BRM20" s="153"/>
      <c r="BRN20" s="153"/>
      <c r="BRO20" s="153"/>
      <c r="BRP20" s="153"/>
      <c r="BRQ20" s="153"/>
      <c r="BRR20" s="153"/>
      <c r="BRS20" s="153"/>
      <c r="BRT20" s="153"/>
      <c r="BRU20" s="153"/>
      <c r="BRV20" s="153"/>
      <c r="BRW20" s="153"/>
      <c r="BRX20" s="153"/>
      <c r="BRY20" s="153"/>
      <c r="BRZ20" s="153"/>
      <c r="BSA20" s="153"/>
      <c r="BSB20" s="153"/>
      <c r="BSC20" s="153"/>
      <c r="BSD20" s="153"/>
      <c r="BSE20" s="153"/>
      <c r="BSF20" s="153"/>
      <c r="BSG20" s="153"/>
      <c r="BSH20" s="153"/>
      <c r="BSI20" s="152"/>
    </row>
    <row r="21" spans="1:382 1795:1855" s="151" customFormat="1" ht="45" x14ac:dyDescent="0.25">
      <c r="A21" s="381"/>
      <c r="B21" s="360"/>
      <c r="C21" s="142" t="s">
        <v>90</v>
      </c>
      <c r="D21" s="143">
        <v>1</v>
      </c>
      <c r="E21" s="143">
        <v>60000</v>
      </c>
      <c r="F21" s="143"/>
      <c r="G21" s="191">
        <f t="shared" si="9"/>
        <v>60000</v>
      </c>
      <c r="H21" s="145"/>
      <c r="I21" s="146"/>
      <c r="J21" s="147"/>
      <c r="K21" s="144"/>
      <c r="L21" s="144"/>
      <c r="M21" s="133"/>
      <c r="N21" s="148"/>
      <c r="O21" s="146"/>
      <c r="P21" s="146"/>
      <c r="Q21" s="47">
        <f t="shared" si="7"/>
        <v>0</v>
      </c>
      <c r="R21" s="149"/>
      <c r="S21" s="150"/>
      <c r="T21" s="150"/>
      <c r="U21" s="139"/>
      <c r="V21" s="48">
        <f t="shared" si="10"/>
        <v>60000</v>
      </c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2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KU21" s="41"/>
      <c r="KV21" s="41"/>
      <c r="KW21" s="41"/>
      <c r="KX21" s="41"/>
      <c r="KY21" s="41"/>
      <c r="KZ21" s="41"/>
      <c r="LA21" s="41"/>
      <c r="LB21" s="41"/>
      <c r="LC21" s="41"/>
      <c r="LD21" s="41"/>
      <c r="LE21" s="41"/>
      <c r="LF21" s="41"/>
      <c r="LG21" s="41"/>
      <c r="LH21" s="41"/>
      <c r="LI21" s="41"/>
      <c r="LJ21" s="41"/>
      <c r="LK21" s="41"/>
      <c r="LL21" s="41"/>
      <c r="LM21" s="41"/>
      <c r="LN21" s="41"/>
      <c r="LO21" s="41"/>
      <c r="LP21" s="41"/>
      <c r="LQ21" s="41"/>
      <c r="LR21" s="41"/>
      <c r="LS21" s="41"/>
      <c r="LT21" s="41"/>
      <c r="LU21" s="41"/>
      <c r="LV21" s="41"/>
      <c r="LW21" s="41"/>
      <c r="LX21" s="41"/>
      <c r="LY21" s="41"/>
      <c r="LZ21" s="41"/>
      <c r="MA21" s="41"/>
      <c r="MB21" s="41"/>
      <c r="MC21" s="41"/>
      <c r="MD21" s="41"/>
      <c r="ME21" s="41"/>
      <c r="MF21" s="41"/>
      <c r="MG21" s="41"/>
      <c r="MH21" s="41"/>
      <c r="MI21" s="41"/>
      <c r="MJ21" s="41"/>
      <c r="MK21" s="41"/>
      <c r="ML21" s="41"/>
      <c r="MM21" s="41"/>
      <c r="MN21" s="41"/>
      <c r="MO21" s="41"/>
      <c r="MP21" s="41"/>
      <c r="MQ21" s="41"/>
      <c r="MR21" s="41"/>
      <c r="MS21" s="41"/>
      <c r="MT21" s="41"/>
      <c r="MU21" s="41"/>
      <c r="MV21" s="41"/>
      <c r="MW21" s="41"/>
      <c r="MX21" s="41"/>
      <c r="MY21" s="41"/>
      <c r="MZ21" s="41"/>
      <c r="NA21" s="41"/>
      <c r="NB21" s="41"/>
      <c r="NC21" s="41"/>
      <c r="ND21" s="41"/>
      <c r="NE21" s="41"/>
      <c r="NF21" s="41"/>
      <c r="NG21" s="41"/>
      <c r="NH21" s="41"/>
      <c r="NI21" s="41"/>
      <c r="NJ21" s="41"/>
      <c r="NK21" s="41"/>
      <c r="NL21" s="41"/>
      <c r="NM21" s="41"/>
      <c r="NN21" s="41"/>
      <c r="NO21" s="41"/>
      <c r="NP21" s="41"/>
      <c r="NQ21" s="41"/>
      <c r="NR21" s="41"/>
      <c r="BQA21" s="154"/>
      <c r="BQB21" s="153"/>
      <c r="BQC21" s="153"/>
      <c r="BQD21" s="153"/>
      <c r="BQE21" s="153"/>
      <c r="BQF21" s="153"/>
      <c r="BQG21" s="153"/>
      <c r="BQH21" s="153"/>
      <c r="BQI21" s="153"/>
      <c r="BQJ21" s="153"/>
      <c r="BQK21" s="153"/>
      <c r="BQL21" s="153"/>
      <c r="BQM21" s="153"/>
      <c r="BQN21" s="153"/>
      <c r="BQO21" s="153"/>
      <c r="BQP21" s="153"/>
      <c r="BQQ21" s="153"/>
      <c r="BQR21" s="153"/>
      <c r="BQS21" s="153"/>
      <c r="BQT21" s="153"/>
      <c r="BQU21" s="153"/>
      <c r="BQV21" s="153"/>
      <c r="BQW21" s="153"/>
      <c r="BQX21" s="153"/>
      <c r="BQY21" s="153"/>
      <c r="BQZ21" s="153"/>
      <c r="BRA21" s="153"/>
      <c r="BRB21" s="153"/>
      <c r="BRC21" s="153"/>
      <c r="BRD21" s="153"/>
      <c r="BRE21" s="153"/>
      <c r="BRF21" s="153"/>
      <c r="BRG21" s="153"/>
      <c r="BRH21" s="153"/>
      <c r="BRI21" s="153"/>
      <c r="BRJ21" s="153"/>
      <c r="BRK21" s="153"/>
      <c r="BRL21" s="153"/>
      <c r="BRM21" s="153"/>
      <c r="BRN21" s="153"/>
      <c r="BRO21" s="153"/>
      <c r="BRP21" s="153"/>
      <c r="BRQ21" s="153"/>
      <c r="BRR21" s="153"/>
      <c r="BRS21" s="153"/>
      <c r="BRT21" s="153"/>
      <c r="BRU21" s="153"/>
      <c r="BRV21" s="153"/>
      <c r="BRW21" s="153"/>
      <c r="BRX21" s="153"/>
      <c r="BRY21" s="153"/>
      <c r="BRZ21" s="153"/>
      <c r="BSA21" s="153"/>
      <c r="BSB21" s="153"/>
      <c r="BSC21" s="153"/>
      <c r="BSD21" s="153"/>
      <c r="BSE21" s="153"/>
      <c r="BSF21" s="153"/>
      <c r="BSG21" s="153"/>
      <c r="BSH21" s="153"/>
      <c r="BSI21" s="152"/>
    </row>
    <row r="22" spans="1:382 1795:1855" x14ac:dyDescent="0.25">
      <c r="A22" s="165" t="s">
        <v>101</v>
      </c>
      <c r="B22" s="173">
        <f>SUM(B23:B26)</f>
        <v>28251803</v>
      </c>
      <c r="C22" s="368" t="s">
        <v>100</v>
      </c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69"/>
      <c r="O22" s="369"/>
      <c r="P22" s="369"/>
      <c r="Q22" s="369"/>
      <c r="R22" s="369"/>
      <c r="S22" s="369"/>
      <c r="T22" s="369"/>
      <c r="U22" s="369"/>
      <c r="V22" s="370"/>
    </row>
    <row r="23" spans="1:382 1795:1855" ht="225" x14ac:dyDescent="0.25">
      <c r="A23" s="353" t="s">
        <v>118</v>
      </c>
      <c r="B23" s="358">
        <f>SUM(V23:V26)</f>
        <v>28251803</v>
      </c>
      <c r="C23" s="43" t="s">
        <v>95</v>
      </c>
      <c r="D23" s="44">
        <v>1</v>
      </c>
      <c r="E23" s="44">
        <v>14404190</v>
      </c>
      <c r="F23" s="139"/>
      <c r="G23" s="192">
        <f>D23*E23</f>
        <v>14404190</v>
      </c>
      <c r="H23" s="45" t="s">
        <v>94</v>
      </c>
      <c r="I23" s="193">
        <v>7800000</v>
      </c>
      <c r="J23" s="125" t="s">
        <v>113</v>
      </c>
      <c r="K23" s="180">
        <v>1</v>
      </c>
      <c r="L23" s="126">
        <v>1519636</v>
      </c>
      <c r="M23" s="194">
        <f t="shared" ref="M23:M24" si="11">K23*L23</f>
        <v>1519636</v>
      </c>
      <c r="N23" s="45" t="s">
        <v>111</v>
      </c>
      <c r="O23" s="47">
        <v>1</v>
      </c>
      <c r="P23" s="47">
        <v>760000</v>
      </c>
      <c r="Q23" s="193">
        <f t="shared" ref="Q23" si="12">O23*P23</f>
        <v>760000</v>
      </c>
      <c r="R23" s="43" t="s">
        <v>236</v>
      </c>
      <c r="S23" s="44">
        <v>1</v>
      </c>
      <c r="T23" s="44">
        <v>3057977</v>
      </c>
      <c r="U23" s="192">
        <f>S23*T23</f>
        <v>3057977</v>
      </c>
      <c r="V23" s="48">
        <f t="shared" ref="V23:V25" si="13">G23+I23+M23+Q23+U23</f>
        <v>27541803</v>
      </c>
      <c r="BQB23" s="153"/>
      <c r="BQC23" s="153"/>
      <c r="BQD23" s="153"/>
      <c r="BQE23" s="153"/>
      <c r="BQF23" s="153"/>
      <c r="BQG23" s="153"/>
      <c r="BQH23" s="153"/>
      <c r="BQI23" s="153"/>
      <c r="BQJ23" s="153"/>
      <c r="BQK23" s="153"/>
      <c r="BQL23" s="153"/>
      <c r="BQM23" s="153"/>
      <c r="BQN23" s="153"/>
      <c r="BQO23" s="153"/>
      <c r="BQP23" s="153"/>
      <c r="BQQ23" s="153"/>
      <c r="BQR23" s="153"/>
      <c r="BQS23" s="153"/>
      <c r="BQT23" s="153"/>
      <c r="BQU23" s="153"/>
      <c r="BQV23" s="153"/>
      <c r="BQW23" s="153"/>
      <c r="BQX23" s="153"/>
      <c r="BQY23" s="153"/>
      <c r="BQZ23" s="153"/>
      <c r="BRA23" s="153"/>
      <c r="BRB23" s="153"/>
      <c r="BRC23" s="153"/>
      <c r="BRD23" s="153"/>
      <c r="BRE23" s="153"/>
      <c r="BRF23" s="153"/>
      <c r="BRG23" s="153"/>
      <c r="BRH23" s="153"/>
      <c r="BRI23" s="153"/>
      <c r="BRJ23" s="153"/>
      <c r="BRK23" s="153"/>
      <c r="BRL23" s="153"/>
      <c r="BRM23" s="153"/>
      <c r="BRN23" s="153"/>
      <c r="BRO23" s="153"/>
      <c r="BRP23" s="153"/>
      <c r="BRQ23" s="153"/>
      <c r="BRR23" s="153"/>
      <c r="BRS23" s="153"/>
      <c r="BRT23" s="153"/>
      <c r="BRU23" s="153"/>
      <c r="BRV23" s="153"/>
      <c r="BRW23" s="153"/>
      <c r="BRX23" s="153"/>
      <c r="BRY23" s="153"/>
      <c r="BRZ23" s="153"/>
      <c r="BSA23" s="153"/>
      <c r="BSB23" s="153"/>
      <c r="BSC23" s="153"/>
      <c r="BSD23" s="153"/>
      <c r="BSE23" s="153"/>
      <c r="BSF23" s="153"/>
      <c r="BSG23" s="153"/>
      <c r="BSH23" s="153"/>
    </row>
    <row r="24" spans="1:382 1795:1855" x14ac:dyDescent="0.25">
      <c r="A24" s="354"/>
      <c r="B24" s="373"/>
      <c r="C24" s="138"/>
      <c r="D24" s="139"/>
      <c r="E24" s="139"/>
      <c r="F24" s="139"/>
      <c r="G24" s="320"/>
      <c r="H24" s="136"/>
      <c r="I24" s="321"/>
      <c r="J24" s="132" t="s">
        <v>230</v>
      </c>
      <c r="K24" s="322">
        <v>1</v>
      </c>
      <c r="L24" s="133">
        <v>360000</v>
      </c>
      <c r="M24" s="194">
        <f t="shared" si="11"/>
        <v>360000</v>
      </c>
      <c r="N24" s="136"/>
      <c r="O24" s="137"/>
      <c r="P24" s="137"/>
      <c r="Q24" s="321"/>
      <c r="R24" s="138"/>
      <c r="S24" s="139"/>
      <c r="T24" s="139"/>
      <c r="U24" s="320"/>
      <c r="V24" s="48">
        <f t="shared" si="13"/>
        <v>360000</v>
      </c>
      <c r="BQB24" s="153"/>
      <c r="BQC24" s="153"/>
      <c r="BQD24" s="153"/>
      <c r="BQE24" s="153"/>
      <c r="BQF24" s="153"/>
      <c r="BQG24" s="153"/>
      <c r="BQH24" s="153"/>
      <c r="BQI24" s="153"/>
      <c r="BQJ24" s="153"/>
      <c r="BQK24" s="153"/>
      <c r="BQL24" s="153"/>
      <c r="BQM24" s="153"/>
      <c r="BQN24" s="153"/>
      <c r="BQO24" s="153"/>
      <c r="BQP24" s="153"/>
      <c r="BQQ24" s="153"/>
      <c r="BQR24" s="153"/>
      <c r="BQS24" s="153"/>
      <c r="BQT24" s="153"/>
      <c r="BQU24" s="153"/>
      <c r="BQV24" s="153"/>
      <c r="BQW24" s="153"/>
      <c r="BQX24" s="153"/>
      <c r="BQY24" s="153"/>
      <c r="BQZ24" s="153"/>
      <c r="BRA24" s="153"/>
      <c r="BRB24" s="153"/>
      <c r="BRC24" s="153"/>
      <c r="BRD24" s="153"/>
      <c r="BRE24" s="153"/>
      <c r="BRF24" s="153"/>
      <c r="BRG24" s="153"/>
      <c r="BRH24" s="153"/>
      <c r="BRI24" s="153"/>
      <c r="BRJ24" s="153"/>
      <c r="BRK24" s="153"/>
      <c r="BRL24" s="153"/>
      <c r="BRM24" s="153"/>
      <c r="BRN24" s="153"/>
      <c r="BRO24" s="153"/>
      <c r="BRP24" s="153"/>
      <c r="BRQ24" s="153"/>
      <c r="BRR24" s="153"/>
      <c r="BRS24" s="153"/>
      <c r="BRT24" s="153"/>
      <c r="BRU24" s="153"/>
      <c r="BRV24" s="153"/>
      <c r="BRW24" s="153"/>
      <c r="BRX24" s="153"/>
      <c r="BRY24" s="153"/>
      <c r="BRZ24" s="153"/>
      <c r="BSA24" s="153"/>
      <c r="BSB24" s="153"/>
      <c r="BSC24" s="153"/>
      <c r="BSD24" s="153"/>
      <c r="BSE24" s="153"/>
      <c r="BSF24" s="153"/>
      <c r="BSG24" s="153"/>
      <c r="BSH24" s="153"/>
    </row>
    <row r="25" spans="1:382 1795:1855" ht="60" x14ac:dyDescent="0.25">
      <c r="A25" s="371"/>
      <c r="B25" s="374"/>
      <c r="C25" s="138"/>
      <c r="D25" s="139"/>
      <c r="E25" s="139"/>
      <c r="F25" s="139"/>
      <c r="G25" s="139"/>
      <c r="H25" s="136"/>
      <c r="I25" s="137"/>
      <c r="J25" s="125" t="s">
        <v>103</v>
      </c>
      <c r="K25" s="180">
        <v>100</v>
      </c>
      <c r="L25" s="126">
        <v>2000</v>
      </c>
      <c r="M25" s="194">
        <f>K25*L25</f>
        <v>200000</v>
      </c>
      <c r="N25" s="136"/>
      <c r="O25" s="137"/>
      <c r="P25" s="137"/>
      <c r="Q25" s="137"/>
      <c r="R25" s="138"/>
      <c r="S25" s="139"/>
      <c r="T25" s="139"/>
      <c r="U25" s="139"/>
      <c r="V25" s="48">
        <f t="shared" si="13"/>
        <v>200000</v>
      </c>
    </row>
    <row r="26" spans="1:382 1795:1855" ht="45" x14ac:dyDescent="0.25">
      <c r="A26" s="372"/>
      <c r="B26" s="375"/>
      <c r="C26" s="138"/>
      <c r="D26" s="167"/>
      <c r="E26" s="167"/>
      <c r="F26" s="167"/>
      <c r="G26" s="139"/>
      <c r="H26" s="328" t="s">
        <v>231</v>
      </c>
      <c r="I26" s="48">
        <v>150000</v>
      </c>
      <c r="J26" s="125"/>
      <c r="K26" s="126"/>
      <c r="L26" s="126"/>
      <c r="M26" s="126"/>
      <c r="N26" s="45"/>
      <c r="O26" s="47"/>
      <c r="P26" s="47"/>
      <c r="Q26" s="47"/>
      <c r="R26" s="43"/>
      <c r="S26" s="44"/>
      <c r="T26" s="44"/>
      <c r="U26" s="44"/>
      <c r="V26" s="48">
        <f t="shared" ref="V26" si="14">G26+I26+M26+Q26+U26</f>
        <v>150000</v>
      </c>
    </row>
    <row r="27" spans="1:382 1795:1855" x14ac:dyDescent="0.25">
      <c r="A27" s="165" t="s">
        <v>102</v>
      </c>
      <c r="B27" s="173">
        <f>SUM(B28:B35)</f>
        <v>1180000</v>
      </c>
      <c r="C27" s="368" t="s">
        <v>25</v>
      </c>
      <c r="D27" s="369"/>
      <c r="E27" s="369"/>
      <c r="F27" s="369"/>
      <c r="G27" s="369"/>
      <c r="H27" s="369"/>
      <c r="I27" s="369"/>
      <c r="J27" s="369"/>
      <c r="K27" s="369"/>
      <c r="L27" s="369"/>
      <c r="M27" s="369"/>
      <c r="N27" s="369"/>
      <c r="O27" s="369"/>
      <c r="P27" s="369"/>
      <c r="Q27" s="369"/>
      <c r="R27" s="369"/>
      <c r="S27" s="369"/>
      <c r="T27" s="369"/>
      <c r="U27" s="369"/>
      <c r="V27" s="370"/>
    </row>
    <row r="28" spans="1:382 1795:1855" x14ac:dyDescent="0.25">
      <c r="A28" s="350" t="s">
        <v>26</v>
      </c>
      <c r="B28" s="175">
        <f t="shared" ref="B28:B35" si="15">V28</f>
        <v>120000</v>
      </c>
      <c r="C28" s="168" t="s">
        <v>96</v>
      </c>
      <c r="D28" s="168">
        <v>60</v>
      </c>
      <c r="E28" s="126">
        <v>2000</v>
      </c>
      <c r="F28" s="168"/>
      <c r="G28" s="194">
        <f t="shared" ref="G28:G35" si="16">D28*E28</f>
        <v>120000</v>
      </c>
      <c r="H28" s="157"/>
      <c r="I28" s="157"/>
      <c r="J28" s="169"/>
      <c r="K28" s="169"/>
      <c r="L28" s="169"/>
      <c r="M28" s="133"/>
      <c r="N28" s="157"/>
      <c r="O28" s="157"/>
      <c r="P28" s="157"/>
      <c r="Q28" s="137"/>
      <c r="R28" s="170"/>
      <c r="S28" s="170"/>
      <c r="T28" s="170"/>
      <c r="U28" s="170"/>
      <c r="V28" s="48">
        <f t="shared" ref="V28:V36" si="17">G28+I28+M28+Q28+U28</f>
        <v>120000</v>
      </c>
      <c r="W28" s="63"/>
    </row>
    <row r="29" spans="1:382 1795:1855" x14ac:dyDescent="0.25">
      <c r="A29" s="351"/>
      <c r="B29" s="175">
        <f t="shared" si="15"/>
        <v>270000</v>
      </c>
      <c r="C29" s="168" t="s">
        <v>97</v>
      </c>
      <c r="D29" s="168">
        <v>60</v>
      </c>
      <c r="E29" s="126">
        <v>4500</v>
      </c>
      <c r="F29" s="168"/>
      <c r="G29" s="194">
        <f t="shared" si="16"/>
        <v>270000</v>
      </c>
      <c r="H29" s="157"/>
      <c r="I29" s="157"/>
      <c r="J29" s="169"/>
      <c r="K29" s="169"/>
      <c r="L29" s="169"/>
      <c r="M29" s="133"/>
      <c r="N29" s="157"/>
      <c r="O29" s="157"/>
      <c r="P29" s="157"/>
      <c r="Q29" s="137"/>
      <c r="R29" s="170"/>
      <c r="S29" s="170"/>
      <c r="T29" s="170"/>
      <c r="U29" s="170"/>
      <c r="V29" s="48">
        <f t="shared" si="17"/>
        <v>270000</v>
      </c>
      <c r="W29" s="63"/>
    </row>
    <row r="30" spans="1:382 1795:1855" x14ac:dyDescent="0.25">
      <c r="A30" s="351"/>
      <c r="B30" s="175">
        <f t="shared" si="15"/>
        <v>270000</v>
      </c>
      <c r="C30" s="168" t="s">
        <v>98</v>
      </c>
      <c r="D30" s="168">
        <v>60</v>
      </c>
      <c r="E30" s="126">
        <v>4500</v>
      </c>
      <c r="F30" s="168"/>
      <c r="G30" s="194">
        <f t="shared" si="16"/>
        <v>270000</v>
      </c>
      <c r="H30" s="157"/>
      <c r="I30" s="157"/>
      <c r="J30" s="169"/>
      <c r="K30" s="169"/>
      <c r="L30" s="169"/>
      <c r="M30" s="133"/>
      <c r="N30" s="157"/>
      <c r="O30" s="157"/>
      <c r="P30" s="157"/>
      <c r="Q30" s="137"/>
      <c r="R30" s="170"/>
      <c r="S30" s="170"/>
      <c r="T30" s="170"/>
      <c r="U30" s="170"/>
      <c r="V30" s="48">
        <f t="shared" si="17"/>
        <v>270000</v>
      </c>
      <c r="W30" s="63"/>
    </row>
    <row r="31" spans="1:382 1795:1855" x14ac:dyDescent="0.25">
      <c r="A31" s="351"/>
      <c r="B31" s="175">
        <f t="shared" si="15"/>
        <v>150000</v>
      </c>
      <c r="C31" s="168" t="s">
        <v>121</v>
      </c>
      <c r="D31" s="168">
        <v>60</v>
      </c>
      <c r="E31" s="133">
        <v>2500</v>
      </c>
      <c r="F31" s="168"/>
      <c r="G31" s="191">
        <f t="shared" si="16"/>
        <v>150000</v>
      </c>
      <c r="H31" s="157"/>
      <c r="I31" s="157"/>
      <c r="J31" s="169"/>
      <c r="K31" s="169"/>
      <c r="L31" s="169"/>
      <c r="M31" s="133"/>
      <c r="N31" s="157"/>
      <c r="O31" s="157"/>
      <c r="P31" s="157"/>
      <c r="Q31" s="137"/>
      <c r="R31" s="170"/>
      <c r="S31" s="170"/>
      <c r="T31" s="170"/>
      <c r="U31" s="170"/>
      <c r="V31" s="196">
        <f t="shared" si="17"/>
        <v>150000</v>
      </c>
      <c r="W31" s="63"/>
    </row>
    <row r="32" spans="1:382 1795:1855" x14ac:dyDescent="0.25">
      <c r="A32" s="352"/>
      <c r="B32" s="175">
        <f t="shared" si="15"/>
        <v>50000</v>
      </c>
      <c r="C32" s="168" t="s">
        <v>116</v>
      </c>
      <c r="D32" s="168">
        <v>10</v>
      </c>
      <c r="E32" s="126">
        <v>5000</v>
      </c>
      <c r="F32" s="168"/>
      <c r="G32" s="194">
        <f t="shared" si="16"/>
        <v>50000</v>
      </c>
      <c r="H32" s="157"/>
      <c r="I32" s="157"/>
      <c r="J32" s="169"/>
      <c r="K32" s="169"/>
      <c r="L32" s="169"/>
      <c r="M32" s="133"/>
      <c r="N32" s="157"/>
      <c r="O32" s="157"/>
      <c r="P32" s="157"/>
      <c r="Q32" s="137"/>
      <c r="R32" s="170"/>
      <c r="S32" s="170"/>
      <c r="T32" s="170"/>
      <c r="U32" s="170"/>
      <c r="V32" s="48">
        <f t="shared" si="17"/>
        <v>50000</v>
      </c>
      <c r="W32" s="63"/>
    </row>
    <row r="33" spans="1:23" x14ac:dyDescent="0.25">
      <c r="A33" s="350" t="s">
        <v>27</v>
      </c>
      <c r="B33" s="175">
        <f t="shared" si="15"/>
        <v>60000</v>
      </c>
      <c r="C33" s="127" t="s">
        <v>238</v>
      </c>
      <c r="D33" s="168">
        <v>1</v>
      </c>
      <c r="E33" s="126">
        <v>60000</v>
      </c>
      <c r="F33" s="168"/>
      <c r="G33" s="194">
        <f t="shared" si="16"/>
        <v>60000</v>
      </c>
      <c r="H33" s="157"/>
      <c r="I33" s="157"/>
      <c r="J33" s="169"/>
      <c r="K33" s="169"/>
      <c r="L33" s="169"/>
      <c r="M33" s="133"/>
      <c r="N33" s="157"/>
      <c r="O33" s="157"/>
      <c r="P33" s="157"/>
      <c r="Q33" s="137"/>
      <c r="R33" s="170"/>
      <c r="S33" s="170"/>
      <c r="T33" s="170"/>
      <c r="U33" s="170"/>
      <c r="V33" s="48">
        <f t="shared" si="17"/>
        <v>60000</v>
      </c>
      <c r="W33" s="63"/>
    </row>
    <row r="34" spans="1:23" x14ac:dyDescent="0.25">
      <c r="A34" s="352"/>
      <c r="B34" s="175">
        <f t="shared" si="15"/>
        <v>60000</v>
      </c>
      <c r="C34" s="127" t="s">
        <v>239</v>
      </c>
      <c r="D34" s="127">
        <v>1</v>
      </c>
      <c r="E34" s="126">
        <v>60000</v>
      </c>
      <c r="F34" s="168"/>
      <c r="G34" s="194">
        <f t="shared" si="16"/>
        <v>60000</v>
      </c>
      <c r="H34" s="51"/>
      <c r="I34" s="51"/>
      <c r="J34" s="128"/>
      <c r="K34" s="128"/>
      <c r="L34" s="128"/>
      <c r="M34" s="126">
        <f t="shared" ref="M34:M36" si="18">K34*L34</f>
        <v>0</v>
      </c>
      <c r="N34" s="51"/>
      <c r="O34" s="51"/>
      <c r="P34" s="51"/>
      <c r="Q34" s="47">
        <f t="shared" ref="Q34:Q36" si="19">O34*P34</f>
        <v>0</v>
      </c>
      <c r="R34" s="50"/>
      <c r="S34" s="50"/>
      <c r="T34" s="50"/>
      <c r="U34" s="50"/>
      <c r="V34" s="48">
        <f t="shared" si="17"/>
        <v>60000</v>
      </c>
    </row>
    <row r="35" spans="1:23" x14ac:dyDescent="0.25">
      <c r="A35" s="178" t="s">
        <v>28</v>
      </c>
      <c r="B35" s="175">
        <f t="shared" si="15"/>
        <v>200000</v>
      </c>
      <c r="C35" s="127"/>
      <c r="D35" s="127">
        <v>5</v>
      </c>
      <c r="E35" s="126">
        <v>40000</v>
      </c>
      <c r="F35" s="168"/>
      <c r="G35" s="194">
        <f t="shared" si="16"/>
        <v>200000</v>
      </c>
      <c r="H35" s="51"/>
      <c r="I35" s="51"/>
      <c r="J35" s="128"/>
      <c r="K35" s="128"/>
      <c r="L35" s="128"/>
      <c r="M35" s="126">
        <f t="shared" si="18"/>
        <v>0</v>
      </c>
      <c r="N35" s="51"/>
      <c r="O35" s="51"/>
      <c r="P35" s="51"/>
      <c r="Q35" s="47">
        <f t="shared" si="19"/>
        <v>0</v>
      </c>
      <c r="R35" s="50"/>
      <c r="S35" s="50"/>
      <c r="T35" s="50"/>
      <c r="U35" s="50"/>
      <c r="V35" s="48">
        <f t="shared" si="17"/>
        <v>200000</v>
      </c>
    </row>
    <row r="36" spans="1:23" x14ac:dyDescent="0.25">
      <c r="A36" s="178" t="s">
        <v>29</v>
      </c>
      <c r="B36" s="176">
        <v>2062197</v>
      </c>
      <c r="C36" s="127"/>
      <c r="D36" s="127"/>
      <c r="E36" s="127"/>
      <c r="F36" s="168"/>
      <c r="G36" s="194">
        <v>2062197</v>
      </c>
      <c r="H36" s="51"/>
      <c r="I36" s="51"/>
      <c r="J36" s="128"/>
      <c r="K36" s="128"/>
      <c r="L36" s="128"/>
      <c r="M36" s="126">
        <f t="shared" si="18"/>
        <v>0</v>
      </c>
      <c r="N36" s="51"/>
      <c r="O36" s="51"/>
      <c r="P36" s="51"/>
      <c r="Q36" s="47">
        <f t="shared" si="19"/>
        <v>0</v>
      </c>
      <c r="R36" s="50"/>
      <c r="S36" s="50"/>
      <c r="T36" s="50"/>
      <c r="U36" s="50"/>
      <c r="V36" s="48">
        <f t="shared" si="17"/>
        <v>2062197</v>
      </c>
    </row>
    <row r="37" spans="1:23" x14ac:dyDescent="0.25">
      <c r="A37" s="156"/>
      <c r="B37" s="156"/>
      <c r="C37" s="156"/>
      <c r="D37" s="156"/>
    </row>
    <row r="38" spans="1:23" x14ac:dyDescent="0.25">
      <c r="A38" s="156"/>
      <c r="B38" s="156"/>
      <c r="C38" s="189"/>
      <c r="D38" s="189"/>
    </row>
    <row r="39" spans="1:23" x14ac:dyDescent="0.25">
      <c r="A39" s="156"/>
      <c r="B39" s="156"/>
      <c r="C39" s="189"/>
      <c r="D39" s="156"/>
      <c r="G39" s="195"/>
    </row>
    <row r="40" spans="1:23" x14ac:dyDescent="0.25">
      <c r="A40" s="156"/>
      <c r="B40" s="156"/>
      <c r="C40" s="156"/>
      <c r="D40" s="156"/>
    </row>
    <row r="41" spans="1:23" x14ac:dyDescent="0.25">
      <c r="A41" s="156"/>
      <c r="B41" s="156"/>
      <c r="C41" s="189"/>
      <c r="D41" s="156"/>
    </row>
    <row r="42" spans="1:23" x14ac:dyDescent="0.25">
      <c r="A42" s="156"/>
      <c r="B42" s="156"/>
      <c r="C42" s="156"/>
      <c r="D42" s="156"/>
    </row>
    <row r="43" spans="1:23" x14ac:dyDescent="0.25">
      <c r="A43" s="156"/>
      <c r="B43" s="156"/>
      <c r="C43" s="156"/>
      <c r="D43" s="156"/>
    </row>
    <row r="44" spans="1:23" x14ac:dyDescent="0.25">
      <c r="A44" s="156"/>
      <c r="B44" s="156"/>
      <c r="C44" s="156"/>
      <c r="D44" s="156"/>
    </row>
    <row r="45" spans="1:23" x14ac:dyDescent="0.25">
      <c r="A45" s="156"/>
      <c r="B45" s="156"/>
      <c r="C45" s="156"/>
      <c r="D45" s="156"/>
    </row>
    <row r="46" spans="1:23" x14ac:dyDescent="0.25">
      <c r="A46" s="156"/>
      <c r="B46" s="156"/>
      <c r="C46" s="156"/>
      <c r="D46" s="156"/>
    </row>
    <row r="47" spans="1:23" x14ac:dyDescent="0.25">
      <c r="A47" s="156"/>
      <c r="B47" s="156"/>
      <c r="C47" s="156"/>
      <c r="D47" s="156"/>
    </row>
    <row r="48" spans="1:23" x14ac:dyDescent="0.25">
      <c r="A48" s="156"/>
      <c r="B48" s="156"/>
      <c r="C48" s="156"/>
      <c r="D48" s="156"/>
    </row>
    <row r="49" spans="1:4" x14ac:dyDescent="0.25">
      <c r="A49" s="156"/>
      <c r="B49" s="156"/>
      <c r="C49" s="156"/>
      <c r="D49" s="156"/>
    </row>
    <row r="50" spans="1:4" x14ac:dyDescent="0.25">
      <c r="A50" s="156"/>
      <c r="B50" s="156"/>
      <c r="C50" s="156"/>
      <c r="D50" s="156"/>
    </row>
    <row r="51" spans="1:4" x14ac:dyDescent="0.25">
      <c r="A51" s="156"/>
      <c r="B51" s="156"/>
      <c r="C51" s="156"/>
      <c r="D51" s="156"/>
    </row>
    <row r="52" spans="1:4" x14ac:dyDescent="0.25">
      <c r="A52" s="156"/>
      <c r="B52" s="156"/>
      <c r="C52" s="156"/>
      <c r="D52" s="156"/>
    </row>
    <row r="53" spans="1:4" x14ac:dyDescent="0.25">
      <c r="A53" s="156"/>
      <c r="B53" s="156"/>
      <c r="C53" s="156"/>
      <c r="D53" s="156"/>
    </row>
    <row r="54" spans="1:4" x14ac:dyDescent="0.25">
      <c r="A54" s="156"/>
      <c r="B54" s="156"/>
      <c r="C54" s="156"/>
      <c r="D54" s="156"/>
    </row>
    <row r="55" spans="1:4" x14ac:dyDescent="0.25">
      <c r="A55" s="156"/>
      <c r="B55" s="156"/>
      <c r="C55" s="156"/>
      <c r="D55" s="156"/>
    </row>
    <row r="56" spans="1:4" x14ac:dyDescent="0.25">
      <c r="A56" s="156"/>
      <c r="B56" s="156"/>
      <c r="C56" s="156"/>
      <c r="D56" s="156"/>
    </row>
    <row r="57" spans="1:4" x14ac:dyDescent="0.25">
      <c r="A57" s="156"/>
      <c r="B57" s="156"/>
      <c r="C57" s="156"/>
      <c r="D57" s="156"/>
    </row>
  </sheetData>
  <mergeCells count="19">
    <mergeCell ref="C2:V2"/>
    <mergeCell ref="C1:V1"/>
    <mergeCell ref="H3:I3"/>
    <mergeCell ref="J3:M3"/>
    <mergeCell ref="N3:Q3"/>
    <mergeCell ref="A28:A32"/>
    <mergeCell ref="A33:A34"/>
    <mergeCell ref="A8:A15"/>
    <mergeCell ref="B8:B15"/>
    <mergeCell ref="C3:G3"/>
    <mergeCell ref="A3:B4"/>
    <mergeCell ref="C27:V27"/>
    <mergeCell ref="C22:V22"/>
    <mergeCell ref="A23:A26"/>
    <mergeCell ref="B23:B26"/>
    <mergeCell ref="A5:A6"/>
    <mergeCell ref="B5:B6"/>
    <mergeCell ref="B17:B21"/>
    <mergeCell ref="A17:A21"/>
  </mergeCells>
  <pageMargins left="0.7" right="0.7" top="0.75" bottom="0.75" header="0.3" footer="0.3"/>
  <pageSetup orientation="landscape" horizontalDpi="4294967294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I23" sqref="I23"/>
    </sheetView>
  </sheetViews>
  <sheetFormatPr defaultColWidth="9" defaultRowHeight="15" x14ac:dyDescent="0.25"/>
  <cols>
    <col min="1" max="1" width="42.25" style="62" customWidth="1"/>
    <col min="2" max="2" width="9.75" style="62" customWidth="1"/>
    <col min="3" max="3" width="10" style="62" customWidth="1"/>
    <col min="4" max="4" width="9.125" style="62" customWidth="1"/>
    <col min="5" max="5" width="10.625" style="62" customWidth="1"/>
    <col min="6" max="7" width="9" style="62"/>
    <col min="8" max="8" width="8.25" style="62" bestFit="1" customWidth="1"/>
    <col min="9" max="16384" width="9" style="62"/>
  </cols>
  <sheetData>
    <row r="1" spans="1:10" ht="15.75" thickBot="1" x14ac:dyDescent="0.3">
      <c r="A1" s="385" t="s">
        <v>55</v>
      </c>
      <c r="B1" s="385"/>
      <c r="C1" s="385"/>
      <c r="D1" s="385"/>
      <c r="E1" s="385"/>
    </row>
    <row r="2" spans="1:10" ht="15.75" thickBot="1" x14ac:dyDescent="0.3">
      <c r="A2" s="65" t="s">
        <v>56</v>
      </c>
      <c r="B2" s="66" t="s">
        <v>57</v>
      </c>
      <c r="C2" s="66" t="s">
        <v>58</v>
      </c>
      <c r="D2" s="66" t="s">
        <v>3</v>
      </c>
      <c r="E2" s="66" t="s">
        <v>59</v>
      </c>
    </row>
    <row r="3" spans="1:10" ht="15.6" customHeight="1" thickBot="1" x14ac:dyDescent="0.3">
      <c r="A3" s="67" t="s">
        <v>76</v>
      </c>
      <c r="B3" s="68">
        <f>D3-C3</f>
        <v>36757803</v>
      </c>
      <c r="C3" s="68">
        <f>SUM(C4:C5)</f>
        <v>0</v>
      </c>
      <c r="D3" s="68">
        <f>SUM(D4:D5)</f>
        <v>36757803</v>
      </c>
      <c r="E3" s="69">
        <f t="shared" ref="E3:E11" si="0">D3/$D$11*100</f>
        <v>91.894507500000003</v>
      </c>
      <c r="J3" s="94"/>
    </row>
    <row r="4" spans="1:10" ht="21" customHeight="1" thickBot="1" x14ac:dyDescent="0.3">
      <c r="A4" s="70" t="s">
        <v>104</v>
      </c>
      <c r="B4" s="68">
        <f t="shared" ref="B4:B11" si="1">D4-C4</f>
        <v>8506000</v>
      </c>
      <c r="C4" s="72">
        <v>0</v>
      </c>
      <c r="D4" s="71">
        <f>'Detailed Budget '!B2</f>
        <v>8506000</v>
      </c>
      <c r="E4" s="73">
        <f t="shared" si="0"/>
        <v>21.265000000000001</v>
      </c>
    </row>
    <row r="5" spans="1:10" ht="21.6" customHeight="1" thickBot="1" x14ac:dyDescent="0.3">
      <c r="A5" s="70" t="s">
        <v>81</v>
      </c>
      <c r="B5" s="68">
        <f t="shared" si="1"/>
        <v>28251803</v>
      </c>
      <c r="C5" s="72">
        <v>0</v>
      </c>
      <c r="D5" s="71">
        <f>'Detailed Budget '!B22</f>
        <v>28251803</v>
      </c>
      <c r="E5" s="73">
        <f t="shared" si="0"/>
        <v>70.629507500000003</v>
      </c>
    </row>
    <row r="6" spans="1:10" ht="15.95" customHeight="1" thickBot="1" x14ac:dyDescent="0.3">
      <c r="A6" s="67" t="s">
        <v>77</v>
      </c>
      <c r="B6" s="68">
        <f t="shared" si="1"/>
        <v>1180000</v>
      </c>
      <c r="C6" s="68">
        <f>SUM(C7:C10)</f>
        <v>0</v>
      </c>
      <c r="D6" s="68">
        <f>SUM(D7:D9)</f>
        <v>1180000</v>
      </c>
      <c r="E6" s="69">
        <f t="shared" si="0"/>
        <v>2.9499999999999997</v>
      </c>
    </row>
    <row r="7" spans="1:10" ht="15.95" customHeight="1" thickBot="1" x14ac:dyDescent="0.3">
      <c r="A7" s="70" t="s">
        <v>119</v>
      </c>
      <c r="B7" s="68">
        <f t="shared" si="1"/>
        <v>860000</v>
      </c>
      <c r="C7" s="72">
        <v>0</v>
      </c>
      <c r="D7" s="71">
        <f>SUM('Detailed Budget '!B28:B32)</f>
        <v>860000</v>
      </c>
      <c r="E7" s="73">
        <f t="shared" si="0"/>
        <v>2.15</v>
      </c>
    </row>
    <row r="8" spans="1:10" ht="17.850000000000001" customHeight="1" thickBot="1" x14ac:dyDescent="0.3">
      <c r="A8" s="70" t="s">
        <v>120</v>
      </c>
      <c r="B8" s="68">
        <f t="shared" si="1"/>
        <v>120000</v>
      </c>
      <c r="C8" s="72">
        <v>0</v>
      </c>
      <c r="D8" s="71">
        <f>SUM('Detailed Budget '!B33:B34)</f>
        <v>120000</v>
      </c>
      <c r="E8" s="73">
        <f t="shared" si="0"/>
        <v>0.3</v>
      </c>
    </row>
    <row r="9" spans="1:10" ht="14.1" customHeight="1" thickBot="1" x14ac:dyDescent="0.3">
      <c r="A9" s="70" t="s">
        <v>78</v>
      </c>
      <c r="B9" s="68">
        <f t="shared" si="1"/>
        <v>200000</v>
      </c>
      <c r="C9" s="72">
        <v>0</v>
      </c>
      <c r="D9" s="71">
        <f>'Detailed Budget '!B35</f>
        <v>200000</v>
      </c>
      <c r="E9" s="73">
        <f t="shared" si="0"/>
        <v>0.5</v>
      </c>
    </row>
    <row r="10" spans="1:10" ht="18.95" customHeight="1" thickBot="1" x14ac:dyDescent="0.3">
      <c r="A10" s="67" t="s">
        <v>60</v>
      </c>
      <c r="B10" s="68">
        <f t="shared" si="1"/>
        <v>2062197</v>
      </c>
      <c r="C10" s="74">
        <v>0</v>
      </c>
      <c r="D10" s="68">
        <f>'Detailed Budget '!B36</f>
        <v>2062197</v>
      </c>
      <c r="E10" s="69">
        <f t="shared" si="0"/>
        <v>5.1554925000000003</v>
      </c>
    </row>
    <row r="11" spans="1:10" ht="15.75" thickBot="1" x14ac:dyDescent="0.3">
      <c r="A11" s="75" t="s">
        <v>3</v>
      </c>
      <c r="B11" s="76">
        <f t="shared" si="1"/>
        <v>40000000</v>
      </c>
      <c r="C11" s="76">
        <f>C6+C3+C10</f>
        <v>0</v>
      </c>
      <c r="D11" s="76">
        <f>D6+D3+D10</f>
        <v>40000000</v>
      </c>
      <c r="E11" s="77">
        <f t="shared" si="0"/>
        <v>100</v>
      </c>
    </row>
    <row r="12" spans="1:10" ht="15.75" thickBot="1" x14ac:dyDescent="0.3">
      <c r="A12" s="75" t="s">
        <v>59</v>
      </c>
      <c r="B12" s="78">
        <v>100</v>
      </c>
      <c r="C12" s="79">
        <v>0</v>
      </c>
      <c r="D12" s="80">
        <f t="shared" ref="D12" si="2">B12+C12</f>
        <v>100</v>
      </c>
      <c r="E12" s="78"/>
    </row>
    <row r="13" spans="1:10" ht="23.1" customHeight="1" x14ac:dyDescent="0.25">
      <c r="A13" s="386" t="s">
        <v>61</v>
      </c>
      <c r="B13" s="386"/>
      <c r="C13" s="386"/>
      <c r="D13" s="386"/>
      <c r="E13" s="386"/>
    </row>
    <row r="16" spans="1:10" ht="15.75" thickBot="1" x14ac:dyDescent="0.3">
      <c r="B16" s="387" t="s">
        <v>62</v>
      </c>
      <c r="C16" s="387"/>
      <c r="D16" s="387"/>
      <c r="E16" s="387"/>
      <c r="F16" s="387"/>
      <c r="G16" s="387"/>
      <c r="H16" s="387"/>
      <c r="I16" s="387"/>
    </row>
    <row r="17" spans="2:9" ht="15.75" thickBot="1" x14ac:dyDescent="0.3">
      <c r="B17" s="81" t="s">
        <v>63</v>
      </c>
      <c r="C17" s="82" t="s">
        <v>64</v>
      </c>
      <c r="D17" s="82" t="s">
        <v>65</v>
      </c>
      <c r="E17" s="82" t="s">
        <v>66</v>
      </c>
      <c r="F17" s="82" t="s">
        <v>67</v>
      </c>
      <c r="G17" s="82" t="s">
        <v>68</v>
      </c>
      <c r="H17" s="82" t="s">
        <v>3</v>
      </c>
      <c r="I17" s="82" t="s">
        <v>59</v>
      </c>
    </row>
    <row r="18" spans="2:9" ht="15.75" thickBot="1" x14ac:dyDescent="0.3">
      <c r="B18" s="83" t="s">
        <v>57</v>
      </c>
      <c r="C18" s="84">
        <f>$B$11*C21/100</f>
        <v>3911780.2999999993</v>
      </c>
      <c r="D18" s="84">
        <f t="shared" ref="D18:G18" si="3">$B$11*D21/100</f>
        <v>7587560.5999999987</v>
      </c>
      <c r="E18" s="84">
        <f t="shared" si="3"/>
        <v>8438160.5999999996</v>
      </c>
      <c r="F18" s="84">
        <f t="shared" si="3"/>
        <v>11443839.4</v>
      </c>
      <c r="G18" s="84">
        <f t="shared" si="3"/>
        <v>8618659.1000000015</v>
      </c>
      <c r="H18" s="84">
        <f>SUM(C18:G18)</f>
        <v>40000000</v>
      </c>
      <c r="I18" s="85">
        <v>100</v>
      </c>
    </row>
    <row r="19" spans="2:9" ht="15.75" thickBot="1" x14ac:dyDescent="0.3">
      <c r="B19" s="83" t="s">
        <v>58</v>
      </c>
      <c r="C19" s="84">
        <f>$B$11*C22/100</f>
        <v>0</v>
      </c>
      <c r="D19" s="84">
        <f t="shared" ref="D19:G19" si="4">$B$11*D22/100</f>
        <v>0</v>
      </c>
      <c r="E19" s="84">
        <f t="shared" si="4"/>
        <v>0</v>
      </c>
      <c r="F19" s="84">
        <f t="shared" si="4"/>
        <v>0</v>
      </c>
      <c r="G19" s="84">
        <f t="shared" si="4"/>
        <v>0</v>
      </c>
      <c r="H19" s="84">
        <f>SUM(C19:G19)</f>
        <v>0</v>
      </c>
      <c r="I19" s="85">
        <v>0</v>
      </c>
    </row>
    <row r="20" spans="2:9" ht="15.75" thickBot="1" x14ac:dyDescent="0.3">
      <c r="B20" s="86" t="s">
        <v>3</v>
      </c>
      <c r="C20" s="87">
        <f>C18+C19</f>
        <v>3911780.2999999993</v>
      </c>
      <c r="D20" s="87">
        <f t="shared" ref="D20:G20" si="5">D18+D19</f>
        <v>7587560.5999999987</v>
      </c>
      <c r="E20" s="87">
        <f t="shared" si="5"/>
        <v>8438160.5999999996</v>
      </c>
      <c r="F20" s="87">
        <f t="shared" si="5"/>
        <v>11443839.4</v>
      </c>
      <c r="G20" s="87">
        <f t="shared" si="5"/>
        <v>8618659.1000000015</v>
      </c>
      <c r="H20" s="87">
        <f>H18+H19</f>
        <v>40000000</v>
      </c>
      <c r="I20" s="88">
        <v>100</v>
      </c>
    </row>
    <row r="21" spans="2:9" ht="15.75" thickBot="1" x14ac:dyDescent="0.3">
      <c r="B21" s="86" t="s">
        <v>59</v>
      </c>
      <c r="C21" s="89">
        <f>PEP!C2</f>
        <v>9.7794507499999987</v>
      </c>
      <c r="D21" s="89">
        <f>PEP!E2</f>
        <v>18.968901499999998</v>
      </c>
      <c r="E21" s="89">
        <f>PEP!G2</f>
        <v>21.095401500000001</v>
      </c>
      <c r="F21" s="89">
        <f>PEP!I2</f>
        <v>28.609598500000001</v>
      </c>
      <c r="G21" s="89">
        <f>PEP!K2</f>
        <v>21.546647750000002</v>
      </c>
      <c r="H21" s="88">
        <v>100</v>
      </c>
      <c r="I21" s="88"/>
    </row>
    <row r="22" spans="2:9" x14ac:dyDescent="0.25">
      <c r="B22" s="90"/>
    </row>
    <row r="23" spans="2:9" x14ac:dyDescent="0.25">
      <c r="E23" s="329"/>
      <c r="I23" s="330" t="s">
        <v>106</v>
      </c>
    </row>
  </sheetData>
  <mergeCells count="3">
    <mergeCell ref="A1:E1"/>
    <mergeCell ref="A13:E13"/>
    <mergeCell ref="B16:I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1"/>
  <sheetViews>
    <sheetView zoomScale="70" zoomScaleNormal="70" workbookViewId="0">
      <selection activeCell="F18" sqref="F18"/>
    </sheetView>
  </sheetViews>
  <sheetFormatPr defaultColWidth="9" defaultRowHeight="15" x14ac:dyDescent="0.25"/>
  <cols>
    <col min="1" max="1" width="53.625" style="107" customWidth="1"/>
    <col min="2" max="2" width="10.75" style="62" bestFit="1" customWidth="1"/>
    <col min="3" max="3" width="6.75" style="109" bestFit="1" customWidth="1"/>
    <col min="4" max="4" width="9.875" style="62" bestFit="1" customWidth="1"/>
    <col min="5" max="5" width="6.75" style="109" bestFit="1" customWidth="1"/>
    <col min="6" max="6" width="9.875" style="62" bestFit="1" customWidth="1"/>
    <col min="7" max="7" width="6.75" style="109" bestFit="1" customWidth="1"/>
    <col min="8" max="8" width="8.875" style="62" bestFit="1" customWidth="1"/>
    <col min="9" max="9" width="6.75" style="109" bestFit="1" customWidth="1"/>
    <col min="10" max="10" width="9" style="62"/>
    <col min="11" max="11" width="6.75" style="109" bestFit="1" customWidth="1"/>
    <col min="12" max="12" width="8" style="62" bestFit="1" customWidth="1"/>
    <col min="13" max="16384" width="9" style="62"/>
  </cols>
  <sheetData>
    <row r="1" spans="1:40" ht="15.75" x14ac:dyDescent="0.25">
      <c r="A1" s="390" t="s">
        <v>82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40" ht="15.75" x14ac:dyDescent="0.25">
      <c r="A2" s="91" t="s">
        <v>69</v>
      </c>
      <c r="B2" s="92">
        <f>B4+B12+B16</f>
        <v>40000000</v>
      </c>
      <c r="C2" s="93">
        <f>D2/$B2*100</f>
        <v>9.7794507499999987</v>
      </c>
      <c r="D2" s="92">
        <f>D4+D12+D16</f>
        <v>3911780.3</v>
      </c>
      <c r="E2" s="93">
        <f>F2/$B$2*100</f>
        <v>18.968901499999998</v>
      </c>
      <c r="F2" s="92">
        <f>F4+F12+F16</f>
        <v>7587560.5999999996</v>
      </c>
      <c r="G2" s="93">
        <f>H2/$B$2*100</f>
        <v>21.095401500000001</v>
      </c>
      <c r="H2" s="92">
        <f>H4+H12+H16</f>
        <v>8438160.5999999996</v>
      </c>
      <c r="I2" s="93">
        <f>J2/$B$2*100</f>
        <v>28.609598500000001</v>
      </c>
      <c r="J2" s="92">
        <f>J4+J12+J16</f>
        <v>11443839.4</v>
      </c>
      <c r="K2" s="93">
        <f>L2/$B$2*100</f>
        <v>21.546647750000002</v>
      </c>
      <c r="L2" s="92">
        <f>L4+L12+L16</f>
        <v>8618659.0999999996</v>
      </c>
      <c r="M2" s="94">
        <f>C2+E2+G2+I2+K2</f>
        <v>100</v>
      </c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</row>
    <row r="3" spans="1:40" ht="14.45" customHeight="1" x14ac:dyDescent="0.25">
      <c r="A3" s="388" t="str">
        <f>'Detailed Budget '!C2</f>
        <v xml:space="preserve">Component I. Support for PFM Modernization </v>
      </c>
      <c r="B3" s="95" t="s">
        <v>19</v>
      </c>
      <c r="C3" s="96" t="s">
        <v>59</v>
      </c>
      <c r="D3" s="97" t="s">
        <v>70</v>
      </c>
      <c r="E3" s="97" t="s">
        <v>59</v>
      </c>
      <c r="F3" s="97" t="s">
        <v>71</v>
      </c>
      <c r="G3" s="97" t="s">
        <v>59</v>
      </c>
      <c r="H3" s="97" t="s">
        <v>72</v>
      </c>
      <c r="I3" s="97" t="s">
        <v>59</v>
      </c>
      <c r="J3" s="97" t="s">
        <v>73</v>
      </c>
      <c r="K3" s="97" t="s">
        <v>59</v>
      </c>
      <c r="L3" s="97" t="s">
        <v>74</v>
      </c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</row>
    <row r="4" spans="1:40" x14ac:dyDescent="0.25">
      <c r="A4" s="389"/>
      <c r="B4" s="98">
        <f>SUM(B5:B9)</f>
        <v>8506000</v>
      </c>
      <c r="C4" s="93">
        <f>D4/$B4*100</f>
        <v>10</v>
      </c>
      <c r="D4" s="98">
        <f>SUM(D5:D9)</f>
        <v>850600</v>
      </c>
      <c r="E4" s="93">
        <f>F4/$B4*100</f>
        <v>20</v>
      </c>
      <c r="F4" s="98">
        <f>SUM(F5:F9)</f>
        <v>1701200</v>
      </c>
      <c r="G4" s="93">
        <f>H4/$B4*100</f>
        <v>30</v>
      </c>
      <c r="H4" s="98">
        <f>SUM(H5:H9)</f>
        <v>2551800</v>
      </c>
      <c r="I4" s="93">
        <f>J4/$B4*100</f>
        <v>20</v>
      </c>
      <c r="J4" s="98">
        <f>SUM(J5:J9)</f>
        <v>1701200</v>
      </c>
      <c r="K4" s="93">
        <f>L4/$B4*100</f>
        <v>20</v>
      </c>
      <c r="L4" s="98">
        <f>SUM(L5:L9)</f>
        <v>1701200</v>
      </c>
      <c r="M4" s="105">
        <f>C4+E4+G4+I4+K4</f>
        <v>100</v>
      </c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</row>
    <row r="5" spans="1:40" ht="46.5" customHeight="1" x14ac:dyDescent="0.25">
      <c r="A5" s="99" t="str">
        <f>'Detailed Budget '!A5</f>
        <v>(i) Development and implementation of a new budget classification based on a Chart of Accounts that is GFS-compliant, which will be supported by a training program in budget classification.</v>
      </c>
      <c r="B5" s="100">
        <f>'Detailed Budget '!B5</f>
        <v>875000</v>
      </c>
      <c r="C5" s="96">
        <v>10</v>
      </c>
      <c r="D5" s="100">
        <f>$B5*C5/100</f>
        <v>87500</v>
      </c>
      <c r="E5" s="96">
        <v>20</v>
      </c>
      <c r="F5" s="100">
        <f t="shared" ref="F5:H9" si="0">$B5*E5/100</f>
        <v>175000</v>
      </c>
      <c r="G5" s="96">
        <v>30</v>
      </c>
      <c r="H5" s="100">
        <f t="shared" si="0"/>
        <v>262500</v>
      </c>
      <c r="I5" s="96">
        <v>20</v>
      </c>
      <c r="J5" s="100">
        <f>$B5*I5/100</f>
        <v>175000</v>
      </c>
      <c r="K5" s="96">
        <v>20</v>
      </c>
      <c r="L5" s="100">
        <f>$B5*K5/100</f>
        <v>175000</v>
      </c>
      <c r="M5" s="94"/>
      <c r="N5" s="94"/>
      <c r="O5" s="94">
        <f>C2+E2+G2</f>
        <v>49.843753749999998</v>
      </c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</row>
    <row r="6" spans="1:40" ht="46.5" customHeight="1" x14ac:dyDescent="0.25">
      <c r="A6" s="155" t="str">
        <f>'Detailed Budget '!A7</f>
        <v xml:space="preserve">(ii) Business process reengineering for budget preparation and execution processes. </v>
      </c>
      <c r="B6" s="197">
        <f>'Detailed Budget '!V7</f>
        <v>588000</v>
      </c>
      <c r="C6" s="198">
        <v>10</v>
      </c>
      <c r="D6" s="100">
        <f>$B6*C6/100</f>
        <v>58800</v>
      </c>
      <c r="E6" s="96">
        <v>20</v>
      </c>
      <c r="F6" s="100">
        <f t="shared" ref="F6" si="1">$B6*E6/100</f>
        <v>117600</v>
      </c>
      <c r="G6" s="96">
        <v>30</v>
      </c>
      <c r="H6" s="100">
        <f t="shared" ref="H6" si="2">$B6*G6/100</f>
        <v>176400</v>
      </c>
      <c r="I6" s="96">
        <v>20</v>
      </c>
      <c r="J6" s="100">
        <f>$B6*I6/100</f>
        <v>117600</v>
      </c>
      <c r="K6" s="96">
        <v>20</v>
      </c>
      <c r="L6" s="100">
        <f>$B6*K6/100</f>
        <v>117600</v>
      </c>
      <c r="M6" s="94"/>
      <c r="N6" s="94"/>
      <c r="O6" s="94"/>
      <c r="P6" s="94"/>
      <c r="Q6" s="94">
        <f>I2+K2</f>
        <v>50.156246250000002</v>
      </c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</row>
    <row r="7" spans="1:40" ht="30" x14ac:dyDescent="0.25">
      <c r="A7" s="124" t="str">
        <f>'Detailed Budget '!A8</f>
        <v xml:space="preserve">(iii) Development and implementation of institutional instruments to sustain PFM modernization efforts </v>
      </c>
      <c r="B7" s="100">
        <f>'Detailed Budget '!B8</f>
        <v>6292000</v>
      </c>
      <c r="C7" s="123">
        <v>10</v>
      </c>
      <c r="D7" s="122">
        <f>$B7*C7/100</f>
        <v>629200</v>
      </c>
      <c r="E7" s="123">
        <v>20</v>
      </c>
      <c r="F7" s="122">
        <f>$B7*E7/100</f>
        <v>1258400</v>
      </c>
      <c r="G7" s="123">
        <v>30</v>
      </c>
      <c r="H7" s="122">
        <f>$B7*G7/100</f>
        <v>1887600</v>
      </c>
      <c r="I7" s="123">
        <v>20</v>
      </c>
      <c r="J7" s="122">
        <f>$B7*I7/100</f>
        <v>1258400</v>
      </c>
      <c r="K7" s="123">
        <v>20</v>
      </c>
      <c r="L7" s="122">
        <f>$B7*K7/100</f>
        <v>1258400</v>
      </c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</row>
    <row r="8" spans="1:40" ht="27.95" customHeight="1" x14ac:dyDescent="0.25">
      <c r="A8" s="99" t="str">
        <f>'Detailed Budget '!A16</f>
        <v xml:space="preserve">(iv) Design and implementation of an internal audit framework to improve PFM control, transparency, and reporting. </v>
      </c>
      <c r="B8" s="100">
        <f>'Detailed Budget '!B16</f>
        <v>397500</v>
      </c>
      <c r="C8" s="123">
        <v>10</v>
      </c>
      <c r="D8" s="100">
        <f>$B8*C8/100</f>
        <v>39750</v>
      </c>
      <c r="E8" s="123">
        <v>20</v>
      </c>
      <c r="F8" s="100">
        <f t="shared" si="0"/>
        <v>79500</v>
      </c>
      <c r="G8" s="123">
        <v>30</v>
      </c>
      <c r="H8" s="100">
        <f t="shared" si="0"/>
        <v>119250</v>
      </c>
      <c r="I8" s="123">
        <v>20</v>
      </c>
      <c r="J8" s="100">
        <f>$B8*I8/100</f>
        <v>79500</v>
      </c>
      <c r="K8" s="123">
        <v>20</v>
      </c>
      <c r="L8" s="100">
        <f>$B8*K8/100</f>
        <v>79500</v>
      </c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</row>
    <row r="9" spans="1:40" ht="30.6" customHeight="1" x14ac:dyDescent="0.25">
      <c r="A9" s="155" t="str">
        <f>'Detailed Budget '!A17</f>
        <v>(v) Review of, and preparation of recommendations to strengthen, the PFM legal framework.</v>
      </c>
      <c r="B9" s="100">
        <f>'Detailed Budget '!B17</f>
        <v>353500</v>
      </c>
      <c r="C9" s="123">
        <v>10</v>
      </c>
      <c r="D9" s="100">
        <f t="shared" ref="D9" si="3">$B9*C9/100</f>
        <v>35350</v>
      </c>
      <c r="E9" s="123">
        <v>20</v>
      </c>
      <c r="F9" s="100">
        <f t="shared" si="0"/>
        <v>70700</v>
      </c>
      <c r="G9" s="123">
        <v>30</v>
      </c>
      <c r="H9" s="100">
        <f t="shared" si="0"/>
        <v>106050</v>
      </c>
      <c r="I9" s="123">
        <v>20</v>
      </c>
      <c r="J9" s="100">
        <f t="shared" ref="J9" si="4">$B9*I9/100</f>
        <v>70700</v>
      </c>
      <c r="K9" s="123">
        <v>20</v>
      </c>
      <c r="L9" s="100">
        <f t="shared" ref="L9" si="5">$B9*K9/100</f>
        <v>70700</v>
      </c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</row>
    <row r="10" spans="1:40" x14ac:dyDescent="0.25">
      <c r="A10" s="101"/>
      <c r="B10" s="102"/>
      <c r="C10" s="103"/>
      <c r="D10" s="102"/>
      <c r="E10" s="103"/>
      <c r="F10" s="102"/>
      <c r="G10" s="103"/>
      <c r="H10" s="102"/>
      <c r="I10" s="103"/>
      <c r="J10" s="102"/>
      <c r="K10" s="103"/>
      <c r="L10" s="102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</row>
    <row r="11" spans="1:40" ht="14.45" customHeight="1" x14ac:dyDescent="0.25">
      <c r="A11" s="388" t="str">
        <f>'Detailed Budget '!C22</f>
        <v xml:space="preserve">Component II - Support for IFMIS implementation </v>
      </c>
      <c r="B11" s="95" t="s">
        <v>19</v>
      </c>
      <c r="C11" s="96" t="s">
        <v>59</v>
      </c>
      <c r="D11" s="97" t="s">
        <v>70</v>
      </c>
      <c r="E11" s="97" t="s">
        <v>59</v>
      </c>
      <c r="F11" s="97" t="s">
        <v>71</v>
      </c>
      <c r="G11" s="97" t="s">
        <v>59</v>
      </c>
      <c r="H11" s="97" t="s">
        <v>72</v>
      </c>
      <c r="I11" s="97" t="s">
        <v>59</v>
      </c>
      <c r="J11" s="97" t="s">
        <v>73</v>
      </c>
      <c r="K11" s="97" t="s">
        <v>59</v>
      </c>
      <c r="L11" s="97" t="s">
        <v>74</v>
      </c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</row>
    <row r="12" spans="1:40" x14ac:dyDescent="0.25">
      <c r="A12" s="389"/>
      <c r="B12" s="98">
        <f>SUM(B13:B13)</f>
        <v>28251803</v>
      </c>
      <c r="C12" s="93">
        <f>D12/$B12*100</f>
        <v>10</v>
      </c>
      <c r="D12" s="98">
        <f>SUM(D13:D13)</f>
        <v>2825180.3</v>
      </c>
      <c r="E12" s="93">
        <f>F12/$B12*100</f>
        <v>20</v>
      </c>
      <c r="F12" s="98">
        <f>SUM(F13:F13)</f>
        <v>5650360.5999999996</v>
      </c>
      <c r="G12" s="93">
        <f>H12/$B12*100</f>
        <v>20</v>
      </c>
      <c r="H12" s="98">
        <f>SUM(H13:H13)</f>
        <v>5650360.5999999996</v>
      </c>
      <c r="I12" s="93">
        <f>J12/$B12*100</f>
        <v>30</v>
      </c>
      <c r="J12" s="98">
        <f>SUM(J13:J13)</f>
        <v>8475540.9000000004</v>
      </c>
      <c r="K12" s="93">
        <f>L12/$B12*100</f>
        <v>20</v>
      </c>
      <c r="L12" s="98">
        <f>SUM(L13:L13)</f>
        <v>5650360.5999999996</v>
      </c>
      <c r="M12" s="105">
        <f>C12+E12+G12+I12+K12</f>
        <v>100</v>
      </c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</row>
    <row r="13" spans="1:40" ht="45" x14ac:dyDescent="0.25">
      <c r="A13" s="124" t="str">
        <f>'Detailed Budget '!A23</f>
        <v>(i) Implementation of a commercial, off-the-shelf (COTS) IFMIS solution, including customization, data migration, and integration services</v>
      </c>
      <c r="B13" s="98">
        <f>'Detailed Budget '!B23</f>
        <v>28251803</v>
      </c>
      <c r="C13" s="123">
        <v>10</v>
      </c>
      <c r="D13" s="98">
        <f t="shared" ref="D13" si="6">$B13*C13/100</f>
        <v>2825180.3</v>
      </c>
      <c r="E13" s="123">
        <v>20</v>
      </c>
      <c r="F13" s="98">
        <f t="shared" ref="F13" si="7">$B13*E13/100</f>
        <v>5650360.5999999996</v>
      </c>
      <c r="G13" s="123">
        <v>20</v>
      </c>
      <c r="H13" s="98">
        <f t="shared" ref="H13" si="8">$B13*G13/100</f>
        <v>5650360.5999999996</v>
      </c>
      <c r="I13" s="123">
        <v>30</v>
      </c>
      <c r="J13" s="98">
        <f t="shared" ref="J13" si="9">$B13*I13/100</f>
        <v>8475540.9000000004</v>
      </c>
      <c r="K13" s="123">
        <v>20</v>
      </c>
      <c r="L13" s="98">
        <f t="shared" ref="L13" si="10">$B13*K13/100</f>
        <v>5650360.5999999996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</row>
    <row r="14" spans="1:40" s="106" customFormat="1" ht="14.45" customHeight="1" x14ac:dyDescent="0.25">
      <c r="A14" s="104"/>
      <c r="B14" s="102"/>
      <c r="C14" s="103"/>
      <c r="D14" s="102"/>
      <c r="E14" s="103"/>
      <c r="F14" s="102"/>
      <c r="G14" s="103"/>
      <c r="H14" s="102"/>
      <c r="I14" s="103"/>
      <c r="J14" s="102"/>
      <c r="K14" s="103"/>
      <c r="L14" s="102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</row>
    <row r="15" spans="1:40" s="106" customFormat="1" ht="14.45" customHeight="1" x14ac:dyDescent="0.25">
      <c r="A15" s="388" t="str">
        <f>'Detailed Budget '!C27</f>
        <v>Project Management</v>
      </c>
      <c r="B15" s="95" t="s">
        <v>19</v>
      </c>
      <c r="C15" s="96" t="s">
        <v>59</v>
      </c>
      <c r="D15" s="97" t="s">
        <v>70</v>
      </c>
      <c r="E15" s="97" t="s">
        <v>59</v>
      </c>
      <c r="F15" s="97" t="s">
        <v>71</v>
      </c>
      <c r="G15" s="97" t="s">
        <v>59</v>
      </c>
      <c r="H15" s="97" t="s">
        <v>72</v>
      </c>
      <c r="I15" s="97" t="s">
        <v>59</v>
      </c>
      <c r="J15" s="97" t="s">
        <v>73</v>
      </c>
      <c r="K15" s="97" t="s">
        <v>59</v>
      </c>
      <c r="L15" s="97" t="s">
        <v>74</v>
      </c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</row>
    <row r="16" spans="1:40" s="106" customFormat="1" x14ac:dyDescent="0.25">
      <c r="A16" s="389"/>
      <c r="B16" s="98">
        <f>SUM(B17:B20)</f>
        <v>3242197</v>
      </c>
      <c r="C16" s="93">
        <f>D16/$B16*100</f>
        <v>7.279014816187912</v>
      </c>
      <c r="D16" s="98">
        <f>SUM(D17:D20)</f>
        <v>236000</v>
      </c>
      <c r="E16" s="93">
        <f>F16/$B16*100</f>
        <v>7.279014816187912</v>
      </c>
      <c r="F16" s="98">
        <f>SUM(F17:F20)</f>
        <v>236000</v>
      </c>
      <c r="G16" s="93">
        <f>H16/$B16*100</f>
        <v>7.279014816187912</v>
      </c>
      <c r="H16" s="98">
        <f>SUM(H17:H20)</f>
        <v>236000</v>
      </c>
      <c r="I16" s="93">
        <f>J16/$B16*100</f>
        <v>39.081477775718135</v>
      </c>
      <c r="J16" s="98">
        <f>SUM(J17:J20)</f>
        <v>1267098.5</v>
      </c>
      <c r="K16" s="93">
        <f>L16/$B16*100</f>
        <v>39.081477775718135</v>
      </c>
      <c r="L16" s="98">
        <f>SUM(L17:L20)</f>
        <v>1267098.5</v>
      </c>
      <c r="M16" s="105">
        <f>C16+E16+G16+I16+K16</f>
        <v>100</v>
      </c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</row>
    <row r="17" spans="1:40" x14ac:dyDescent="0.25">
      <c r="A17" s="124" t="s">
        <v>26</v>
      </c>
      <c r="B17" s="98">
        <f>SUM('Detailed Budget '!B28:B32)</f>
        <v>860000</v>
      </c>
      <c r="C17" s="123">
        <v>20</v>
      </c>
      <c r="D17" s="98">
        <f t="shared" ref="D17:D20" si="11">$B17*C17/100</f>
        <v>172000</v>
      </c>
      <c r="E17" s="123">
        <v>20</v>
      </c>
      <c r="F17" s="98">
        <f t="shared" ref="F17:F20" si="12">$B17*E17/100</f>
        <v>172000</v>
      </c>
      <c r="G17" s="123">
        <v>20</v>
      </c>
      <c r="H17" s="98">
        <f t="shared" ref="H17:H20" si="13">$B17*G17/100</f>
        <v>172000</v>
      </c>
      <c r="I17" s="123">
        <v>20</v>
      </c>
      <c r="J17" s="98">
        <f t="shared" ref="J17:J20" si="14">$B17*I17/100</f>
        <v>172000</v>
      </c>
      <c r="K17" s="123">
        <v>20</v>
      </c>
      <c r="L17" s="98">
        <f t="shared" ref="L17:L20" si="15">$B17*K17/100</f>
        <v>172000</v>
      </c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</row>
    <row r="18" spans="1:40" x14ac:dyDescent="0.25">
      <c r="A18" s="124" t="s">
        <v>27</v>
      </c>
      <c r="B18" s="98">
        <f>SUM('Detailed Budget '!B33:B34)</f>
        <v>120000</v>
      </c>
      <c r="C18" s="123">
        <v>20</v>
      </c>
      <c r="D18" s="98">
        <f t="shared" si="11"/>
        <v>24000</v>
      </c>
      <c r="E18" s="123">
        <v>20</v>
      </c>
      <c r="F18" s="98">
        <f t="shared" si="12"/>
        <v>24000</v>
      </c>
      <c r="G18" s="123">
        <v>20</v>
      </c>
      <c r="H18" s="98">
        <f t="shared" si="13"/>
        <v>24000</v>
      </c>
      <c r="I18" s="123">
        <v>20</v>
      </c>
      <c r="J18" s="98">
        <f t="shared" si="14"/>
        <v>24000</v>
      </c>
      <c r="K18" s="123">
        <v>20</v>
      </c>
      <c r="L18" s="98">
        <f t="shared" si="15"/>
        <v>24000</v>
      </c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</row>
    <row r="19" spans="1:40" x14ac:dyDescent="0.25">
      <c r="A19" s="124" t="str">
        <f>'Detailed Budget '!A35</f>
        <v>Auditing</v>
      </c>
      <c r="B19" s="98">
        <f>'Detailed Budget '!B35</f>
        <v>200000</v>
      </c>
      <c r="C19" s="123">
        <v>20</v>
      </c>
      <c r="D19" s="98">
        <f t="shared" si="11"/>
        <v>40000</v>
      </c>
      <c r="E19" s="123">
        <v>20</v>
      </c>
      <c r="F19" s="98">
        <f t="shared" si="12"/>
        <v>40000</v>
      </c>
      <c r="G19" s="123">
        <v>20</v>
      </c>
      <c r="H19" s="98">
        <f t="shared" si="13"/>
        <v>40000</v>
      </c>
      <c r="I19" s="123">
        <v>20</v>
      </c>
      <c r="J19" s="98">
        <f t="shared" si="14"/>
        <v>40000</v>
      </c>
      <c r="K19" s="123">
        <v>20</v>
      </c>
      <c r="L19" s="98">
        <f t="shared" si="15"/>
        <v>40000</v>
      </c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</row>
    <row r="20" spans="1:40" x14ac:dyDescent="0.25">
      <c r="A20" s="124" t="str">
        <f>'Detailed Budget '!A36</f>
        <v>Contingency</v>
      </c>
      <c r="B20" s="98">
        <f>'Detailed Budget '!B36</f>
        <v>2062197</v>
      </c>
      <c r="C20" s="123">
        <v>0</v>
      </c>
      <c r="D20" s="98">
        <f t="shared" si="11"/>
        <v>0</v>
      </c>
      <c r="E20" s="123">
        <v>0</v>
      </c>
      <c r="F20" s="98">
        <f t="shared" si="12"/>
        <v>0</v>
      </c>
      <c r="G20" s="123">
        <v>0</v>
      </c>
      <c r="H20" s="98">
        <f t="shared" si="13"/>
        <v>0</v>
      </c>
      <c r="I20" s="123">
        <v>50</v>
      </c>
      <c r="J20" s="98">
        <f t="shared" si="14"/>
        <v>1031098.5</v>
      </c>
      <c r="K20" s="123">
        <v>50</v>
      </c>
      <c r="L20" s="98">
        <f t="shared" si="15"/>
        <v>1031098.5</v>
      </c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</row>
    <row r="21" spans="1:40" x14ac:dyDescent="0.25">
      <c r="B21" s="94"/>
      <c r="C21" s="108"/>
      <c r="D21" s="94"/>
      <c r="E21" s="108"/>
      <c r="F21" s="94"/>
      <c r="G21" s="108"/>
      <c r="H21" s="94"/>
      <c r="I21" s="108"/>
      <c r="J21" s="94"/>
      <c r="K21" s="108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</row>
  </sheetData>
  <mergeCells count="4">
    <mergeCell ref="A11:A12"/>
    <mergeCell ref="A1:L1"/>
    <mergeCell ref="A3:A4"/>
    <mergeCell ref="A15:A1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opLeftCell="A79" workbookViewId="0">
      <selection activeCell="A83" sqref="A83"/>
    </sheetView>
  </sheetViews>
  <sheetFormatPr defaultRowHeight="15.75" x14ac:dyDescent="0.25"/>
  <cols>
    <col min="1" max="1" width="37.25" customWidth="1"/>
    <col min="2" max="2" width="8.75" customWidth="1"/>
    <col min="3" max="3" width="10.75" hidden="1" customWidth="1"/>
    <col min="4" max="4" width="11" hidden="1" customWidth="1"/>
    <col min="5" max="7" width="10.625" hidden="1" customWidth="1"/>
    <col min="8" max="8" width="11.375" customWidth="1"/>
    <col min="9" max="9" width="11.375" hidden="1" customWidth="1"/>
    <col min="10" max="10" width="11.5" hidden="1" customWidth="1"/>
    <col min="11" max="11" width="10.5" hidden="1" customWidth="1"/>
    <col min="12" max="12" width="11.75" customWidth="1"/>
    <col min="13" max="13" width="11.25" customWidth="1"/>
    <col min="14" max="14" width="9.75" customWidth="1"/>
  </cols>
  <sheetData>
    <row r="1" spans="1:12" ht="30" x14ac:dyDescent="0.25">
      <c r="A1" s="230"/>
      <c r="B1" s="230" t="s">
        <v>127</v>
      </c>
      <c r="C1" s="230">
        <v>2015</v>
      </c>
      <c r="D1" s="230">
        <v>2016</v>
      </c>
      <c r="E1" s="230">
        <v>2017</v>
      </c>
      <c r="F1" s="230">
        <v>2018</v>
      </c>
      <c r="G1" s="230">
        <v>2019</v>
      </c>
      <c r="H1" s="231" t="s">
        <v>128</v>
      </c>
      <c r="I1" s="232" t="s">
        <v>129</v>
      </c>
      <c r="J1" s="231" t="s">
        <v>130</v>
      </c>
      <c r="K1" s="232" t="s">
        <v>129</v>
      </c>
      <c r="L1" s="231" t="s">
        <v>131</v>
      </c>
    </row>
    <row r="2" spans="1:12" ht="18.75" x14ac:dyDescent="0.3">
      <c r="A2" s="233" t="s">
        <v>132</v>
      </c>
      <c r="B2" s="233"/>
      <c r="H2" s="234">
        <f>H6+H22+H81</f>
        <v>25466608</v>
      </c>
      <c r="I2" s="234">
        <f>+I4+I81+I107</f>
        <v>4975867</v>
      </c>
      <c r="J2" s="234">
        <f>+J4+J81+J107</f>
        <v>34849867</v>
      </c>
      <c r="K2" s="234">
        <f>+K4+K81+K107</f>
        <v>9616000.0000000037</v>
      </c>
      <c r="L2" s="234">
        <f>L6+L22+L81</f>
        <v>37929802.799999997</v>
      </c>
    </row>
    <row r="3" spans="1:12" ht="18.75" x14ac:dyDescent="0.3">
      <c r="A3" s="235"/>
      <c r="B3" s="235"/>
      <c r="C3" s="236"/>
      <c r="D3" s="236"/>
      <c r="E3" s="236"/>
      <c r="F3" s="236"/>
      <c r="G3" s="236"/>
      <c r="H3" s="237"/>
      <c r="I3" s="237"/>
      <c r="J3" s="237"/>
      <c r="K3" s="237"/>
      <c r="L3" s="237"/>
    </row>
    <row r="4" spans="1:12" ht="18.75" x14ac:dyDescent="0.3">
      <c r="A4" s="239" t="s">
        <v>134</v>
      </c>
      <c r="B4" s="239"/>
      <c r="C4" s="240"/>
      <c r="H4" s="241"/>
      <c r="I4" s="241">
        <f>+I6+I24+I30+I39+I59+I65</f>
        <v>2714200</v>
      </c>
      <c r="J4" s="241">
        <f>+J6+J24+J30+J39+J59+J65</f>
        <v>6414000</v>
      </c>
      <c r="K4" s="241">
        <f>+K6+K24+K30+K39+K59+K65</f>
        <v>4538200</v>
      </c>
      <c r="L4" s="241"/>
    </row>
    <row r="5" spans="1:12" ht="18.75" x14ac:dyDescent="0.3">
      <c r="A5" s="239"/>
      <c r="B5" s="239"/>
      <c r="C5" s="240"/>
      <c r="H5" s="241"/>
      <c r="I5" s="241"/>
      <c r="J5" s="241"/>
      <c r="K5" s="241"/>
      <c r="L5" s="241"/>
    </row>
    <row r="6" spans="1:12" x14ac:dyDescent="0.25">
      <c r="A6" s="242" t="s">
        <v>135</v>
      </c>
      <c r="B6" s="243"/>
      <c r="C6" s="244"/>
      <c r="D6" s="244"/>
      <c r="E6" s="244"/>
      <c r="F6" s="244"/>
      <c r="G6" s="244"/>
      <c r="H6" s="241">
        <f>+SUM(H7:H20)</f>
        <v>645000</v>
      </c>
      <c r="I6" s="241">
        <f t="shared" ref="I6:L6" si="0">+SUM(I7:I20)</f>
        <v>895000</v>
      </c>
      <c r="J6" s="241">
        <f t="shared" si="0"/>
        <v>1390000</v>
      </c>
      <c r="K6" s="241">
        <f t="shared" si="0"/>
        <v>535000</v>
      </c>
      <c r="L6" s="241">
        <f t="shared" si="0"/>
        <v>1180000</v>
      </c>
    </row>
    <row r="7" spans="1:12" x14ac:dyDescent="0.25">
      <c r="A7" s="310" t="s">
        <v>136</v>
      </c>
      <c r="B7" s="311" t="s">
        <v>137</v>
      </c>
      <c r="C7" s="312">
        <v>0</v>
      </c>
      <c r="D7" s="313">
        <v>0</v>
      </c>
      <c r="E7" s="313">
        <v>0</v>
      </c>
      <c r="F7" s="313">
        <v>0</v>
      </c>
      <c r="G7" s="313"/>
      <c r="H7" s="313">
        <f>+SUM(C7:F7)</f>
        <v>0</v>
      </c>
      <c r="I7" s="313">
        <f t="shared" ref="I7:I78" si="1">+J7-H7</f>
        <v>360000</v>
      </c>
      <c r="J7" s="309">
        <v>360000</v>
      </c>
      <c r="K7" s="313">
        <f t="shared" ref="K7:K78" si="2">+L7-H7</f>
        <v>0</v>
      </c>
      <c r="L7" s="309">
        <v>0</v>
      </c>
    </row>
    <row r="8" spans="1:12" x14ac:dyDescent="0.25">
      <c r="A8" s="314" t="s">
        <v>138</v>
      </c>
      <c r="B8" s="310"/>
      <c r="C8" s="312"/>
      <c r="D8" s="313"/>
      <c r="E8" s="313"/>
      <c r="F8" s="313"/>
      <c r="G8" s="313"/>
      <c r="H8" s="313"/>
      <c r="I8" s="313"/>
      <c r="J8" s="309"/>
      <c r="K8" s="313">
        <f t="shared" si="2"/>
        <v>0</v>
      </c>
      <c r="L8" s="309">
        <v>0</v>
      </c>
    </row>
    <row r="9" spans="1:12" x14ac:dyDescent="0.25">
      <c r="A9" s="314" t="s">
        <v>139</v>
      </c>
      <c r="B9" s="310"/>
      <c r="C9" s="312"/>
      <c r="D9" s="313"/>
      <c r="E9" s="313"/>
      <c r="F9" s="313"/>
      <c r="G9" s="313"/>
      <c r="H9" s="313"/>
      <c r="I9" s="313" t="s">
        <v>106</v>
      </c>
      <c r="J9" s="309"/>
      <c r="K9" s="313">
        <f t="shared" si="2"/>
        <v>0</v>
      </c>
      <c r="L9" s="309">
        <v>0</v>
      </c>
    </row>
    <row r="10" spans="1:12" x14ac:dyDescent="0.25">
      <c r="A10" s="249" t="s">
        <v>26</v>
      </c>
      <c r="B10" s="245"/>
      <c r="C10" s="247"/>
      <c r="D10" s="244"/>
      <c r="E10" s="244"/>
      <c r="F10" s="244"/>
      <c r="G10" s="244"/>
      <c r="H10" s="244"/>
      <c r="I10" s="244"/>
      <c r="J10" s="248"/>
      <c r="K10" s="244"/>
      <c r="L10" s="248"/>
    </row>
    <row r="11" spans="1:12" x14ac:dyDescent="0.25">
      <c r="A11" s="250" t="s">
        <v>140</v>
      </c>
      <c r="B11" s="246" t="s">
        <v>137</v>
      </c>
      <c r="C11" s="244">
        <v>15000</v>
      </c>
      <c r="D11" s="244">
        <v>30000</v>
      </c>
      <c r="E11" s="244">
        <v>30000</v>
      </c>
      <c r="F11" s="244">
        <v>30000</v>
      </c>
      <c r="G11" s="244" t="s">
        <v>106</v>
      </c>
      <c r="H11" s="244">
        <f t="shared" ref="H11:H60" si="3">+SUM(C11:F11)</f>
        <v>105000</v>
      </c>
      <c r="I11" s="244">
        <f t="shared" si="1"/>
        <v>15000</v>
      </c>
      <c r="J11" s="248">
        <v>120000</v>
      </c>
      <c r="K11" s="244">
        <f t="shared" si="2"/>
        <v>15000</v>
      </c>
      <c r="L11" s="248">
        <f>+J11</f>
        <v>120000</v>
      </c>
    </row>
    <row r="12" spans="1:12" x14ac:dyDescent="0.25">
      <c r="A12" s="245" t="s">
        <v>141</v>
      </c>
      <c r="B12" s="246" t="s">
        <v>137</v>
      </c>
      <c r="C12" s="247">
        <v>30000</v>
      </c>
      <c r="D12" s="244">
        <v>60000</v>
      </c>
      <c r="E12" s="244">
        <v>60000</v>
      </c>
      <c r="F12" s="244">
        <v>20000</v>
      </c>
      <c r="G12" s="244">
        <v>0</v>
      </c>
      <c r="H12" s="244">
        <f t="shared" si="3"/>
        <v>170000</v>
      </c>
      <c r="I12" s="244">
        <f t="shared" si="1"/>
        <v>100000</v>
      </c>
      <c r="J12" s="244">
        <v>270000</v>
      </c>
      <c r="K12" s="244">
        <f t="shared" si="2"/>
        <v>100000</v>
      </c>
      <c r="L12" s="248">
        <f t="shared" ref="L12:L18" si="4">+J12</f>
        <v>270000</v>
      </c>
    </row>
    <row r="13" spans="1:12" x14ac:dyDescent="0.25">
      <c r="A13" s="250" t="s">
        <v>142</v>
      </c>
      <c r="B13" s="246" t="s">
        <v>137</v>
      </c>
      <c r="C13" s="247">
        <v>30000</v>
      </c>
      <c r="D13" s="244">
        <v>60000</v>
      </c>
      <c r="E13" s="244">
        <v>60000</v>
      </c>
      <c r="F13" s="244">
        <v>20000</v>
      </c>
      <c r="G13" s="244" t="s">
        <v>106</v>
      </c>
      <c r="H13" s="244">
        <f t="shared" si="3"/>
        <v>170000</v>
      </c>
      <c r="I13" s="244">
        <f t="shared" si="1"/>
        <v>100000</v>
      </c>
      <c r="J13" s="248">
        <v>270000</v>
      </c>
      <c r="K13" s="244">
        <f t="shared" si="2"/>
        <v>100000</v>
      </c>
      <c r="L13" s="248">
        <f t="shared" si="4"/>
        <v>270000</v>
      </c>
    </row>
    <row r="14" spans="1:12" x14ac:dyDescent="0.25">
      <c r="A14" s="315" t="s">
        <v>229</v>
      </c>
      <c r="B14" s="316" t="s">
        <v>137</v>
      </c>
      <c r="C14" s="317"/>
      <c r="D14" s="318"/>
      <c r="E14" s="318"/>
      <c r="F14" s="318"/>
      <c r="G14" s="318"/>
      <c r="H14" s="318">
        <v>150000</v>
      </c>
      <c r="I14" s="318"/>
      <c r="J14" s="319"/>
      <c r="K14" s="318"/>
      <c r="L14" s="319">
        <v>150000</v>
      </c>
    </row>
    <row r="15" spans="1:12" x14ac:dyDescent="0.25">
      <c r="A15" s="249" t="s">
        <v>27</v>
      </c>
      <c r="B15" s="245"/>
      <c r="C15" s="247"/>
      <c r="D15" s="244"/>
      <c r="E15" s="244"/>
      <c r="F15" s="244"/>
      <c r="G15" s="244"/>
      <c r="H15" s="244"/>
      <c r="I15" s="244"/>
      <c r="J15" s="248"/>
      <c r="K15" s="244"/>
      <c r="L15" s="248"/>
    </row>
    <row r="16" spans="1:12" x14ac:dyDescent="0.25">
      <c r="A16" s="250" t="s">
        <v>143</v>
      </c>
      <c r="B16" s="250"/>
      <c r="C16" s="247">
        <v>0</v>
      </c>
      <c r="D16" s="244">
        <v>0</v>
      </c>
      <c r="E16" s="244">
        <v>0</v>
      </c>
      <c r="F16" s="244">
        <v>0</v>
      </c>
      <c r="G16" s="244"/>
      <c r="H16" s="244">
        <f t="shared" si="3"/>
        <v>0</v>
      </c>
      <c r="I16" s="244">
        <f t="shared" si="1"/>
        <v>50000</v>
      </c>
      <c r="J16" s="248">
        <v>50000</v>
      </c>
      <c r="K16" s="244">
        <f t="shared" si="2"/>
        <v>50000</v>
      </c>
      <c r="L16" s="248">
        <f t="shared" si="4"/>
        <v>50000</v>
      </c>
    </row>
    <row r="17" spans="1:12" x14ac:dyDescent="0.25">
      <c r="A17" s="250" t="s">
        <v>144</v>
      </c>
      <c r="B17" s="250"/>
      <c r="C17" s="247">
        <v>0</v>
      </c>
      <c r="D17" s="244">
        <v>0</v>
      </c>
      <c r="E17" s="244">
        <v>0</v>
      </c>
      <c r="F17" s="244">
        <v>0</v>
      </c>
      <c r="G17" s="244"/>
      <c r="H17" s="244">
        <f t="shared" si="3"/>
        <v>0</v>
      </c>
      <c r="I17" s="244">
        <f t="shared" si="1"/>
        <v>60000</v>
      </c>
      <c r="J17" s="248">
        <v>60000</v>
      </c>
      <c r="K17" s="244">
        <f t="shared" si="2"/>
        <v>60000</v>
      </c>
      <c r="L17" s="248">
        <f t="shared" si="4"/>
        <v>60000</v>
      </c>
    </row>
    <row r="18" spans="1:12" x14ac:dyDescent="0.25">
      <c r="A18" s="250" t="s">
        <v>145</v>
      </c>
      <c r="B18" s="250"/>
      <c r="C18" s="247">
        <v>0</v>
      </c>
      <c r="D18" s="244">
        <v>0</v>
      </c>
      <c r="E18" s="244">
        <v>0</v>
      </c>
      <c r="F18" s="244">
        <v>0</v>
      </c>
      <c r="G18" s="244"/>
      <c r="H18" s="244">
        <f t="shared" si="3"/>
        <v>0</v>
      </c>
      <c r="I18" s="244">
        <f t="shared" si="1"/>
        <v>60000</v>
      </c>
      <c r="J18" s="248">
        <v>60000</v>
      </c>
      <c r="K18" s="244">
        <f t="shared" si="2"/>
        <v>60000</v>
      </c>
      <c r="L18" s="248">
        <f t="shared" si="4"/>
        <v>60000</v>
      </c>
    </row>
    <row r="19" spans="1:12" x14ac:dyDescent="0.25">
      <c r="A19" s="249" t="s">
        <v>146</v>
      </c>
      <c r="B19" s="250"/>
      <c r="C19" s="247"/>
      <c r="D19" s="244"/>
      <c r="E19" s="244"/>
      <c r="F19" s="244"/>
      <c r="G19" s="244"/>
      <c r="H19" s="244"/>
      <c r="I19" s="244"/>
      <c r="J19" s="248"/>
      <c r="K19" s="244"/>
      <c r="L19" s="248"/>
    </row>
    <row r="20" spans="1:12" x14ac:dyDescent="0.25">
      <c r="A20" s="251" t="s">
        <v>147</v>
      </c>
      <c r="B20" s="251"/>
      <c r="C20" s="252">
        <v>0</v>
      </c>
      <c r="D20" s="252">
        <v>0</v>
      </c>
      <c r="E20" s="252">
        <v>0</v>
      </c>
      <c r="F20" s="252">
        <v>0</v>
      </c>
      <c r="G20" s="252">
        <v>50000</v>
      </c>
      <c r="H20" s="244">
        <f>+SUM(C20:G20)</f>
        <v>50000</v>
      </c>
      <c r="I20" s="244">
        <f>+J20-H20</f>
        <v>150000</v>
      </c>
      <c r="J20" s="252">
        <v>200000</v>
      </c>
      <c r="K20" s="244">
        <f>+L20-H20</f>
        <v>150000</v>
      </c>
      <c r="L20" s="244">
        <f>+J20</f>
        <v>200000</v>
      </c>
    </row>
    <row r="21" spans="1:12" x14ac:dyDescent="0.25">
      <c r="A21" s="250"/>
      <c r="B21" s="250"/>
      <c r="C21" s="247"/>
      <c r="D21" s="244"/>
      <c r="E21" s="244"/>
      <c r="F21" s="244"/>
      <c r="G21" s="244"/>
      <c r="H21" s="244"/>
      <c r="I21" s="244"/>
      <c r="J21" s="248"/>
      <c r="K21" s="244"/>
      <c r="L21" s="248"/>
    </row>
    <row r="22" spans="1:12" ht="21" x14ac:dyDescent="0.35">
      <c r="A22" s="238" t="s">
        <v>133</v>
      </c>
      <c r="B22" s="233"/>
      <c r="H22" s="234"/>
      <c r="I22" s="234"/>
      <c r="J22" s="234"/>
      <c r="K22" s="234"/>
      <c r="L22" s="234">
        <f>L24+L30+L39+L59+L65</f>
        <v>7208000</v>
      </c>
    </row>
    <row r="23" spans="1:12" x14ac:dyDescent="0.25">
      <c r="A23" s="250"/>
      <c r="B23" s="250"/>
      <c r="C23" s="247"/>
      <c r="D23" s="244"/>
      <c r="E23" s="244"/>
      <c r="F23" s="244"/>
      <c r="G23" s="244"/>
      <c r="H23" s="244"/>
      <c r="I23" s="244"/>
      <c r="J23" s="248"/>
      <c r="K23" s="244"/>
      <c r="L23" s="248"/>
    </row>
    <row r="24" spans="1:12" x14ac:dyDescent="0.25">
      <c r="A24" s="253" t="s">
        <v>148</v>
      </c>
      <c r="B24" s="254"/>
      <c r="C24" s="244"/>
      <c r="D24" s="244"/>
      <c r="E24" s="244"/>
      <c r="F24" s="244"/>
      <c r="G24" s="244"/>
      <c r="H24" s="241">
        <f>+H25</f>
        <v>560000</v>
      </c>
      <c r="I24" s="241">
        <f t="shared" ref="I24:L24" si="5">+I25</f>
        <v>28000</v>
      </c>
      <c r="J24" s="241">
        <f t="shared" si="5"/>
        <v>588000</v>
      </c>
      <c r="K24" s="241">
        <f t="shared" si="5"/>
        <v>28000</v>
      </c>
      <c r="L24" s="241">
        <f t="shared" si="5"/>
        <v>588000</v>
      </c>
    </row>
    <row r="25" spans="1:12" x14ac:dyDescent="0.25">
      <c r="A25" s="250" t="s">
        <v>149</v>
      </c>
      <c r="B25" s="255" t="s">
        <v>150</v>
      </c>
      <c r="C25" s="244">
        <v>126000</v>
      </c>
      <c r="D25" s="244">
        <v>168000</v>
      </c>
      <c r="E25" s="244">
        <v>168000</v>
      </c>
      <c r="F25" s="244">
        <v>98000</v>
      </c>
      <c r="G25" s="244">
        <v>0</v>
      </c>
      <c r="H25" s="244">
        <f t="shared" si="3"/>
        <v>560000</v>
      </c>
      <c r="I25" s="244">
        <f t="shared" si="1"/>
        <v>28000</v>
      </c>
      <c r="J25" s="244">
        <v>588000</v>
      </c>
      <c r="K25" s="244">
        <f t="shared" si="2"/>
        <v>28000</v>
      </c>
      <c r="L25" s="244">
        <f>+J25</f>
        <v>588000</v>
      </c>
    </row>
    <row r="26" spans="1:12" x14ac:dyDescent="0.25">
      <c r="A26" s="250" t="s">
        <v>151</v>
      </c>
      <c r="B26" s="255"/>
      <c r="C26" s="244"/>
      <c r="D26" s="244"/>
      <c r="E26" s="244"/>
      <c r="F26" s="244"/>
      <c r="G26" s="244"/>
      <c r="H26" s="244"/>
      <c r="I26" s="244">
        <f t="shared" si="1"/>
        <v>0</v>
      </c>
      <c r="J26" s="244"/>
      <c r="K26" s="244">
        <f t="shared" si="2"/>
        <v>0</v>
      </c>
      <c r="L26" s="248">
        <v>0</v>
      </c>
    </row>
    <row r="27" spans="1:12" x14ac:dyDescent="0.25">
      <c r="A27" s="250" t="s">
        <v>152</v>
      </c>
      <c r="B27" s="255"/>
      <c r="C27" s="244"/>
      <c r="D27" s="244"/>
      <c r="E27" s="244"/>
      <c r="F27" s="244"/>
      <c r="G27" s="244"/>
      <c r="H27" s="244"/>
      <c r="I27" s="244">
        <f t="shared" si="1"/>
        <v>0</v>
      </c>
      <c r="J27" s="244"/>
      <c r="K27" s="244">
        <f t="shared" si="2"/>
        <v>0</v>
      </c>
      <c r="L27" s="248">
        <v>0</v>
      </c>
    </row>
    <row r="28" spans="1:12" x14ac:dyDescent="0.25">
      <c r="A28" s="250"/>
      <c r="B28" s="255"/>
      <c r="C28" s="244"/>
      <c r="D28" s="244"/>
      <c r="E28" s="244"/>
      <c r="F28" s="244"/>
      <c r="G28" s="244"/>
      <c r="H28" s="244"/>
      <c r="I28" s="244"/>
      <c r="J28" s="244"/>
      <c r="K28" s="244"/>
      <c r="L28" s="248"/>
    </row>
    <row r="29" spans="1:12" x14ac:dyDescent="0.25">
      <c r="A29" s="250"/>
      <c r="B29" s="255"/>
      <c r="C29" s="244"/>
      <c r="D29" s="244"/>
      <c r="E29" s="244"/>
      <c r="F29" s="244"/>
      <c r="G29" s="244"/>
      <c r="H29" s="244"/>
      <c r="I29" s="244"/>
      <c r="J29" s="244"/>
      <c r="K29" s="244"/>
      <c r="L29" s="248"/>
    </row>
    <row r="30" spans="1:12" ht="31.5" x14ac:dyDescent="0.25">
      <c r="A30" s="253" t="s">
        <v>153</v>
      </c>
      <c r="B30" s="255"/>
      <c r="C30" s="244"/>
      <c r="D30" s="244"/>
      <c r="E30" s="244"/>
      <c r="F30" s="244"/>
      <c r="G30" s="244"/>
      <c r="H30" s="241">
        <f>+SUM(H31:H37)</f>
        <v>714000</v>
      </c>
      <c r="I30" s="241">
        <f t="shared" ref="I30:L30" si="6">+SUM(I31:I37)</f>
        <v>42000</v>
      </c>
      <c r="J30" s="241">
        <f t="shared" si="6"/>
        <v>756000</v>
      </c>
      <c r="K30" s="241">
        <f t="shared" si="6"/>
        <v>161000</v>
      </c>
      <c r="L30" s="241">
        <f t="shared" si="6"/>
        <v>875000</v>
      </c>
    </row>
    <row r="31" spans="1:12" ht="31.5" x14ac:dyDescent="0.25">
      <c r="A31" s="250" t="s">
        <v>154</v>
      </c>
      <c r="B31" s="255" t="s">
        <v>155</v>
      </c>
      <c r="C31" s="244">
        <v>126000</v>
      </c>
      <c r="D31" s="244">
        <v>168000</v>
      </c>
      <c r="E31" s="244">
        <v>84000</v>
      </c>
      <c r="F31" s="244">
        <v>0</v>
      </c>
      <c r="G31" s="244">
        <v>0</v>
      </c>
      <c r="H31" s="244">
        <f t="shared" si="3"/>
        <v>378000</v>
      </c>
      <c r="I31" s="244">
        <f t="shared" si="1"/>
        <v>42000</v>
      </c>
      <c r="J31" s="244">
        <v>420000</v>
      </c>
      <c r="K31" s="244">
        <f t="shared" si="2"/>
        <v>42000</v>
      </c>
      <c r="L31" s="244">
        <f>+J31</f>
        <v>420000</v>
      </c>
    </row>
    <row r="32" spans="1:12" x14ac:dyDescent="0.25">
      <c r="A32" s="249" t="s">
        <v>138</v>
      </c>
      <c r="B32" s="255"/>
      <c r="C32" s="244"/>
      <c r="D32" s="244"/>
      <c r="E32" s="244"/>
      <c r="F32" s="244"/>
      <c r="G32" s="244"/>
      <c r="H32" s="244"/>
      <c r="I32" s="244">
        <f t="shared" si="1"/>
        <v>0</v>
      </c>
      <c r="J32" s="244"/>
      <c r="K32" s="244">
        <f t="shared" si="2"/>
        <v>8000</v>
      </c>
      <c r="L32" s="248">
        <f>(4000*2)</f>
        <v>8000</v>
      </c>
    </row>
    <row r="33" spans="1:12" x14ac:dyDescent="0.25">
      <c r="A33" s="249" t="s">
        <v>139</v>
      </c>
      <c r="B33" s="255"/>
      <c r="C33" s="244"/>
      <c r="D33" s="244"/>
      <c r="E33" s="244"/>
      <c r="F33" s="244"/>
      <c r="G33" s="244"/>
      <c r="H33" s="244"/>
      <c r="I33" s="244">
        <f t="shared" si="1"/>
        <v>0</v>
      </c>
      <c r="J33" s="244"/>
      <c r="K33" s="244">
        <f t="shared" si="2"/>
        <v>49500</v>
      </c>
      <c r="L33" s="248">
        <f>(250*90)+(300*90)</f>
        <v>49500</v>
      </c>
    </row>
    <row r="34" spans="1:12" x14ac:dyDescent="0.25">
      <c r="A34" s="249"/>
      <c r="B34" s="255"/>
      <c r="C34" s="244"/>
      <c r="D34" s="244"/>
      <c r="E34" s="244"/>
      <c r="F34" s="244"/>
      <c r="G34" s="244"/>
      <c r="H34" s="244"/>
      <c r="I34" s="244"/>
      <c r="J34" s="244"/>
      <c r="K34" s="244"/>
      <c r="L34" s="248"/>
    </row>
    <row r="35" spans="1:12" ht="31.5" x14ac:dyDescent="0.25">
      <c r="A35" s="250" t="s">
        <v>156</v>
      </c>
      <c r="B35" s="255" t="s">
        <v>157</v>
      </c>
      <c r="C35" s="244">
        <v>126000</v>
      </c>
      <c r="D35" s="244">
        <v>168000</v>
      </c>
      <c r="E35" s="244">
        <v>42000</v>
      </c>
      <c r="F35" s="244">
        <v>0</v>
      </c>
      <c r="G35" s="244">
        <v>0</v>
      </c>
      <c r="H35" s="244">
        <f t="shared" si="3"/>
        <v>336000</v>
      </c>
      <c r="I35" s="244">
        <f t="shared" si="1"/>
        <v>0</v>
      </c>
      <c r="J35" s="244">
        <v>336000</v>
      </c>
      <c r="K35" s="244">
        <f t="shared" si="2"/>
        <v>0</v>
      </c>
      <c r="L35" s="244">
        <f>+J35</f>
        <v>336000</v>
      </c>
    </row>
    <row r="36" spans="1:12" x14ac:dyDescent="0.25">
      <c r="A36" s="249" t="s">
        <v>158</v>
      </c>
      <c r="B36" s="255"/>
      <c r="C36" s="244"/>
      <c r="D36" s="244"/>
      <c r="E36" s="244"/>
      <c r="F36" s="244"/>
      <c r="G36" s="244"/>
      <c r="H36" s="244"/>
      <c r="I36" s="244">
        <f t="shared" si="1"/>
        <v>0</v>
      </c>
      <c r="J36" s="244"/>
      <c r="K36" s="244">
        <f t="shared" si="2"/>
        <v>12000</v>
      </c>
      <c r="L36" s="248">
        <f>(4000*3)</f>
        <v>12000</v>
      </c>
    </row>
    <row r="37" spans="1:12" x14ac:dyDescent="0.25">
      <c r="A37" s="249" t="s">
        <v>159</v>
      </c>
      <c r="B37" s="255"/>
      <c r="C37" s="244"/>
      <c r="D37" s="244"/>
      <c r="E37" s="244"/>
      <c r="F37" s="244"/>
      <c r="G37" s="244"/>
      <c r="H37" s="244"/>
      <c r="I37" s="244">
        <f t="shared" si="1"/>
        <v>0</v>
      </c>
      <c r="J37" s="244"/>
      <c r="K37" s="244">
        <f t="shared" si="2"/>
        <v>49500</v>
      </c>
      <c r="L37" s="248">
        <f>(250*90)+(300*90)</f>
        <v>49500</v>
      </c>
    </row>
    <row r="38" spans="1:12" x14ac:dyDescent="0.25">
      <c r="A38" s="249"/>
      <c r="B38" s="255"/>
      <c r="C38" s="244"/>
      <c r="D38" s="244"/>
      <c r="E38" s="244"/>
      <c r="F38" s="244"/>
      <c r="G38" s="244"/>
      <c r="H38" s="244"/>
      <c r="I38" s="244"/>
      <c r="J38" s="244"/>
      <c r="K38" s="244"/>
      <c r="L38" s="248"/>
    </row>
    <row r="39" spans="1:12" ht="31.5" x14ac:dyDescent="0.25">
      <c r="A39" s="253" t="s">
        <v>160</v>
      </c>
      <c r="B39" s="256"/>
      <c r="C39" s="241"/>
      <c r="D39" s="241"/>
      <c r="E39" s="241"/>
      <c r="F39" s="241"/>
      <c r="G39" s="241"/>
      <c r="H39" s="241">
        <f>+SUM(H40:H44)+H46+H47+H48+H50+H53+H54+H55+H57</f>
        <v>1762800</v>
      </c>
      <c r="I39" s="241">
        <f t="shared" ref="I39:L39" si="7">+SUM(I40:I44)+I46+I47+I48+I50+I53+I54+I55+I57</f>
        <v>1281200</v>
      </c>
      <c r="J39" s="241">
        <f t="shared" si="7"/>
        <v>3044000</v>
      </c>
      <c r="K39" s="241">
        <f t="shared" si="7"/>
        <v>3231200</v>
      </c>
      <c r="L39" s="241">
        <f t="shared" si="7"/>
        <v>4994000</v>
      </c>
    </row>
    <row r="40" spans="1:12" ht="31.5" x14ac:dyDescent="0.25">
      <c r="A40" s="254" t="s">
        <v>161</v>
      </c>
      <c r="B40" s="255" t="s">
        <v>157</v>
      </c>
      <c r="C40" s="244">
        <f>126000*3</f>
        <v>378000</v>
      </c>
      <c r="D40" s="244">
        <f>126000*3</f>
        <v>378000</v>
      </c>
      <c r="E40" s="244">
        <f>42000*3</f>
        <v>126000</v>
      </c>
      <c r="F40" s="244">
        <v>0</v>
      </c>
      <c r="G40" s="244">
        <v>0</v>
      </c>
      <c r="H40" s="244">
        <f t="shared" si="3"/>
        <v>882000</v>
      </c>
      <c r="I40" s="244">
        <f t="shared" si="1"/>
        <v>118000</v>
      </c>
      <c r="J40" s="244">
        <v>1000000</v>
      </c>
      <c r="K40" s="244">
        <f t="shared" si="2"/>
        <v>118000</v>
      </c>
      <c r="L40" s="244">
        <f>+J40</f>
        <v>1000000</v>
      </c>
    </row>
    <row r="41" spans="1:12" x14ac:dyDescent="0.25">
      <c r="A41" s="249" t="s">
        <v>158</v>
      </c>
      <c r="B41" s="255"/>
      <c r="C41" s="244"/>
      <c r="D41" s="244"/>
      <c r="E41" s="244"/>
      <c r="F41" s="244"/>
      <c r="G41" s="244"/>
      <c r="H41" s="244"/>
      <c r="I41" s="244">
        <f t="shared" si="1"/>
        <v>0</v>
      </c>
      <c r="J41" s="244"/>
      <c r="K41" s="244">
        <f t="shared" si="2"/>
        <v>36000</v>
      </c>
      <c r="L41" s="248">
        <f>(4000*3*3)</f>
        <v>36000</v>
      </c>
    </row>
    <row r="42" spans="1:12" x14ac:dyDescent="0.25">
      <c r="A42" s="249" t="s">
        <v>159</v>
      </c>
      <c r="B42" s="255"/>
      <c r="C42" s="244"/>
      <c r="D42" s="244"/>
      <c r="E42" s="244"/>
      <c r="F42" s="244"/>
      <c r="G42" s="244"/>
      <c r="H42" s="244"/>
      <c r="I42" s="244">
        <f t="shared" si="1"/>
        <v>0</v>
      </c>
      <c r="J42" s="244"/>
      <c r="K42" s="244">
        <f t="shared" si="2"/>
        <v>148500</v>
      </c>
      <c r="L42" s="248">
        <f>((250*90)+(300*90))*3</f>
        <v>148500</v>
      </c>
    </row>
    <row r="43" spans="1:12" ht="31.5" x14ac:dyDescent="0.25">
      <c r="A43" s="250" t="s">
        <v>162</v>
      </c>
      <c r="B43" s="255" t="s">
        <v>157</v>
      </c>
      <c r="C43" s="244">
        <v>0</v>
      </c>
      <c r="D43" s="244">
        <v>0</v>
      </c>
      <c r="E43" s="244">
        <v>0</v>
      </c>
      <c r="F43" s="244">
        <v>0</v>
      </c>
      <c r="G43" s="244">
        <v>0</v>
      </c>
      <c r="H43" s="244">
        <f t="shared" si="3"/>
        <v>0</v>
      </c>
      <c r="I43" s="244">
        <f t="shared" si="1"/>
        <v>0</v>
      </c>
      <c r="J43" s="244">
        <v>0</v>
      </c>
      <c r="K43" s="244">
        <f t="shared" si="2"/>
        <v>0</v>
      </c>
      <c r="L43" s="248">
        <v>0</v>
      </c>
    </row>
    <row r="44" spans="1:12" ht="31.5" x14ac:dyDescent="0.25">
      <c r="A44" s="250" t="s">
        <v>162</v>
      </c>
      <c r="B44" s="255" t="s">
        <v>157</v>
      </c>
      <c r="C44" s="244">
        <v>0</v>
      </c>
      <c r="D44" s="244">
        <v>0</v>
      </c>
      <c r="E44" s="244">
        <v>0</v>
      </c>
      <c r="F44" s="244">
        <v>0</v>
      </c>
      <c r="G44" s="244">
        <v>0</v>
      </c>
      <c r="H44" s="244">
        <f t="shared" si="3"/>
        <v>0</v>
      </c>
      <c r="I44" s="244">
        <f t="shared" si="1"/>
        <v>0</v>
      </c>
      <c r="J44" s="244">
        <v>0</v>
      </c>
      <c r="K44" s="244">
        <f t="shared" si="2"/>
        <v>0</v>
      </c>
      <c r="L44" s="248">
        <v>0</v>
      </c>
    </row>
    <row r="45" spans="1:12" x14ac:dyDescent="0.25">
      <c r="A45" s="250"/>
      <c r="B45" s="255"/>
      <c r="C45" s="244"/>
      <c r="D45" s="244"/>
      <c r="E45" s="244"/>
      <c r="F45" s="244"/>
      <c r="G45" s="244"/>
      <c r="H45" s="244"/>
      <c r="I45" s="244"/>
      <c r="J45" s="244"/>
      <c r="K45" s="244"/>
      <c r="L45" s="248"/>
    </row>
    <row r="46" spans="1:12" x14ac:dyDescent="0.25">
      <c r="A46" s="257" t="s">
        <v>163</v>
      </c>
      <c r="B46" s="255" t="s">
        <v>137</v>
      </c>
      <c r="C46" s="247">
        <v>175200</v>
      </c>
      <c r="D46" s="244">
        <v>175200</v>
      </c>
      <c r="E46" s="244">
        <v>175200</v>
      </c>
      <c r="F46" s="244">
        <v>175200</v>
      </c>
      <c r="G46" s="244" t="s">
        <v>106</v>
      </c>
      <c r="H46" s="244">
        <f>+SUM(C46:F46)</f>
        <v>700800</v>
      </c>
      <c r="I46" s="244">
        <f>+J46-H46</f>
        <v>175200</v>
      </c>
      <c r="J46" s="248">
        <v>876000</v>
      </c>
      <c r="K46" s="244">
        <f t="shared" ref="K46:K48" si="8">+L46-H46</f>
        <v>175200</v>
      </c>
      <c r="L46" s="248">
        <f>+J46</f>
        <v>876000</v>
      </c>
    </row>
    <row r="47" spans="1:12" x14ac:dyDescent="0.25">
      <c r="A47" s="249" t="s">
        <v>138</v>
      </c>
      <c r="B47" s="245"/>
      <c r="C47" s="247"/>
      <c r="D47" s="244"/>
      <c r="E47" s="244"/>
      <c r="F47" s="244"/>
      <c r="G47" s="244"/>
      <c r="H47" s="244"/>
      <c r="I47" s="244">
        <f t="shared" ref="I47" si="9">+J47-H47</f>
        <v>0</v>
      </c>
      <c r="J47" s="248"/>
      <c r="K47" s="244">
        <f t="shared" si="8"/>
        <v>4000</v>
      </c>
      <c r="L47" s="248">
        <v>4000</v>
      </c>
    </row>
    <row r="48" spans="1:12" x14ac:dyDescent="0.25">
      <c r="A48" s="249" t="s">
        <v>139</v>
      </c>
      <c r="B48" s="245"/>
      <c r="C48" s="247"/>
      <c r="D48" s="244"/>
      <c r="E48" s="244"/>
      <c r="F48" s="244"/>
      <c r="G48" s="244"/>
      <c r="H48" s="244"/>
      <c r="I48" s="244"/>
      <c r="J48" s="248"/>
      <c r="K48" s="244">
        <f t="shared" si="8"/>
        <v>0</v>
      </c>
      <c r="L48" s="248">
        <v>0</v>
      </c>
    </row>
    <row r="49" spans="1:12" x14ac:dyDescent="0.25">
      <c r="A49" s="249"/>
      <c r="B49" s="245"/>
      <c r="C49" s="247"/>
      <c r="D49" s="244"/>
      <c r="E49" s="244"/>
      <c r="F49" s="244"/>
      <c r="G49" s="244"/>
      <c r="H49" s="244"/>
      <c r="I49" s="244"/>
      <c r="J49" s="248"/>
      <c r="K49" s="244"/>
      <c r="L49" s="248"/>
    </row>
    <row r="50" spans="1:12" x14ac:dyDescent="0.25">
      <c r="A50" s="258" t="s">
        <v>164</v>
      </c>
      <c r="B50" s="250"/>
      <c r="C50" s="244"/>
      <c r="D50" s="244"/>
      <c r="E50" s="244"/>
      <c r="F50" s="244"/>
      <c r="G50" s="244"/>
      <c r="H50" s="244">
        <f>+H51</f>
        <v>180000</v>
      </c>
      <c r="I50" s="244">
        <f t="shared" ref="I50:L50" si="10">+I51</f>
        <v>820000</v>
      </c>
      <c r="J50" s="244">
        <f t="shared" si="10"/>
        <v>1000000</v>
      </c>
      <c r="K50" s="244">
        <f t="shared" si="10"/>
        <v>820000</v>
      </c>
      <c r="L50" s="244">
        <f t="shared" si="10"/>
        <v>1000000</v>
      </c>
    </row>
    <row r="51" spans="1:12" x14ac:dyDescent="0.25">
      <c r="A51" s="245" t="s">
        <v>165</v>
      </c>
      <c r="B51" s="245"/>
      <c r="C51" s="244">
        <v>60000</v>
      </c>
      <c r="D51" s="244">
        <v>60000</v>
      </c>
      <c r="E51" s="244">
        <v>60000</v>
      </c>
      <c r="F51" s="244"/>
      <c r="G51" s="244"/>
      <c r="H51" s="244">
        <f>+SUM(C51:F51)</f>
        <v>180000</v>
      </c>
      <c r="I51" s="244">
        <f>+J51-H51</f>
        <v>820000</v>
      </c>
      <c r="J51" s="244">
        <v>1000000</v>
      </c>
      <c r="K51" s="244">
        <f>+L51-H51</f>
        <v>820000</v>
      </c>
      <c r="L51" s="244">
        <f>+J51</f>
        <v>1000000</v>
      </c>
    </row>
    <row r="52" spans="1:12" x14ac:dyDescent="0.25">
      <c r="A52" s="245"/>
      <c r="B52" s="245"/>
      <c r="C52" s="244"/>
      <c r="D52" s="244"/>
      <c r="E52" s="244"/>
      <c r="F52" s="244"/>
      <c r="G52" s="244"/>
      <c r="H52" s="244"/>
      <c r="I52" s="244"/>
      <c r="J52" s="244"/>
      <c r="K52" s="244"/>
      <c r="L52" s="244"/>
    </row>
    <row r="53" spans="1:12" ht="31.5" x14ac:dyDescent="0.25">
      <c r="A53" s="254" t="s">
        <v>166</v>
      </c>
      <c r="B53" s="250" t="s">
        <v>167</v>
      </c>
      <c r="C53" s="244"/>
      <c r="D53" s="244"/>
      <c r="E53" s="244"/>
      <c r="F53" s="244"/>
      <c r="G53" s="244"/>
      <c r="H53" s="244">
        <v>0</v>
      </c>
      <c r="I53" s="244">
        <f>+J53-H53</f>
        <v>168000</v>
      </c>
      <c r="J53" s="248">
        <v>168000</v>
      </c>
      <c r="K53" s="244">
        <f>+L53-H53</f>
        <v>168000</v>
      </c>
      <c r="L53" s="248">
        <f>+J53</f>
        <v>168000</v>
      </c>
    </row>
    <row r="54" spans="1:12" x14ac:dyDescent="0.25">
      <c r="A54" s="250" t="s">
        <v>158</v>
      </c>
      <c r="B54" s="250"/>
      <c r="C54" s="244"/>
      <c r="D54" s="244"/>
      <c r="E54" s="244"/>
      <c r="F54" s="244"/>
      <c r="G54" s="244"/>
      <c r="H54" s="244"/>
      <c r="I54" s="244"/>
      <c r="J54" s="248"/>
      <c r="K54" s="244">
        <f>+L54-H54</f>
        <v>4000</v>
      </c>
      <c r="L54" s="248">
        <v>4000</v>
      </c>
    </row>
    <row r="55" spans="1:12" x14ac:dyDescent="0.25">
      <c r="A55" s="250" t="s">
        <v>159</v>
      </c>
      <c r="B55" s="250"/>
      <c r="C55" s="244"/>
      <c r="D55" s="244"/>
      <c r="E55" s="244"/>
      <c r="F55" s="244"/>
      <c r="G55" s="244"/>
      <c r="H55" s="244"/>
      <c r="I55" s="244"/>
      <c r="J55" s="259"/>
      <c r="K55" s="244">
        <f>+L55-H55</f>
        <v>49500</v>
      </c>
      <c r="L55" s="248">
        <f>(250*90)+(300*90)</f>
        <v>49500</v>
      </c>
    </row>
    <row r="56" spans="1:12" x14ac:dyDescent="0.25">
      <c r="A56" s="250"/>
      <c r="B56" s="250"/>
      <c r="C56" s="244"/>
      <c r="D56" s="244"/>
      <c r="E56" s="244"/>
      <c r="F56" s="244"/>
      <c r="G56" s="244"/>
      <c r="H56" s="244"/>
      <c r="I56" s="244"/>
      <c r="J56" s="259"/>
      <c r="K56" s="244"/>
      <c r="L56" s="248"/>
    </row>
    <row r="57" spans="1:12" ht="47.25" x14ac:dyDescent="0.25">
      <c r="A57" s="254" t="s">
        <v>168</v>
      </c>
      <c r="B57" s="250"/>
      <c r="C57" s="244"/>
      <c r="D57" s="244"/>
      <c r="E57" s="244"/>
      <c r="F57" s="244"/>
      <c r="G57" s="244"/>
      <c r="H57" s="244">
        <v>0</v>
      </c>
      <c r="I57" s="244">
        <f>+J57-H57</f>
        <v>0</v>
      </c>
      <c r="J57" s="259">
        <v>0</v>
      </c>
      <c r="K57" s="244">
        <f>+L57-H57</f>
        <v>1708000</v>
      </c>
      <c r="L57" s="244">
        <v>1708000</v>
      </c>
    </row>
    <row r="58" spans="1:12" x14ac:dyDescent="0.25">
      <c r="A58" s="249"/>
      <c r="B58" s="250"/>
      <c r="C58" s="244"/>
      <c r="D58" s="244"/>
      <c r="E58" s="244"/>
      <c r="F58" s="244"/>
      <c r="G58" s="244"/>
      <c r="H58" s="244"/>
      <c r="I58" s="244"/>
      <c r="J58" s="259"/>
      <c r="K58" s="244"/>
      <c r="L58" s="248"/>
    </row>
    <row r="59" spans="1:12" x14ac:dyDescent="0.25">
      <c r="A59" s="253" t="s">
        <v>169</v>
      </c>
      <c r="B59" s="245"/>
      <c r="C59" s="247"/>
      <c r="D59" s="244"/>
      <c r="E59" s="244"/>
      <c r="F59" s="244"/>
      <c r="G59" s="244"/>
      <c r="H59" s="241">
        <f>+H60+H61+H62</f>
        <v>168000</v>
      </c>
      <c r="I59" s="241">
        <f t="shared" ref="I59:L59" si="11">+I60+I61+I62</f>
        <v>168000</v>
      </c>
      <c r="J59" s="241">
        <f t="shared" si="11"/>
        <v>336000</v>
      </c>
      <c r="K59" s="241">
        <f t="shared" si="11"/>
        <v>229500</v>
      </c>
      <c r="L59" s="241">
        <f t="shared" si="11"/>
        <v>397500</v>
      </c>
    </row>
    <row r="60" spans="1:12" ht="31.5" x14ac:dyDescent="0.25">
      <c r="A60" s="260" t="s">
        <v>170</v>
      </c>
      <c r="B60" s="255" t="s">
        <v>157</v>
      </c>
      <c r="C60" s="244">
        <v>84000</v>
      </c>
      <c r="D60" s="244">
        <v>84000</v>
      </c>
      <c r="E60" s="244"/>
      <c r="F60" s="244"/>
      <c r="G60" s="244"/>
      <c r="H60" s="244">
        <f t="shared" si="3"/>
        <v>168000</v>
      </c>
      <c r="I60" s="244">
        <f t="shared" si="1"/>
        <v>168000</v>
      </c>
      <c r="J60" s="248">
        <v>336000</v>
      </c>
      <c r="K60" s="244">
        <f t="shared" si="2"/>
        <v>168000</v>
      </c>
      <c r="L60" s="248">
        <f>+J60</f>
        <v>336000</v>
      </c>
    </row>
    <row r="61" spans="1:12" x14ac:dyDescent="0.25">
      <c r="A61" s="249" t="s">
        <v>158</v>
      </c>
      <c r="B61" s="250"/>
      <c r="C61" s="244"/>
      <c r="D61" s="244"/>
      <c r="E61" s="244"/>
      <c r="F61" s="244"/>
      <c r="G61" s="244"/>
      <c r="H61" s="244"/>
      <c r="I61" s="244">
        <f t="shared" si="1"/>
        <v>0</v>
      </c>
      <c r="J61" s="248"/>
      <c r="K61" s="244">
        <f t="shared" si="2"/>
        <v>12000</v>
      </c>
      <c r="L61" s="248">
        <f>(4000*3)</f>
        <v>12000</v>
      </c>
    </row>
    <row r="62" spans="1:12" x14ac:dyDescent="0.25">
      <c r="A62" s="249" t="s">
        <v>159</v>
      </c>
      <c r="B62" s="250"/>
      <c r="C62" s="244"/>
      <c r="D62" s="244"/>
      <c r="E62" s="244"/>
      <c r="F62" s="244"/>
      <c r="G62" s="244"/>
      <c r="H62" s="244"/>
      <c r="I62" s="244">
        <f t="shared" si="1"/>
        <v>0</v>
      </c>
      <c r="J62" s="248"/>
      <c r="K62" s="244">
        <f t="shared" si="2"/>
        <v>49500</v>
      </c>
      <c r="L62" s="248">
        <f>(250*90)+(300*90)</f>
        <v>49500</v>
      </c>
    </row>
    <row r="65" spans="1:13" ht="47.25" x14ac:dyDescent="0.25">
      <c r="A65" s="253" t="s">
        <v>171</v>
      </c>
      <c r="B65" s="260"/>
      <c r="C65" s="241"/>
      <c r="D65" s="241"/>
      <c r="E65" s="241"/>
      <c r="F65" s="241"/>
      <c r="G65" s="241"/>
      <c r="H65" s="241"/>
      <c r="I65" s="241">
        <f>+SUM(I66:I78)</f>
        <v>300000</v>
      </c>
      <c r="J65" s="241">
        <f t="shared" ref="J65:L65" si="12">+SUM(J66:J78)</f>
        <v>300000</v>
      </c>
      <c r="K65" s="241">
        <f t="shared" si="12"/>
        <v>353500</v>
      </c>
      <c r="L65" s="241">
        <f t="shared" si="12"/>
        <v>353500</v>
      </c>
    </row>
    <row r="66" spans="1:13" ht="31.5" x14ac:dyDescent="0.25">
      <c r="A66" s="250" t="s">
        <v>172</v>
      </c>
      <c r="B66" s="250"/>
      <c r="C66" s="244"/>
      <c r="D66" s="244"/>
      <c r="E66" s="244"/>
      <c r="F66" s="244"/>
      <c r="G66" s="244"/>
      <c r="H66" s="244">
        <v>0</v>
      </c>
      <c r="I66" s="244">
        <f>+J66-H66</f>
        <v>60000</v>
      </c>
      <c r="J66" s="248">
        <v>60000</v>
      </c>
      <c r="K66" s="244">
        <f>+L66-H66</f>
        <v>60000</v>
      </c>
      <c r="L66" s="248">
        <f>+J66</f>
        <v>60000</v>
      </c>
    </row>
    <row r="67" spans="1:13" x14ac:dyDescent="0.25">
      <c r="A67" s="249" t="s">
        <v>158</v>
      </c>
      <c r="B67" s="250"/>
      <c r="C67" s="244"/>
      <c r="D67" s="244"/>
      <c r="E67" s="244"/>
      <c r="F67" s="244"/>
      <c r="G67" s="244"/>
      <c r="H67" s="244"/>
      <c r="I67" s="244"/>
      <c r="J67" s="248"/>
      <c r="K67" s="244">
        <f>+L67-H67</f>
        <v>0</v>
      </c>
      <c r="L67" s="248">
        <v>0</v>
      </c>
    </row>
    <row r="68" spans="1:13" x14ac:dyDescent="0.25">
      <c r="A68" s="249" t="s">
        <v>159</v>
      </c>
      <c r="B68" s="250"/>
      <c r="C68" s="244"/>
      <c r="D68" s="244"/>
      <c r="E68" s="244"/>
      <c r="F68" s="244"/>
      <c r="G68" s="244"/>
      <c r="H68" s="244"/>
      <c r="I68" s="244"/>
      <c r="J68" s="248"/>
      <c r="K68" s="244">
        <f>+L68-H68</f>
        <v>0</v>
      </c>
      <c r="L68" s="248">
        <v>0</v>
      </c>
    </row>
    <row r="69" spans="1:13" ht="31.5" x14ac:dyDescent="0.25">
      <c r="A69" s="250" t="s">
        <v>173</v>
      </c>
      <c r="B69" s="250"/>
      <c r="C69" s="244"/>
      <c r="D69" s="244"/>
      <c r="E69" s="244"/>
      <c r="F69" s="244"/>
      <c r="G69" s="244"/>
      <c r="H69" s="244">
        <v>0</v>
      </c>
      <c r="I69" s="244">
        <f t="shared" si="1"/>
        <v>60000</v>
      </c>
      <c r="J69" s="248">
        <v>60000</v>
      </c>
      <c r="K69" s="244">
        <f t="shared" si="2"/>
        <v>60000</v>
      </c>
      <c r="L69" s="248">
        <f t="shared" ref="L69:L75" si="13">+J69</f>
        <v>60000</v>
      </c>
    </row>
    <row r="70" spans="1:13" x14ac:dyDescent="0.25">
      <c r="A70" s="249" t="s">
        <v>158</v>
      </c>
      <c r="B70" s="250"/>
      <c r="C70" s="244"/>
      <c r="D70" s="244"/>
      <c r="E70" s="244"/>
      <c r="F70" s="244"/>
      <c r="G70" s="244"/>
      <c r="H70" s="244"/>
      <c r="I70" s="244"/>
      <c r="J70" s="248"/>
      <c r="K70" s="244">
        <f t="shared" si="2"/>
        <v>0</v>
      </c>
      <c r="L70" s="248"/>
    </row>
    <row r="71" spans="1:13" x14ac:dyDescent="0.25">
      <c r="A71" s="249" t="s">
        <v>159</v>
      </c>
      <c r="B71" s="250"/>
      <c r="C71" s="244"/>
      <c r="D71" s="244"/>
      <c r="E71" s="244"/>
      <c r="F71" s="244"/>
      <c r="G71" s="244"/>
      <c r="H71" s="244"/>
      <c r="I71" s="244"/>
      <c r="J71" s="248"/>
      <c r="K71" s="244">
        <f t="shared" si="2"/>
        <v>0</v>
      </c>
      <c r="L71" s="248"/>
    </row>
    <row r="72" spans="1:13" ht="31.5" x14ac:dyDescent="0.25">
      <c r="A72" s="250" t="s">
        <v>174</v>
      </c>
      <c r="B72" s="250"/>
      <c r="C72" s="244"/>
      <c r="D72" s="244"/>
      <c r="E72" s="244"/>
      <c r="F72" s="244"/>
      <c r="G72" s="244"/>
      <c r="H72" s="244">
        <v>0</v>
      </c>
      <c r="I72" s="244">
        <f t="shared" si="1"/>
        <v>60000</v>
      </c>
      <c r="J72" s="248">
        <v>60000</v>
      </c>
      <c r="K72" s="244">
        <f t="shared" si="2"/>
        <v>60000</v>
      </c>
      <c r="L72" s="248">
        <f t="shared" si="13"/>
        <v>60000</v>
      </c>
    </row>
    <row r="73" spans="1:13" x14ac:dyDescent="0.25">
      <c r="A73" s="249" t="s">
        <v>158</v>
      </c>
      <c r="B73" s="250"/>
      <c r="C73" s="244"/>
      <c r="D73" s="244"/>
      <c r="E73" s="244"/>
      <c r="F73" s="244"/>
      <c r="G73" s="244"/>
      <c r="H73" s="244"/>
      <c r="I73" s="244"/>
      <c r="J73" s="248"/>
      <c r="K73" s="244">
        <f t="shared" si="2"/>
        <v>0</v>
      </c>
      <c r="L73" s="248"/>
    </row>
    <row r="74" spans="1:13" x14ac:dyDescent="0.25">
      <c r="A74" s="249" t="s">
        <v>159</v>
      </c>
      <c r="B74" s="250"/>
      <c r="C74" s="244"/>
      <c r="D74" s="244"/>
      <c r="E74" s="244"/>
      <c r="F74" s="244"/>
      <c r="G74" s="244"/>
      <c r="H74" s="244"/>
      <c r="I74" s="244"/>
      <c r="J74" s="248"/>
      <c r="K74" s="244">
        <f t="shared" si="2"/>
        <v>0</v>
      </c>
      <c r="L74" s="248"/>
    </row>
    <row r="75" spans="1:13" ht="31.5" x14ac:dyDescent="0.25">
      <c r="A75" s="250" t="s">
        <v>175</v>
      </c>
      <c r="B75" s="250"/>
      <c r="C75" s="244"/>
      <c r="D75" s="244"/>
      <c r="E75" s="244"/>
      <c r="F75" s="244"/>
      <c r="G75" s="244"/>
      <c r="H75" s="244">
        <v>0</v>
      </c>
      <c r="I75" s="244">
        <f t="shared" si="1"/>
        <v>60000</v>
      </c>
      <c r="J75" s="248">
        <v>60000</v>
      </c>
      <c r="K75" s="244">
        <f t="shared" si="2"/>
        <v>60000</v>
      </c>
      <c r="L75" s="248">
        <f t="shared" si="13"/>
        <v>60000</v>
      </c>
    </row>
    <row r="76" spans="1:13" x14ac:dyDescent="0.25">
      <c r="A76" s="249" t="s">
        <v>158</v>
      </c>
      <c r="B76" s="250"/>
      <c r="C76" s="244"/>
      <c r="D76" s="244"/>
      <c r="E76" s="244"/>
      <c r="F76" s="244"/>
      <c r="G76" s="244"/>
      <c r="H76" s="244"/>
      <c r="I76" s="244">
        <f t="shared" si="1"/>
        <v>0</v>
      </c>
      <c r="J76" s="248"/>
      <c r="K76" s="244">
        <f t="shared" si="2"/>
        <v>4000</v>
      </c>
      <c r="L76" s="248">
        <v>4000</v>
      </c>
    </row>
    <row r="77" spans="1:13" x14ac:dyDescent="0.25">
      <c r="A77" s="249" t="s">
        <v>159</v>
      </c>
      <c r="B77" s="250"/>
      <c r="C77" s="244"/>
      <c r="D77" s="244"/>
      <c r="E77" s="244"/>
      <c r="F77" s="244"/>
      <c r="G77" s="244"/>
      <c r="H77" s="244"/>
      <c r="I77" s="244">
        <f t="shared" si="1"/>
        <v>0</v>
      </c>
      <c r="J77" s="248"/>
      <c r="K77" s="244">
        <f t="shared" si="2"/>
        <v>49500</v>
      </c>
      <c r="L77" s="248">
        <f>(250*90)+(300*90)</f>
        <v>49500</v>
      </c>
    </row>
    <row r="78" spans="1:13" x14ac:dyDescent="0.25">
      <c r="A78" s="245" t="s">
        <v>176</v>
      </c>
      <c r="B78" s="245"/>
      <c r="C78" s="244"/>
      <c r="D78" s="244"/>
      <c r="E78" s="244"/>
      <c r="F78" s="244"/>
      <c r="G78" s="244"/>
      <c r="H78" s="244">
        <v>0</v>
      </c>
      <c r="I78" s="244">
        <f t="shared" si="1"/>
        <v>60000</v>
      </c>
      <c r="J78" s="248">
        <v>60000</v>
      </c>
      <c r="K78" s="244">
        <f t="shared" si="2"/>
        <v>60000</v>
      </c>
      <c r="L78" s="248">
        <f>+J78</f>
        <v>60000</v>
      </c>
    </row>
    <row r="79" spans="1:13" x14ac:dyDescent="0.25">
      <c r="A79" s="261"/>
      <c r="B79" s="262"/>
      <c r="C79" s="262"/>
      <c r="D79" s="262"/>
      <c r="E79" s="262"/>
      <c r="F79" s="262"/>
      <c r="G79" s="262"/>
      <c r="H79" s="263"/>
      <c r="I79" s="263"/>
      <c r="J79" s="263"/>
      <c r="K79" s="263"/>
      <c r="L79" s="263"/>
      <c r="M79" s="264"/>
    </row>
    <row r="80" spans="1:13" ht="21" x14ac:dyDescent="0.35">
      <c r="A80" s="238" t="s">
        <v>177</v>
      </c>
      <c r="B80" s="265"/>
      <c r="C80" s="265"/>
      <c r="D80" s="265"/>
      <c r="E80" s="265"/>
      <c r="F80" s="265"/>
      <c r="G80" s="265"/>
      <c r="H80" s="266"/>
      <c r="I80" s="266"/>
      <c r="J80" s="266"/>
      <c r="K80" s="266"/>
      <c r="L80" s="266"/>
      <c r="M80" s="264"/>
    </row>
    <row r="81" spans="1:13" x14ac:dyDescent="0.25">
      <c r="A81" s="267" t="s">
        <v>178</v>
      </c>
      <c r="B81" s="268"/>
      <c r="C81" s="241">
        <f t="shared" ref="C81:K81" si="14">+C83+C86+C87+C100+C101+C102+C103+C104</f>
        <v>8014069.333333334</v>
      </c>
      <c r="D81" s="241">
        <f t="shared" si="14"/>
        <v>10552840.046666669</v>
      </c>
      <c r="E81" s="241">
        <f t="shared" si="14"/>
        <v>7264573.3799999999</v>
      </c>
      <c r="F81" s="241">
        <f t="shared" si="14"/>
        <v>3350320.04</v>
      </c>
      <c r="G81" s="241">
        <f t="shared" si="14"/>
        <v>0</v>
      </c>
      <c r="H81" s="241">
        <f t="shared" si="14"/>
        <v>24821608</v>
      </c>
      <c r="I81" s="241">
        <f t="shared" si="14"/>
        <v>2261667</v>
      </c>
      <c r="J81" s="241">
        <f t="shared" si="14"/>
        <v>27083275</v>
      </c>
      <c r="K81" s="241">
        <f t="shared" si="14"/>
        <v>4360194.8</v>
      </c>
      <c r="L81" s="241">
        <f>+L83+L86+L87+L100+L101+L102+L103+L104+L105</f>
        <v>29541802.800000001</v>
      </c>
    </row>
    <row r="82" spans="1:13" x14ac:dyDescent="0.25">
      <c r="A82" s="267"/>
      <c r="B82" s="268"/>
      <c r="C82" s="241"/>
      <c r="D82" s="241"/>
      <c r="E82" s="241"/>
      <c r="F82" s="241"/>
      <c r="G82" s="241"/>
      <c r="H82" s="241"/>
      <c r="I82" s="241"/>
      <c r="J82" s="241"/>
      <c r="K82" s="241"/>
      <c r="L82" s="241"/>
    </row>
    <row r="83" spans="1:13" x14ac:dyDescent="0.25">
      <c r="A83" s="269" t="s">
        <v>179</v>
      </c>
      <c r="B83" s="269"/>
      <c r="C83" s="241">
        <f>SUM('[1]Process View'!C12+'[1]Process View'!C14)</f>
        <v>987876</v>
      </c>
      <c r="D83" s="248"/>
      <c r="E83" s="248"/>
      <c r="F83" s="248"/>
      <c r="G83" s="248"/>
      <c r="H83" s="241">
        <f>+H84+H85</f>
        <v>626288</v>
      </c>
      <c r="I83" s="241">
        <f>+J83-H83</f>
        <v>294088</v>
      </c>
      <c r="J83" s="241">
        <f>+J84+J85</f>
        <v>920376</v>
      </c>
      <c r="K83" s="241">
        <f>+L83-H83</f>
        <v>361588</v>
      </c>
      <c r="L83" s="241">
        <f t="shared" ref="L83:L85" si="15">SUM(C83:G83)</f>
        <v>987876</v>
      </c>
      <c r="M83" s="248"/>
    </row>
    <row r="84" spans="1:13" x14ac:dyDescent="0.25">
      <c r="A84" s="270" t="s">
        <v>179</v>
      </c>
      <c r="B84" s="270"/>
      <c r="C84" s="244">
        <f>'[1]Process View'!C12</f>
        <v>731760</v>
      </c>
      <c r="D84" s="248"/>
      <c r="E84" s="248"/>
      <c r="F84" s="248"/>
      <c r="G84" s="248"/>
      <c r="H84" s="244">
        <v>481760</v>
      </c>
      <c r="I84" s="244">
        <f t="shared" ref="I84:I104" si="16">+J84-H84</f>
        <v>200000</v>
      </c>
      <c r="J84" s="244">
        <v>681760</v>
      </c>
      <c r="K84" s="244">
        <f t="shared" ref="K84:K104" si="17">+L84-H84</f>
        <v>250000</v>
      </c>
      <c r="L84" s="241">
        <f t="shared" si="15"/>
        <v>731760</v>
      </c>
      <c r="M84" s="248"/>
    </row>
    <row r="85" spans="1:13" x14ac:dyDescent="0.25">
      <c r="A85" s="270" t="s">
        <v>180</v>
      </c>
      <c r="B85" s="270"/>
      <c r="C85" s="244">
        <f>'[1]Process View'!C14</f>
        <v>256115.99999999997</v>
      </c>
      <c r="D85" s="248"/>
      <c r="E85" s="248"/>
      <c r="F85" s="248"/>
      <c r="G85" s="248"/>
      <c r="H85" s="244">
        <v>144528</v>
      </c>
      <c r="I85" s="244">
        <f t="shared" si="16"/>
        <v>94088</v>
      </c>
      <c r="J85" s="244">
        <v>238616</v>
      </c>
      <c r="K85" s="244">
        <f t="shared" si="17"/>
        <v>111587.99999999997</v>
      </c>
      <c r="L85" s="241">
        <f t="shared" si="15"/>
        <v>256115.99999999997</v>
      </c>
      <c r="M85" s="248"/>
    </row>
    <row r="86" spans="1:13" x14ac:dyDescent="0.25">
      <c r="A86" s="269" t="s">
        <v>181</v>
      </c>
      <c r="B86" s="269"/>
      <c r="C86" s="271"/>
      <c r="D86" s="244">
        <f>'[1]Process View'!C13</f>
        <v>1950000</v>
      </c>
      <c r="E86" s="244">
        <f>'[1]Process View'!D13</f>
        <v>1950000</v>
      </c>
      <c r="F86" s="248"/>
      <c r="G86" s="248"/>
      <c r="H86" s="241">
        <v>3500000</v>
      </c>
      <c r="I86" s="241">
        <f t="shared" si="16"/>
        <v>400000</v>
      </c>
      <c r="J86" s="241">
        <f t="shared" ref="J86" si="18">SUM(C86:G86)</f>
        <v>3900000</v>
      </c>
      <c r="K86" s="241">
        <f t="shared" si="17"/>
        <v>400000</v>
      </c>
      <c r="L86" s="241">
        <f t="shared" ref="L86" si="19">SUM(C86:G86)</f>
        <v>3900000</v>
      </c>
      <c r="M86" s="248"/>
    </row>
    <row r="87" spans="1:13" x14ac:dyDescent="0.25">
      <c r="A87" s="269" t="s">
        <v>182</v>
      </c>
      <c r="B87" s="269"/>
      <c r="C87" s="272">
        <f>SUM(C88:C99)</f>
        <v>2753333.3333333335</v>
      </c>
      <c r="D87" s="272">
        <f t="shared" ref="D87:G87" si="20">SUM(D88:D99)</f>
        <v>3363416.666666667</v>
      </c>
      <c r="E87" s="272">
        <f t="shared" si="20"/>
        <v>2805150</v>
      </c>
      <c r="F87" s="272">
        <f t="shared" si="20"/>
        <v>1385100</v>
      </c>
      <c r="G87" s="272">
        <f t="shared" si="20"/>
        <v>0</v>
      </c>
      <c r="H87" s="241">
        <f>SUM(H88:H99)</f>
        <v>10271000</v>
      </c>
      <c r="I87" s="241">
        <f t="shared" si="16"/>
        <v>36000</v>
      </c>
      <c r="J87" s="241">
        <f>SUM(J88:J99)</f>
        <v>10307000</v>
      </c>
      <c r="K87" s="241">
        <f t="shared" si="17"/>
        <v>36000</v>
      </c>
      <c r="L87" s="241">
        <f>SUM(L88:L99)</f>
        <v>10307000</v>
      </c>
      <c r="M87" s="248"/>
    </row>
    <row r="88" spans="1:13" x14ac:dyDescent="0.25">
      <c r="A88" s="273" t="s">
        <v>183</v>
      </c>
      <c r="B88" s="273"/>
      <c r="C88" s="274">
        <f>'[1]Process View'!C3</f>
        <v>150000</v>
      </c>
      <c r="D88" s="248"/>
      <c r="E88" s="248"/>
      <c r="F88" s="248"/>
      <c r="G88" s="248"/>
      <c r="H88" s="244">
        <v>150000</v>
      </c>
      <c r="I88" s="244">
        <f t="shared" si="16"/>
        <v>0</v>
      </c>
      <c r="J88" s="244">
        <f t="shared" ref="J88:J93" si="21">+SUM(C88:G88)</f>
        <v>150000</v>
      </c>
      <c r="K88" s="244">
        <f t="shared" si="17"/>
        <v>0</v>
      </c>
      <c r="L88" s="244">
        <f t="shared" ref="L88:L99" si="22">SUM(C88:G88)</f>
        <v>150000</v>
      </c>
      <c r="M88" s="248"/>
    </row>
    <row r="89" spans="1:13" x14ac:dyDescent="0.25">
      <c r="A89" s="273" t="s">
        <v>184</v>
      </c>
      <c r="B89" s="273"/>
      <c r="C89" s="274">
        <f>'[1]Process View'!C4</f>
        <v>300000</v>
      </c>
      <c r="D89" s="248"/>
      <c r="E89" s="248"/>
      <c r="F89" s="248"/>
      <c r="G89" s="248"/>
      <c r="H89" s="244">
        <v>300000</v>
      </c>
      <c r="I89" s="244">
        <f t="shared" si="16"/>
        <v>0</v>
      </c>
      <c r="J89" s="244">
        <f t="shared" si="21"/>
        <v>300000</v>
      </c>
      <c r="K89" s="244">
        <f t="shared" si="17"/>
        <v>0</v>
      </c>
      <c r="L89" s="244">
        <f t="shared" si="22"/>
        <v>300000</v>
      </c>
      <c r="M89" s="248"/>
    </row>
    <row r="90" spans="1:13" x14ac:dyDescent="0.25">
      <c r="A90" s="273" t="s">
        <v>185</v>
      </c>
      <c r="B90" s="273"/>
      <c r="C90" s="274">
        <f>'[1]Process View'!C5</f>
        <v>120000</v>
      </c>
      <c r="D90" s="248"/>
      <c r="E90" s="248"/>
      <c r="F90" s="248"/>
      <c r="G90" s="248"/>
      <c r="H90" s="244">
        <v>120000</v>
      </c>
      <c r="I90" s="244">
        <f t="shared" si="16"/>
        <v>0</v>
      </c>
      <c r="J90" s="244">
        <f t="shared" si="21"/>
        <v>120000</v>
      </c>
      <c r="K90" s="244">
        <f t="shared" si="17"/>
        <v>0</v>
      </c>
      <c r="L90" s="244">
        <f t="shared" si="22"/>
        <v>120000</v>
      </c>
      <c r="M90" s="248"/>
    </row>
    <row r="91" spans="1:13" x14ac:dyDescent="0.25">
      <c r="A91" s="273" t="s">
        <v>186</v>
      </c>
      <c r="B91" s="273"/>
      <c r="C91" s="274">
        <f>'[1]Process View'!C6</f>
        <v>1650000</v>
      </c>
      <c r="D91" s="248"/>
      <c r="E91" s="248"/>
      <c r="F91" s="248"/>
      <c r="G91" s="248"/>
      <c r="H91" s="244">
        <f>1500000+150000</f>
        <v>1650000</v>
      </c>
      <c r="I91" s="244">
        <f t="shared" si="16"/>
        <v>0</v>
      </c>
      <c r="J91" s="244">
        <f t="shared" si="21"/>
        <v>1650000</v>
      </c>
      <c r="K91" s="244">
        <f t="shared" si="17"/>
        <v>0</v>
      </c>
      <c r="L91" s="244">
        <f t="shared" si="22"/>
        <v>1650000</v>
      </c>
      <c r="M91" s="248"/>
    </row>
    <row r="92" spans="1:13" x14ac:dyDescent="0.25">
      <c r="A92" s="270" t="s">
        <v>187</v>
      </c>
      <c r="B92" s="270"/>
      <c r="C92" s="275">
        <f>'[1]Process View'!C15</f>
        <v>400000</v>
      </c>
      <c r="D92" s="248"/>
      <c r="E92" s="248"/>
      <c r="F92" s="248"/>
      <c r="G92" s="248"/>
      <c r="H92" s="244">
        <v>400000</v>
      </c>
      <c r="I92" s="244">
        <f t="shared" si="16"/>
        <v>0</v>
      </c>
      <c r="J92" s="244">
        <f t="shared" si="21"/>
        <v>400000</v>
      </c>
      <c r="K92" s="244">
        <f t="shared" si="17"/>
        <v>0</v>
      </c>
      <c r="L92" s="244">
        <f t="shared" si="22"/>
        <v>400000</v>
      </c>
      <c r="M92" s="248"/>
    </row>
    <row r="93" spans="1:13" x14ac:dyDescent="0.25">
      <c r="A93" s="270" t="s">
        <v>188</v>
      </c>
      <c r="B93" s="270"/>
      <c r="C93" s="275">
        <f>'[1]Process View'!C16</f>
        <v>133333.33333333334</v>
      </c>
      <c r="D93" s="244">
        <f>'[1]Process View'!D16</f>
        <v>266666.66666666669</v>
      </c>
      <c r="E93" s="248"/>
      <c r="F93" s="248"/>
      <c r="G93" s="248"/>
      <c r="H93" s="244">
        <v>400000</v>
      </c>
      <c r="I93" s="244">
        <f t="shared" si="16"/>
        <v>0</v>
      </c>
      <c r="J93" s="244">
        <f t="shared" si="21"/>
        <v>400000</v>
      </c>
      <c r="K93" s="244">
        <f t="shared" si="17"/>
        <v>0</v>
      </c>
      <c r="L93" s="244">
        <f t="shared" si="22"/>
        <v>400000</v>
      </c>
      <c r="M93" s="248"/>
    </row>
    <row r="94" spans="1:13" x14ac:dyDescent="0.25">
      <c r="A94" s="270" t="s">
        <v>189</v>
      </c>
      <c r="B94" s="270"/>
      <c r="C94" s="276"/>
      <c r="D94" s="244">
        <f>'[1]Process View'!D22</f>
        <v>1250000</v>
      </c>
      <c r="E94" s="244">
        <f>'[1]Process View'!E22</f>
        <v>1250000</v>
      </c>
      <c r="F94" s="248"/>
      <c r="G94" s="248"/>
      <c r="H94" s="244">
        <v>2500000</v>
      </c>
      <c r="I94" s="244">
        <f t="shared" si="16"/>
        <v>0</v>
      </c>
      <c r="J94" s="244">
        <f>+SUM(C94:G94)</f>
        <v>2500000</v>
      </c>
      <c r="K94" s="244">
        <f t="shared" si="17"/>
        <v>0</v>
      </c>
      <c r="L94" s="244">
        <f t="shared" si="22"/>
        <v>2500000</v>
      </c>
      <c r="M94" s="248"/>
    </row>
    <row r="95" spans="1:13" x14ac:dyDescent="0.25">
      <c r="A95" s="270" t="s">
        <v>190</v>
      </c>
      <c r="B95" s="270"/>
      <c r="C95" s="276"/>
      <c r="D95" s="244">
        <f>'[1]Process View'!D23</f>
        <v>1100000</v>
      </c>
      <c r="E95" s="244">
        <f>'[1]Process View'!E23</f>
        <v>825000</v>
      </c>
      <c r="F95" s="244">
        <f>'[1]Process View'!F23</f>
        <v>825000</v>
      </c>
      <c r="G95" s="248"/>
      <c r="H95" s="244">
        <v>2750000</v>
      </c>
      <c r="I95" s="244">
        <f t="shared" si="16"/>
        <v>0</v>
      </c>
      <c r="J95" s="244">
        <f t="shared" ref="J95:J99" si="23">+SUM(C95:G95)</f>
        <v>2750000</v>
      </c>
      <c r="K95" s="244">
        <f t="shared" si="17"/>
        <v>0</v>
      </c>
      <c r="L95" s="244">
        <f t="shared" si="22"/>
        <v>2750000</v>
      </c>
      <c r="M95" s="248"/>
    </row>
    <row r="96" spans="1:13" x14ac:dyDescent="0.25">
      <c r="A96" s="270" t="s">
        <v>191</v>
      </c>
      <c r="B96" s="270"/>
      <c r="C96" s="276"/>
      <c r="D96" s="244">
        <f>'[1]Process View'!D33</f>
        <v>393750</v>
      </c>
      <c r="E96" s="244">
        <f>'[1]Process View'!E33</f>
        <v>393750</v>
      </c>
      <c r="F96" s="244">
        <f>'[1]Process View'!F33</f>
        <v>337500</v>
      </c>
      <c r="G96" s="248"/>
      <c r="H96" s="244">
        <v>1125000</v>
      </c>
      <c r="I96" s="244">
        <f t="shared" si="16"/>
        <v>0</v>
      </c>
      <c r="J96" s="244">
        <f t="shared" si="23"/>
        <v>1125000</v>
      </c>
      <c r="K96" s="244">
        <f t="shared" si="17"/>
        <v>0</v>
      </c>
      <c r="L96" s="244">
        <f t="shared" si="22"/>
        <v>1125000</v>
      </c>
      <c r="M96" s="248"/>
    </row>
    <row r="97" spans="1:13" x14ac:dyDescent="0.25">
      <c r="A97" s="270" t="s">
        <v>192</v>
      </c>
      <c r="B97" s="270"/>
      <c r="C97" s="276"/>
      <c r="D97" s="244">
        <f>'[1]Process View'!D31</f>
        <v>194000</v>
      </c>
      <c r="E97" s="244">
        <f>'[1]Process View'!E31</f>
        <v>116400</v>
      </c>
      <c r="F97" s="244">
        <f>'[1]Process View'!F31</f>
        <v>77600</v>
      </c>
      <c r="G97" s="248"/>
      <c r="H97" s="244">
        <v>388000</v>
      </c>
      <c r="I97" s="244">
        <f t="shared" si="16"/>
        <v>0</v>
      </c>
      <c r="J97" s="244">
        <f t="shared" si="23"/>
        <v>388000</v>
      </c>
      <c r="K97" s="244">
        <f t="shared" si="17"/>
        <v>0</v>
      </c>
      <c r="L97" s="244">
        <f t="shared" si="22"/>
        <v>388000</v>
      </c>
      <c r="M97" s="248"/>
    </row>
    <row r="98" spans="1:13" x14ac:dyDescent="0.25">
      <c r="A98" s="270" t="s">
        <v>193</v>
      </c>
      <c r="B98" s="270"/>
      <c r="C98" s="276"/>
      <c r="D98" s="244">
        <f>'[1]Process View'!D32</f>
        <v>98000</v>
      </c>
      <c r="E98" s="244">
        <f>'[1]Process View'!E32</f>
        <v>98000</v>
      </c>
      <c r="F98" s="244">
        <f>'[1]Process View'!F32</f>
        <v>84000</v>
      </c>
      <c r="G98" s="248"/>
      <c r="H98" s="244">
        <v>244000</v>
      </c>
      <c r="I98" s="244">
        <f t="shared" si="16"/>
        <v>36000</v>
      </c>
      <c r="J98" s="244">
        <f t="shared" si="23"/>
        <v>280000</v>
      </c>
      <c r="K98" s="244">
        <f t="shared" si="17"/>
        <v>36000</v>
      </c>
      <c r="L98" s="244">
        <f t="shared" si="22"/>
        <v>280000</v>
      </c>
      <c r="M98" s="248"/>
    </row>
    <row r="99" spans="1:13" x14ac:dyDescent="0.25">
      <c r="A99" s="270" t="s">
        <v>194</v>
      </c>
      <c r="B99" s="270"/>
      <c r="C99" s="276"/>
      <c r="D99" s="244">
        <f>'[1]Process View'!D34</f>
        <v>61000</v>
      </c>
      <c r="E99" s="244">
        <f>'[1]Process View'!E34</f>
        <v>122000</v>
      </c>
      <c r="F99" s="244">
        <f>'[1]Process View'!F34</f>
        <v>61000</v>
      </c>
      <c r="G99" s="248"/>
      <c r="H99" s="244">
        <v>244000</v>
      </c>
      <c r="I99" s="244">
        <f t="shared" si="16"/>
        <v>0</v>
      </c>
      <c r="J99" s="244">
        <f t="shared" si="23"/>
        <v>244000</v>
      </c>
      <c r="K99" s="244">
        <f t="shared" si="17"/>
        <v>0</v>
      </c>
      <c r="L99" s="244">
        <f t="shared" si="22"/>
        <v>244000</v>
      </c>
      <c r="M99" s="248"/>
    </row>
    <row r="100" spans="1:13" x14ac:dyDescent="0.25">
      <c r="A100" s="269" t="s">
        <v>17</v>
      </c>
      <c r="B100" s="269"/>
      <c r="C100" s="272">
        <f>'[1]Process View'!C7+'[1]Process View'!C17</f>
        <v>400000</v>
      </c>
      <c r="D100" s="241">
        <f>'[1]Process View'!D17+'[1]Process View'!D24</f>
        <v>870000</v>
      </c>
      <c r="E100" s="241">
        <f>'[1]Process View'!E24</f>
        <v>520000</v>
      </c>
      <c r="F100" s="241">
        <f>'[1]Process View'!F24</f>
        <v>260000</v>
      </c>
      <c r="G100" s="259">
        <v>0</v>
      </c>
      <c r="H100" s="241">
        <f>150000+300000+300000</f>
        <v>750000</v>
      </c>
      <c r="I100" s="241">
        <f t="shared" si="16"/>
        <v>800000</v>
      </c>
      <c r="J100" s="241">
        <v>1550000</v>
      </c>
      <c r="K100" s="241">
        <f t="shared" si="17"/>
        <v>1300000</v>
      </c>
      <c r="L100" s="241">
        <f t="shared" ref="L100:L103" si="24">SUM(C100:G100)</f>
        <v>2050000</v>
      </c>
      <c r="M100" s="248"/>
    </row>
    <row r="101" spans="1:13" x14ac:dyDescent="0.25">
      <c r="A101" s="269" t="s">
        <v>195</v>
      </c>
      <c r="B101" s="269"/>
      <c r="C101" s="272">
        <f>'[1]Process View'!C29</f>
        <v>731760</v>
      </c>
      <c r="D101" s="259"/>
      <c r="E101" s="259"/>
      <c r="F101" s="259"/>
      <c r="G101" s="259">
        <v>0</v>
      </c>
      <c r="H101" s="241">
        <v>620892</v>
      </c>
      <c r="I101" s="241">
        <f t="shared" si="16"/>
        <v>70000</v>
      </c>
      <c r="J101" s="241">
        <v>690892</v>
      </c>
      <c r="K101" s="241">
        <f t="shared" si="17"/>
        <v>110868</v>
      </c>
      <c r="L101" s="241">
        <f t="shared" si="24"/>
        <v>731760</v>
      </c>
      <c r="M101" s="248"/>
    </row>
    <row r="102" spans="1:13" x14ac:dyDescent="0.25">
      <c r="A102" s="269" t="s">
        <v>196</v>
      </c>
      <c r="B102" s="269"/>
      <c r="C102" s="272">
        <f>'[1]Process View'!C30</f>
        <v>1950000</v>
      </c>
      <c r="D102" s="241">
        <f>'[1]Process View'!D30</f>
        <v>1950000</v>
      </c>
      <c r="E102" s="259"/>
      <c r="F102" s="259"/>
      <c r="G102" s="259">
        <v>0</v>
      </c>
      <c r="H102" s="241">
        <v>2920569</v>
      </c>
      <c r="I102" s="241">
        <f t="shared" si="16"/>
        <v>100000</v>
      </c>
      <c r="J102" s="241">
        <v>3020569</v>
      </c>
      <c r="K102" s="241">
        <f t="shared" si="17"/>
        <v>979431</v>
      </c>
      <c r="L102" s="241">
        <f t="shared" si="24"/>
        <v>3900000</v>
      </c>
      <c r="M102" s="248"/>
    </row>
    <row r="103" spans="1:13" x14ac:dyDescent="0.25">
      <c r="A103" s="269" t="s">
        <v>25</v>
      </c>
      <c r="B103" s="269"/>
      <c r="C103" s="272">
        <f>'[1]Process View'!C8+'[1]Process View'!C18</f>
        <v>692500</v>
      </c>
      <c r="D103" s="241">
        <f>'[1]Process View'!D18+'[1]Process View'!D25+'[1]Process View'!D35</f>
        <v>1406641.5</v>
      </c>
      <c r="E103" s="241">
        <f>'[1]Process View'!E25+'[1]Process View'!E35</f>
        <v>1156641.5</v>
      </c>
      <c r="F103" s="241">
        <f>'[1]Process View'!F25+'[1]Process View'!F35</f>
        <v>991407</v>
      </c>
      <c r="G103" s="259">
        <v>0</v>
      </c>
      <c r="H103" s="241">
        <f>567500+250000+1362500+1385616</f>
        <v>3565616</v>
      </c>
      <c r="I103" s="241">
        <f t="shared" si="16"/>
        <v>326499</v>
      </c>
      <c r="J103" s="241">
        <v>3892115</v>
      </c>
      <c r="K103" s="241">
        <f t="shared" si="17"/>
        <v>681574</v>
      </c>
      <c r="L103" s="241">
        <f t="shared" si="24"/>
        <v>4247190</v>
      </c>
      <c r="M103" s="248"/>
    </row>
    <row r="104" spans="1:13" x14ac:dyDescent="0.25">
      <c r="A104" s="269" t="s">
        <v>197</v>
      </c>
      <c r="B104" s="269"/>
      <c r="C104" s="272">
        <f>'[1]Process View'!C9+'[1]Process View'!C19</f>
        <v>498600</v>
      </c>
      <c r="D104" s="241">
        <f>'[1]Process View'!D19+'[1]Process View'!D26+'[1]Process View'!D36</f>
        <v>1012781.88</v>
      </c>
      <c r="E104" s="241">
        <f>'[1]Process View'!E26+'[1]Process View'!E36</f>
        <v>832781.88</v>
      </c>
      <c r="F104" s="241">
        <f>'[1]Process View'!F26+'[1]Process View'!F36</f>
        <v>713813.04</v>
      </c>
      <c r="G104" s="259">
        <v>0</v>
      </c>
      <c r="H104" s="241">
        <f>408600+180000+981000+997643</f>
        <v>2567243</v>
      </c>
      <c r="I104" s="241">
        <f t="shared" si="16"/>
        <v>235080</v>
      </c>
      <c r="J104" s="241">
        <v>2802323</v>
      </c>
      <c r="K104" s="241">
        <f t="shared" si="17"/>
        <v>490733.79999999981</v>
      </c>
      <c r="L104" s="241">
        <f>SUM(C104:G104)</f>
        <v>3057976.8</v>
      </c>
      <c r="M104" s="248"/>
    </row>
    <row r="105" spans="1:13" x14ac:dyDescent="0.25">
      <c r="A105" s="323" t="s">
        <v>230</v>
      </c>
      <c r="B105" s="323"/>
      <c r="C105" s="324"/>
      <c r="D105" s="325"/>
      <c r="E105" s="325"/>
      <c r="F105" s="325"/>
      <c r="G105" s="326"/>
      <c r="H105" s="325">
        <v>360000</v>
      </c>
      <c r="I105" s="325"/>
      <c r="J105" s="325"/>
      <c r="K105" s="325"/>
      <c r="L105" s="325">
        <v>360000</v>
      </c>
      <c r="M105" s="248"/>
    </row>
    <row r="106" spans="1:13" x14ac:dyDescent="0.25">
      <c r="A106" s="277"/>
      <c r="B106" s="278"/>
      <c r="C106" s="279"/>
      <c r="D106" s="236"/>
      <c r="E106" s="236"/>
      <c r="F106" s="236"/>
      <c r="G106" s="236"/>
      <c r="H106" s="236"/>
      <c r="I106" s="236"/>
      <c r="J106" s="236"/>
      <c r="K106" s="236"/>
      <c r="L106" s="236"/>
    </row>
    <row r="107" spans="1:13" ht="18.75" x14ac:dyDescent="0.25">
      <c r="A107" s="280" t="s">
        <v>198</v>
      </c>
      <c r="B107" s="280"/>
      <c r="C107" s="281">
        <f>+C108</f>
        <v>250000</v>
      </c>
      <c r="D107" s="281">
        <f t="shared" ref="D107:H107" si="25">+D108</f>
        <v>250000</v>
      </c>
      <c r="E107" s="281">
        <f t="shared" si="25"/>
        <v>250000</v>
      </c>
      <c r="F107" s="281">
        <f t="shared" si="25"/>
        <v>250000</v>
      </c>
      <c r="G107" s="281">
        <f t="shared" si="25"/>
        <v>352592</v>
      </c>
      <c r="H107" s="281">
        <f t="shared" si="25"/>
        <v>1352592</v>
      </c>
      <c r="I107" s="241">
        <f t="shared" ref="I107:I108" si="26">+J107-H107</f>
        <v>0</v>
      </c>
      <c r="J107" s="241">
        <f>+J108</f>
        <v>1352592</v>
      </c>
      <c r="K107" s="241">
        <f t="shared" ref="K107:K108" si="27">+L107-H107</f>
        <v>717605.20000000298</v>
      </c>
      <c r="L107" s="241">
        <f>L108</f>
        <v>2070197.200000003</v>
      </c>
      <c r="M107" s="248"/>
    </row>
    <row r="108" spans="1:13" x14ac:dyDescent="0.25">
      <c r="A108" s="282" t="s">
        <v>199</v>
      </c>
      <c r="B108" s="282"/>
      <c r="C108" s="252">
        <v>250000</v>
      </c>
      <c r="D108" s="252">
        <v>250000</v>
      </c>
      <c r="E108" s="252">
        <v>250000</v>
      </c>
      <c r="F108" s="252">
        <v>250000</v>
      </c>
      <c r="G108" s="252">
        <v>352592</v>
      </c>
      <c r="H108" s="244">
        <f>+SUM(C108:G108)</f>
        <v>1352592</v>
      </c>
      <c r="I108" s="244">
        <f t="shared" si="26"/>
        <v>0</v>
      </c>
      <c r="J108" s="244">
        <f>+SUM(C108:G108)</f>
        <v>1352592</v>
      </c>
      <c r="K108" s="244">
        <f t="shared" si="27"/>
        <v>717605.20000000298</v>
      </c>
      <c r="L108" s="244">
        <f>40000000-L2</f>
        <v>2070197.200000003</v>
      </c>
      <c r="M108" s="248"/>
    </row>
    <row r="109" spans="1:13" x14ac:dyDescent="0.25">
      <c r="A109" s="236"/>
      <c r="B109" s="236"/>
      <c r="C109" s="283"/>
      <c r="D109" s="283"/>
      <c r="E109" s="283"/>
      <c r="F109" s="283"/>
      <c r="G109" s="283"/>
      <c r="H109" s="284"/>
      <c r="I109" s="284"/>
      <c r="J109" s="284"/>
      <c r="K109" s="284"/>
      <c r="L109" s="284"/>
      <c r="M109" s="24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32" workbookViewId="0">
      <selection activeCell="F47" sqref="F47"/>
    </sheetView>
  </sheetViews>
  <sheetFormatPr defaultRowHeight="15.75" x14ac:dyDescent="0.25"/>
  <cols>
    <col min="1" max="1" width="15.625" customWidth="1"/>
    <col min="2" max="2" width="24.25" customWidth="1"/>
    <col min="3" max="3" width="10.25" customWidth="1"/>
    <col min="4" max="4" width="11.5" customWidth="1"/>
    <col min="5" max="5" width="11.75" customWidth="1"/>
    <col min="6" max="6" width="10.75" customWidth="1"/>
    <col min="7" max="7" width="6.75" customWidth="1"/>
    <col min="8" max="8" width="12.375" customWidth="1"/>
  </cols>
  <sheetData>
    <row r="1" spans="1:8" x14ac:dyDescent="0.25">
      <c r="A1" s="285" t="s">
        <v>200</v>
      </c>
      <c r="B1" s="285"/>
      <c r="C1">
        <v>2015</v>
      </c>
      <c r="D1">
        <v>2016</v>
      </c>
      <c r="E1">
        <v>2017</v>
      </c>
      <c r="F1">
        <v>2018</v>
      </c>
      <c r="G1">
        <v>2019</v>
      </c>
      <c r="H1" t="s">
        <v>201</v>
      </c>
    </row>
    <row r="2" spans="1:8" x14ac:dyDescent="0.25">
      <c r="A2" s="286"/>
      <c r="B2" s="286"/>
    </row>
    <row r="3" spans="1:8" x14ac:dyDescent="0.25">
      <c r="A3" s="287" t="s">
        <v>202</v>
      </c>
      <c r="B3" s="286" t="s">
        <v>183</v>
      </c>
      <c r="C3" s="244">
        <f>[1]Worksheet!E2</f>
        <v>150000</v>
      </c>
      <c r="D3" s="244"/>
      <c r="E3" s="244"/>
      <c r="F3" s="244"/>
      <c r="G3" s="244"/>
    </row>
    <row r="4" spans="1:8" x14ac:dyDescent="0.25">
      <c r="A4" s="288"/>
      <c r="B4" s="286" t="s">
        <v>184</v>
      </c>
      <c r="C4" s="289">
        <f>[1]Worksheet!E3</f>
        <v>300000</v>
      </c>
      <c r="D4" s="244"/>
      <c r="E4" s="244"/>
      <c r="F4" s="244"/>
      <c r="G4" s="244"/>
    </row>
    <row r="5" spans="1:8" x14ac:dyDescent="0.25">
      <c r="A5" s="288"/>
      <c r="B5" s="286" t="s">
        <v>185</v>
      </c>
      <c r="C5" s="289">
        <f>[1]Worksheet!E4</f>
        <v>120000</v>
      </c>
      <c r="D5" s="244"/>
      <c r="E5" s="244"/>
      <c r="F5" s="244"/>
      <c r="G5" s="244"/>
    </row>
    <row r="6" spans="1:8" x14ac:dyDescent="0.25">
      <c r="A6" s="288"/>
      <c r="B6" s="286" t="s">
        <v>186</v>
      </c>
      <c r="C6" s="289">
        <f>[1]Worksheet!E5</f>
        <v>1650000</v>
      </c>
      <c r="D6" s="244"/>
      <c r="E6" s="244"/>
      <c r="F6" s="244"/>
      <c r="G6" s="244"/>
    </row>
    <row r="7" spans="1:8" x14ac:dyDescent="0.25">
      <c r="A7" s="288"/>
      <c r="B7" s="286" t="s">
        <v>17</v>
      </c>
      <c r="C7" s="289">
        <f>[1]Worksheet!E6</f>
        <v>50000</v>
      </c>
      <c r="D7" s="244"/>
      <c r="E7" s="244"/>
      <c r="F7" s="244"/>
      <c r="G7" s="244"/>
    </row>
    <row r="8" spans="1:8" x14ac:dyDescent="0.25">
      <c r="A8" s="288"/>
      <c r="B8" s="286" t="s">
        <v>25</v>
      </c>
      <c r="C8" s="244">
        <f>[1]Worksheet!J9</f>
        <v>567500</v>
      </c>
      <c r="D8" s="244"/>
      <c r="E8" s="244"/>
      <c r="F8" s="244"/>
      <c r="G8" s="244"/>
    </row>
    <row r="9" spans="1:8" x14ac:dyDescent="0.25">
      <c r="A9" s="288"/>
      <c r="B9" s="286" t="s">
        <v>197</v>
      </c>
      <c r="C9" s="244">
        <f>SUM(C3:C7)*0.18</f>
        <v>408600</v>
      </c>
      <c r="D9" s="244"/>
      <c r="E9" s="244"/>
      <c r="F9" s="244"/>
      <c r="G9" s="244"/>
    </row>
    <row r="10" spans="1:8" x14ac:dyDescent="0.25">
      <c r="A10" s="288"/>
      <c r="B10" s="290" t="s">
        <v>203</v>
      </c>
      <c r="C10" s="241">
        <f>SUM(C3:C9)</f>
        <v>3246100</v>
      </c>
      <c r="D10" s="244"/>
      <c r="E10" s="244"/>
      <c r="F10" s="244"/>
      <c r="G10" s="244"/>
      <c r="H10" s="241">
        <f>SUM(C10:G10)</f>
        <v>3246100</v>
      </c>
    </row>
    <row r="11" spans="1:8" x14ac:dyDescent="0.25">
      <c r="A11" s="288"/>
      <c r="B11" s="290"/>
      <c r="C11" s="244"/>
      <c r="D11" s="244"/>
      <c r="E11" s="244"/>
      <c r="F11" s="244"/>
      <c r="G11" s="244"/>
      <c r="H11" s="244"/>
    </row>
    <row r="12" spans="1:8" ht="25.5" x14ac:dyDescent="0.25">
      <c r="A12" s="291" t="s">
        <v>204</v>
      </c>
      <c r="B12" s="240" t="s">
        <v>179</v>
      </c>
      <c r="C12" s="244">
        <f>[1]Worksheet!C12</f>
        <v>731760</v>
      </c>
      <c r="D12" s="244"/>
      <c r="E12" s="244"/>
      <c r="F12" s="244"/>
      <c r="G12" s="244"/>
      <c r="H12" s="244"/>
    </row>
    <row r="13" spans="1:8" x14ac:dyDescent="0.25">
      <c r="A13" s="291"/>
      <c r="B13" s="240" t="s">
        <v>181</v>
      </c>
      <c r="C13" s="292">
        <f>([1]Worksheet!D13)/2</f>
        <v>1950000</v>
      </c>
      <c r="D13" s="292">
        <f>([1]Worksheet!D13)/2</f>
        <v>1950000</v>
      </c>
      <c r="E13" s="244"/>
      <c r="F13" s="244"/>
      <c r="G13" s="244"/>
    </row>
    <row r="14" spans="1:8" x14ac:dyDescent="0.25">
      <c r="A14" s="291"/>
      <c r="B14" s="240" t="s">
        <v>180</v>
      </c>
      <c r="C14" s="244">
        <f>[1]Worksheet!C14</f>
        <v>256115.99999999997</v>
      </c>
      <c r="D14" s="244"/>
      <c r="E14" s="244"/>
      <c r="F14" s="244"/>
      <c r="G14" s="244"/>
      <c r="H14" s="244"/>
    </row>
    <row r="15" spans="1:8" x14ac:dyDescent="0.25">
      <c r="A15" s="291"/>
      <c r="B15" s="240" t="s">
        <v>187</v>
      </c>
      <c r="C15" s="244">
        <f>[1]Worksheet!F15</f>
        <v>400000</v>
      </c>
      <c r="E15" s="244"/>
      <c r="F15" s="244"/>
      <c r="G15" s="244"/>
      <c r="H15" s="244"/>
    </row>
    <row r="16" spans="1:8" x14ac:dyDescent="0.25">
      <c r="A16" s="291"/>
      <c r="B16" s="240" t="s">
        <v>188</v>
      </c>
      <c r="C16" s="244">
        <f>(([1]Worksheet!F16)*1)/3</f>
        <v>133333.33333333334</v>
      </c>
      <c r="D16" s="244">
        <f>(([1]Worksheet!F16)*2)/3</f>
        <v>266666.66666666669</v>
      </c>
      <c r="E16" s="244"/>
      <c r="F16" s="244"/>
      <c r="G16" s="244"/>
      <c r="H16" s="244"/>
    </row>
    <row r="17" spans="1:8" x14ac:dyDescent="0.25">
      <c r="A17" s="291"/>
      <c r="B17" s="240" t="s">
        <v>17</v>
      </c>
      <c r="C17" s="244">
        <f>([1]Worksheet!F17)/2</f>
        <v>350000</v>
      </c>
      <c r="D17" s="244">
        <f>([1]Worksheet!F17)/2</f>
        <v>350000</v>
      </c>
      <c r="E17" s="244"/>
      <c r="F17" s="244"/>
      <c r="G17" s="244"/>
      <c r="H17" s="244"/>
    </row>
    <row r="18" spans="1:8" x14ac:dyDescent="0.25">
      <c r="A18" s="291"/>
      <c r="B18" s="240" t="s">
        <v>25</v>
      </c>
      <c r="C18" s="244">
        <f>(([1]Worksheet!J20)*1)/3</f>
        <v>125000</v>
      </c>
      <c r="D18" s="244">
        <f>(([1]Worksheet!J20)*2)/3</f>
        <v>250000</v>
      </c>
      <c r="E18" s="244"/>
      <c r="F18" s="244"/>
      <c r="G18" s="244"/>
      <c r="H18" s="244"/>
    </row>
    <row r="19" spans="1:8" x14ac:dyDescent="0.25">
      <c r="A19" s="291"/>
      <c r="B19" s="240" t="s">
        <v>197</v>
      </c>
      <c r="C19" s="244">
        <f>(([1]Worksheet!K20)*1)/3</f>
        <v>90000</v>
      </c>
      <c r="D19" s="244">
        <f>(([1]Worksheet!K20)*2)/3</f>
        <v>180000</v>
      </c>
      <c r="E19" s="244"/>
      <c r="F19" s="244"/>
      <c r="G19" s="244"/>
      <c r="H19" s="244"/>
    </row>
    <row r="20" spans="1:8" x14ac:dyDescent="0.25">
      <c r="A20" s="291"/>
      <c r="B20" s="290" t="s">
        <v>205</v>
      </c>
      <c r="C20" s="241">
        <f>+SUM(C12:C19)</f>
        <v>4036209.3333333335</v>
      </c>
      <c r="D20" s="241">
        <f>+SUM(D13:D19)</f>
        <v>2996666.6666666665</v>
      </c>
      <c r="E20" s="244"/>
      <c r="F20" s="244"/>
      <c r="G20" s="244"/>
      <c r="H20" s="241">
        <f>SUM(C20:G20)</f>
        <v>7032876</v>
      </c>
    </row>
    <row r="21" spans="1:8" x14ac:dyDescent="0.25">
      <c r="A21" s="291"/>
      <c r="C21" s="244"/>
      <c r="D21" s="244"/>
      <c r="E21" s="244"/>
      <c r="F21" s="244"/>
      <c r="G21" s="244"/>
      <c r="H21" s="244"/>
    </row>
    <row r="22" spans="1:8" ht="45.75" customHeight="1" x14ac:dyDescent="0.25">
      <c r="A22" s="291" t="s">
        <v>206</v>
      </c>
      <c r="B22" s="293" t="s">
        <v>189</v>
      </c>
      <c r="C22" s="244"/>
      <c r="D22" s="244">
        <f>([1]Worksheet!G23)*0.5</f>
        <v>1250000</v>
      </c>
      <c r="E22" s="244">
        <f>([1]Worksheet!G23)*0.5</f>
        <v>1250000</v>
      </c>
      <c r="F22" s="244"/>
      <c r="G22" s="244"/>
      <c r="H22" s="244"/>
    </row>
    <row r="23" spans="1:8" x14ac:dyDescent="0.25">
      <c r="A23" s="291"/>
      <c r="B23" s="240" t="s">
        <v>190</v>
      </c>
      <c r="C23" s="244"/>
      <c r="D23" s="244">
        <f>([1]Worksheet!G24)*0.4</f>
        <v>1100000</v>
      </c>
      <c r="E23" s="244">
        <f>([1]Worksheet!G24)*0.3</f>
        <v>825000</v>
      </c>
      <c r="F23" s="244">
        <f>([1]Worksheet!G24)*0.3</f>
        <v>825000</v>
      </c>
      <c r="G23" s="244"/>
      <c r="H23" s="244"/>
    </row>
    <row r="24" spans="1:8" x14ac:dyDescent="0.25">
      <c r="A24" s="291"/>
      <c r="B24" s="240" t="s">
        <v>17</v>
      </c>
      <c r="C24" s="244"/>
      <c r="D24" s="244">
        <f>([1]Worksheet!G25)*0.4</f>
        <v>520000</v>
      </c>
      <c r="E24" s="244">
        <f>([1]Worksheet!G25)*0.4</f>
        <v>520000</v>
      </c>
      <c r="F24" s="244">
        <f>([1]Worksheet!G25)*0.2</f>
        <v>260000</v>
      </c>
      <c r="G24" s="244"/>
      <c r="H24" s="244"/>
    </row>
    <row r="25" spans="1:8" x14ac:dyDescent="0.25">
      <c r="A25" s="291"/>
      <c r="B25" s="240" t="s">
        <v>25</v>
      </c>
      <c r="C25" s="244"/>
      <c r="D25" s="244">
        <f>([1]Worksheet!J26)*0.35</f>
        <v>573125</v>
      </c>
      <c r="E25" s="244">
        <f>([1]Worksheet!J26)*0.35</f>
        <v>573125</v>
      </c>
      <c r="F25" s="244">
        <f>([1]Worksheet!J26)*0.3</f>
        <v>491250</v>
      </c>
      <c r="G25" s="244"/>
      <c r="H25" s="244"/>
    </row>
    <row r="26" spans="1:8" x14ac:dyDescent="0.25">
      <c r="A26" s="291"/>
      <c r="B26" s="240" t="s">
        <v>197</v>
      </c>
      <c r="C26" s="244"/>
      <c r="D26" s="244">
        <f>([1]Worksheet!K28)*0.35</f>
        <v>412650</v>
      </c>
      <c r="E26" s="244">
        <f>([1]Worksheet!K28)*0.35</f>
        <v>412650</v>
      </c>
      <c r="F26" s="244">
        <f>([1]Worksheet!K28)*0.3</f>
        <v>353700</v>
      </c>
      <c r="G26" s="244"/>
      <c r="H26" s="244"/>
    </row>
    <row r="27" spans="1:8" x14ac:dyDescent="0.25">
      <c r="A27" s="291"/>
      <c r="B27" s="290" t="s">
        <v>207</v>
      </c>
      <c r="C27" s="244"/>
      <c r="D27" s="241">
        <f>+SUM(D22:D26)</f>
        <v>3855775</v>
      </c>
      <c r="E27" s="241">
        <f>+SUM(E22:E26)</f>
        <v>3580775</v>
      </c>
      <c r="F27" s="241">
        <f>+SUM(F22:F26)</f>
        <v>1929950</v>
      </c>
      <c r="G27" s="244"/>
      <c r="H27" s="241">
        <f>SUM(C27:G27)</f>
        <v>9366500</v>
      </c>
    </row>
    <row r="28" spans="1:8" x14ac:dyDescent="0.25">
      <c r="A28" s="291"/>
      <c r="B28" s="290"/>
      <c r="C28" s="244"/>
      <c r="D28" s="244"/>
      <c r="E28" s="244"/>
      <c r="F28" s="244"/>
      <c r="G28" s="244"/>
      <c r="H28" s="244"/>
    </row>
    <row r="29" spans="1:8" ht="26.25" x14ac:dyDescent="0.25">
      <c r="A29" s="294" t="s">
        <v>208</v>
      </c>
      <c r="B29" s="293" t="s">
        <v>195</v>
      </c>
      <c r="C29" s="244">
        <f>[1]Worksheet!I31</f>
        <v>731760</v>
      </c>
      <c r="D29" s="244"/>
      <c r="E29" s="244"/>
      <c r="F29" s="244"/>
      <c r="G29" s="244"/>
      <c r="H29" s="244"/>
    </row>
    <row r="30" spans="1:8" x14ac:dyDescent="0.25">
      <c r="A30" s="294"/>
      <c r="B30" s="240" t="s">
        <v>196</v>
      </c>
      <c r="C30" s="244">
        <f>([1]Worksheet!I32)*0.5</f>
        <v>1950000</v>
      </c>
      <c r="D30" s="244">
        <f>([1]Worksheet!I32)*0.5</f>
        <v>1950000</v>
      </c>
      <c r="E30" s="244"/>
      <c r="F30" s="244"/>
      <c r="G30" s="244"/>
      <c r="H30" s="244"/>
    </row>
    <row r="31" spans="1:8" x14ac:dyDescent="0.25">
      <c r="A31" s="294"/>
      <c r="B31" s="240" t="s">
        <v>192</v>
      </c>
      <c r="C31" s="244"/>
      <c r="D31" s="244">
        <f>([1]Worksheet!I33)*0.5</f>
        <v>194000</v>
      </c>
      <c r="E31" s="244">
        <f>([1]Worksheet!I33)*0.3</f>
        <v>116400</v>
      </c>
      <c r="F31" s="244">
        <f>([1]Worksheet!I33)*0.2</f>
        <v>77600</v>
      </c>
      <c r="G31" s="244"/>
      <c r="H31" s="244"/>
    </row>
    <row r="32" spans="1:8" x14ac:dyDescent="0.25">
      <c r="A32" s="294"/>
      <c r="B32" s="240" t="s">
        <v>193</v>
      </c>
      <c r="C32" s="244"/>
      <c r="D32" s="244">
        <f>([1]Worksheet!I34)*0.35</f>
        <v>98000</v>
      </c>
      <c r="E32" s="244">
        <f>([1]Worksheet!I34)*0.35</f>
        <v>98000</v>
      </c>
      <c r="F32" s="244">
        <f>([1]Worksheet!I34)*0.3</f>
        <v>84000</v>
      </c>
      <c r="G32" s="244"/>
      <c r="H32" s="244"/>
    </row>
    <row r="33" spans="1:8" ht="26.25" x14ac:dyDescent="0.25">
      <c r="A33" s="294"/>
      <c r="B33" s="293" t="s">
        <v>191</v>
      </c>
      <c r="C33" s="244"/>
      <c r="D33" s="244">
        <f>([1]Worksheet!I35)*0.35</f>
        <v>393750</v>
      </c>
      <c r="E33" s="244">
        <f>([1]Worksheet!I35)*0.35</f>
        <v>393750</v>
      </c>
      <c r="F33" s="244">
        <f>([1]Worksheet!I35)*0.3</f>
        <v>337500</v>
      </c>
      <c r="G33" s="244"/>
      <c r="H33" s="244"/>
    </row>
    <row r="34" spans="1:8" x14ac:dyDescent="0.25">
      <c r="A34" s="294"/>
      <c r="B34" s="240" t="s">
        <v>194</v>
      </c>
      <c r="C34" s="244"/>
      <c r="D34" s="244">
        <f>([1]Worksheet!I36)*0.25</f>
        <v>61000</v>
      </c>
      <c r="E34" s="244">
        <f>([1]Worksheet!I36)*0.5</f>
        <v>122000</v>
      </c>
      <c r="F34" s="244">
        <f>([1]Worksheet!I36)*0.25</f>
        <v>61000</v>
      </c>
      <c r="G34" s="244"/>
      <c r="H34" s="244"/>
    </row>
    <row r="35" spans="1:8" x14ac:dyDescent="0.25">
      <c r="A35" s="294"/>
      <c r="B35" s="240" t="s">
        <v>25</v>
      </c>
      <c r="C35" s="244"/>
      <c r="D35" s="244">
        <f>([1]Worksheet!J37)*0.35</f>
        <v>583516.5</v>
      </c>
      <c r="E35" s="244">
        <f>([1]Worksheet!J37)*0.35</f>
        <v>583516.5</v>
      </c>
      <c r="F35" s="244">
        <f>([1]Worksheet!J37)*0.3</f>
        <v>500157</v>
      </c>
      <c r="G35" s="244"/>
      <c r="H35" s="244"/>
    </row>
    <row r="36" spans="1:8" x14ac:dyDescent="0.25">
      <c r="A36" s="294"/>
      <c r="B36" s="240" t="s">
        <v>197</v>
      </c>
      <c r="C36" s="244"/>
      <c r="D36" s="244">
        <f>([1]Worksheet!K39)*0.35</f>
        <v>420131.88</v>
      </c>
      <c r="E36" s="244">
        <f>([1]Worksheet!K39)*0.35</f>
        <v>420131.88</v>
      </c>
      <c r="F36" s="244">
        <f>([1]Worksheet!K39)*0.3</f>
        <v>360113.04</v>
      </c>
      <c r="G36" s="244"/>
      <c r="H36" s="244"/>
    </row>
    <row r="37" spans="1:8" x14ac:dyDescent="0.25">
      <c r="A37" s="294"/>
      <c r="B37" s="290" t="s">
        <v>209</v>
      </c>
      <c r="C37" s="241">
        <f t="shared" ref="C37:E37" si="0">+SUM(C29:C36)</f>
        <v>2681760</v>
      </c>
      <c r="D37" s="241">
        <f t="shared" si="0"/>
        <v>3700398.38</v>
      </c>
      <c r="E37" s="241">
        <f t="shared" si="0"/>
        <v>1733798.38</v>
      </c>
      <c r="F37" s="241">
        <f>+SUM(F29:F36)</f>
        <v>1420370.04</v>
      </c>
      <c r="G37" s="244"/>
      <c r="H37" s="241">
        <f>SUM(C37:G37)</f>
        <v>9536326.8000000007</v>
      </c>
    </row>
    <row r="38" spans="1:8" x14ac:dyDescent="0.25">
      <c r="A38" s="291"/>
      <c r="B38" s="290"/>
    </row>
    <row r="39" spans="1:8" x14ac:dyDescent="0.25">
      <c r="A39" s="31"/>
    </row>
    <row r="40" spans="1:8" ht="18" x14ac:dyDescent="0.4">
      <c r="A40" s="248"/>
      <c r="B40" s="295" t="s">
        <v>210</v>
      </c>
      <c r="C40" s="241">
        <f t="shared" ref="C40:G40" si="1">C10+C20+C27+C37</f>
        <v>9964069.333333334</v>
      </c>
      <c r="D40" s="241">
        <f t="shared" si="1"/>
        <v>10552840.046666667</v>
      </c>
      <c r="E40" s="241">
        <f t="shared" si="1"/>
        <v>5314573.38</v>
      </c>
      <c r="F40" s="241">
        <f t="shared" si="1"/>
        <v>3350320.04</v>
      </c>
      <c r="G40" s="241">
        <f t="shared" si="1"/>
        <v>0</v>
      </c>
      <c r="H40" s="296">
        <f>H10+H20+H27+H37</f>
        <v>29181802.800000001</v>
      </c>
    </row>
    <row r="41" spans="1:8" x14ac:dyDescent="0.25">
      <c r="H41" s="241">
        <f>SUM(C40:G40)</f>
        <v>29181802.800000001</v>
      </c>
    </row>
    <row r="46" spans="1:8" x14ac:dyDescent="0.25">
      <c r="H46" s="24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J21" sqref="J21"/>
    </sheetView>
  </sheetViews>
  <sheetFormatPr defaultRowHeight="15.75" x14ac:dyDescent="0.25"/>
  <cols>
    <col min="1" max="1" width="30" customWidth="1"/>
    <col min="2" max="2" width="9.75" customWidth="1"/>
    <col min="3" max="3" width="8.125" bestFit="1" customWidth="1"/>
    <col min="4" max="4" width="9" customWidth="1"/>
    <col min="5" max="7" width="8.75" bestFit="1" customWidth="1"/>
    <col min="8" max="8" width="8.875" bestFit="1" customWidth="1"/>
    <col min="9" max="9" width="9.625" customWidth="1"/>
    <col min="10" max="11" width="8.75" bestFit="1" customWidth="1"/>
    <col min="12" max="12" width="9.875" customWidth="1"/>
  </cols>
  <sheetData>
    <row r="1" spans="1:13" ht="25.5" x14ac:dyDescent="0.25">
      <c r="A1" s="297" t="s">
        <v>211</v>
      </c>
      <c r="B1" s="298" t="s">
        <v>212</v>
      </c>
      <c r="C1" s="299" t="s">
        <v>179</v>
      </c>
      <c r="D1" s="299" t="s">
        <v>181</v>
      </c>
      <c r="E1" s="299" t="s">
        <v>213</v>
      </c>
      <c r="F1" s="299" t="s">
        <v>214</v>
      </c>
      <c r="G1" s="299" t="s">
        <v>215</v>
      </c>
      <c r="H1" s="299" t="s">
        <v>216</v>
      </c>
      <c r="I1" s="299" t="s">
        <v>217</v>
      </c>
      <c r="J1" s="299" t="s">
        <v>218</v>
      </c>
      <c r="K1" s="299" t="s">
        <v>197</v>
      </c>
      <c r="L1" s="299" t="s">
        <v>219</v>
      </c>
      <c r="M1" s="230"/>
    </row>
    <row r="2" spans="1:13" x14ac:dyDescent="0.25">
      <c r="A2" s="286" t="s">
        <v>183</v>
      </c>
      <c r="B2" t="s">
        <v>220</v>
      </c>
      <c r="C2" s="289"/>
      <c r="D2" s="289"/>
      <c r="E2" s="289">
        <f>2500*4*15</f>
        <v>150000</v>
      </c>
      <c r="F2" s="289"/>
      <c r="G2" s="289"/>
      <c r="H2" s="289"/>
      <c r="I2" s="289"/>
      <c r="J2" s="289"/>
      <c r="K2" s="289"/>
      <c r="L2" s="289"/>
    </row>
    <row r="3" spans="1:13" x14ac:dyDescent="0.25">
      <c r="A3" s="286" t="s">
        <v>184</v>
      </c>
      <c r="C3" s="289"/>
      <c r="D3" s="289"/>
      <c r="E3" s="289">
        <f>2500*6*20</f>
        <v>300000</v>
      </c>
      <c r="F3" s="289"/>
      <c r="G3" s="289"/>
      <c r="H3" s="289"/>
      <c r="I3" s="289"/>
      <c r="J3" s="289"/>
      <c r="K3" s="289"/>
      <c r="L3" s="289"/>
    </row>
    <row r="4" spans="1:13" x14ac:dyDescent="0.25">
      <c r="A4" s="286" t="s">
        <v>185</v>
      </c>
      <c r="C4" s="289"/>
      <c r="D4" s="289"/>
      <c r="E4" s="289">
        <f>2000*4*15</f>
        <v>120000</v>
      </c>
      <c r="F4" s="289"/>
      <c r="G4" s="289"/>
      <c r="H4" s="289"/>
      <c r="I4" s="289"/>
      <c r="J4" s="289"/>
      <c r="K4" s="289"/>
      <c r="L4" s="289"/>
    </row>
    <row r="5" spans="1:13" x14ac:dyDescent="0.25">
      <c r="A5" s="286" t="s">
        <v>186</v>
      </c>
      <c r="C5" s="289"/>
      <c r="D5" s="289"/>
      <c r="E5" s="289">
        <f>(250000*6)+150000</f>
        <v>1650000</v>
      </c>
      <c r="F5" s="289"/>
      <c r="G5" s="289"/>
      <c r="H5" s="289"/>
      <c r="I5" s="289"/>
      <c r="J5" s="289"/>
      <c r="K5" s="289"/>
      <c r="L5" s="289"/>
    </row>
    <row r="6" spans="1:13" x14ac:dyDescent="0.25">
      <c r="A6" s="286" t="s">
        <v>17</v>
      </c>
      <c r="C6" s="289"/>
      <c r="D6" s="289"/>
      <c r="E6" s="289">
        <f>2500*4*5</f>
        <v>50000</v>
      </c>
      <c r="F6" s="289"/>
      <c r="G6" s="289"/>
      <c r="H6" s="289"/>
      <c r="I6" s="289"/>
      <c r="J6" s="289"/>
      <c r="K6" s="289"/>
      <c r="L6" s="289"/>
    </row>
    <row r="7" spans="1:13" x14ac:dyDescent="0.25">
      <c r="A7" s="286" t="s">
        <v>25</v>
      </c>
      <c r="C7" s="289"/>
      <c r="D7" s="289"/>
      <c r="F7" s="289"/>
      <c r="G7" s="289"/>
      <c r="H7" s="289"/>
      <c r="I7" s="289"/>
      <c r="J7" s="289">
        <f>SUM(E2:E6)*0.25</f>
        <v>567500</v>
      </c>
      <c r="K7" s="289"/>
      <c r="L7" s="289"/>
    </row>
    <row r="8" spans="1:13" x14ac:dyDescent="0.25">
      <c r="A8" s="286" t="s">
        <v>197</v>
      </c>
      <c r="C8" s="289"/>
      <c r="D8" s="289"/>
      <c r="F8" s="289"/>
      <c r="G8" s="289"/>
      <c r="H8" s="289"/>
      <c r="I8" s="289"/>
      <c r="J8" s="289"/>
      <c r="K8" s="289">
        <f>SUM(E2:E6)*0.18</f>
        <v>408600</v>
      </c>
      <c r="L8" s="289"/>
    </row>
    <row r="9" spans="1:13" x14ac:dyDescent="0.25">
      <c r="A9" s="300" t="s">
        <v>221</v>
      </c>
      <c r="C9" s="289"/>
      <c r="D9" s="289"/>
      <c r="E9" s="289">
        <f>SUM(E2:E6)</f>
        <v>2270000</v>
      </c>
      <c r="F9" s="289"/>
      <c r="G9" s="289"/>
      <c r="H9" s="289"/>
      <c r="I9" s="289"/>
      <c r="J9" s="289">
        <f>SUM(J2:J7)</f>
        <v>567500</v>
      </c>
      <c r="K9" s="289">
        <f>SUM(K2:K8)</f>
        <v>408600</v>
      </c>
    </row>
    <row r="10" spans="1:13" x14ac:dyDescent="0.25">
      <c r="A10" s="301" t="s">
        <v>222</v>
      </c>
      <c r="C10" s="289"/>
      <c r="D10" s="289"/>
      <c r="E10" s="289"/>
      <c r="F10" s="289"/>
      <c r="G10" s="289"/>
      <c r="H10" s="289"/>
      <c r="I10" s="289"/>
      <c r="J10" s="289"/>
      <c r="K10" s="289"/>
      <c r="L10" s="241">
        <f>SUM(C9:K9)</f>
        <v>3246100</v>
      </c>
    </row>
    <row r="11" spans="1:13" x14ac:dyDescent="0.25">
      <c r="A11" s="290"/>
      <c r="C11" s="289"/>
      <c r="D11" s="289"/>
      <c r="E11" s="289"/>
      <c r="F11" s="289"/>
      <c r="G11" s="289"/>
      <c r="H11" s="289"/>
      <c r="I11" s="289"/>
      <c r="J11" s="289"/>
      <c r="K11" s="289"/>
      <c r="L11" s="289"/>
    </row>
    <row r="12" spans="1:13" x14ac:dyDescent="0.25">
      <c r="A12" s="240" t="s">
        <v>179</v>
      </c>
      <c r="C12" s="292">
        <f>481760+(2000*100)+50000</f>
        <v>731760</v>
      </c>
      <c r="D12" s="289"/>
      <c r="E12" s="289"/>
      <c r="F12" s="289"/>
      <c r="G12" s="289"/>
      <c r="H12" s="289"/>
      <c r="I12" s="289"/>
      <c r="J12" s="289"/>
      <c r="K12" s="289"/>
      <c r="L12" s="289"/>
    </row>
    <row r="13" spans="1:13" x14ac:dyDescent="0.25">
      <c r="A13" s="240" t="s">
        <v>181</v>
      </c>
      <c r="C13" s="289"/>
      <c r="D13" s="292">
        <f>3500000+400000</f>
        <v>3900000</v>
      </c>
      <c r="E13" s="289"/>
      <c r="F13" s="289"/>
      <c r="G13" s="289"/>
      <c r="H13" s="289"/>
      <c r="I13" s="289"/>
      <c r="J13" s="289"/>
      <c r="K13" s="289"/>
      <c r="L13" s="289"/>
    </row>
    <row r="14" spans="1:13" x14ac:dyDescent="0.25">
      <c r="A14" s="240" t="s">
        <v>180</v>
      </c>
      <c r="C14" s="289">
        <f>C12*0.35</f>
        <v>256115.99999999997</v>
      </c>
      <c r="D14" s="289"/>
      <c r="E14" s="289"/>
      <c r="F14" s="289"/>
      <c r="G14" s="289"/>
      <c r="H14" s="289"/>
      <c r="I14" s="289"/>
      <c r="J14" s="289"/>
      <c r="K14" s="289"/>
      <c r="L14" s="289"/>
    </row>
    <row r="15" spans="1:13" x14ac:dyDescent="0.25">
      <c r="A15" s="240" t="s">
        <v>187</v>
      </c>
      <c r="C15" s="289"/>
      <c r="D15" s="289"/>
      <c r="E15" s="289"/>
      <c r="F15" s="289">
        <f>2500*8*20</f>
        <v>400000</v>
      </c>
      <c r="G15" s="289"/>
      <c r="H15" s="289"/>
      <c r="I15" s="289"/>
      <c r="J15" s="289"/>
      <c r="K15" s="289"/>
      <c r="L15" s="289"/>
    </row>
    <row r="16" spans="1:13" x14ac:dyDescent="0.25">
      <c r="A16" s="240" t="s">
        <v>188</v>
      </c>
      <c r="C16" s="289"/>
      <c r="D16" s="289"/>
      <c r="E16" s="289"/>
      <c r="F16" s="289">
        <f>2500*4*40</f>
        <v>400000</v>
      </c>
      <c r="G16" s="289"/>
      <c r="H16" s="289"/>
      <c r="I16" s="289"/>
      <c r="J16" s="289"/>
      <c r="K16" s="289"/>
      <c r="L16" s="289"/>
    </row>
    <row r="17" spans="1:13" x14ac:dyDescent="0.25">
      <c r="A17" s="240" t="s">
        <v>17</v>
      </c>
      <c r="C17" s="289"/>
      <c r="D17" s="289"/>
      <c r="E17" s="289"/>
      <c r="F17" s="289">
        <f>(2500*8*10)+500000</f>
        <v>700000</v>
      </c>
      <c r="G17" s="289"/>
      <c r="H17" s="289"/>
      <c r="I17" s="289"/>
      <c r="J17" s="289"/>
      <c r="K17" s="289"/>
      <c r="L17" s="289"/>
    </row>
    <row r="18" spans="1:13" x14ac:dyDescent="0.25">
      <c r="A18" s="240" t="s">
        <v>25</v>
      </c>
      <c r="C18" s="289"/>
      <c r="D18" s="289"/>
      <c r="E18" s="289"/>
      <c r="G18" s="289"/>
      <c r="H18" s="289"/>
      <c r="I18" s="289"/>
      <c r="J18" s="289">
        <f>SUM(F15:F17)*0.25</f>
        <v>375000</v>
      </c>
      <c r="K18" s="289"/>
      <c r="L18" s="289"/>
    </row>
    <row r="19" spans="1:13" x14ac:dyDescent="0.25">
      <c r="A19" s="240" t="s">
        <v>197</v>
      </c>
      <c r="C19" s="289"/>
      <c r="D19" s="289"/>
      <c r="E19" s="289"/>
      <c r="G19" s="289"/>
      <c r="H19" s="289"/>
      <c r="I19" s="289"/>
      <c r="J19" s="289"/>
      <c r="K19" s="289">
        <f>SUM(F15:F17)*0.18</f>
        <v>270000</v>
      </c>
      <c r="L19" s="289"/>
    </row>
    <row r="20" spans="1:13" x14ac:dyDescent="0.25">
      <c r="A20" s="300" t="s">
        <v>221</v>
      </c>
      <c r="C20" s="289">
        <f>SUM(C12:C17)</f>
        <v>987876</v>
      </c>
      <c r="D20" s="289">
        <f>SUM(D12:D17)</f>
        <v>3900000</v>
      </c>
      <c r="E20" s="289"/>
      <c r="F20" s="289">
        <f>SUM(F12:F17)</f>
        <v>1500000</v>
      </c>
      <c r="G20" s="289"/>
      <c r="H20" s="289"/>
      <c r="I20" s="289"/>
      <c r="J20" s="289">
        <f>SUM(J12:J18)</f>
        <v>375000</v>
      </c>
      <c r="K20" s="289">
        <f>SUM(K12:K19)</f>
        <v>270000</v>
      </c>
    </row>
    <row r="21" spans="1:13" x14ac:dyDescent="0.25">
      <c r="A21" s="301" t="s">
        <v>223</v>
      </c>
      <c r="C21" s="289"/>
      <c r="D21" s="289"/>
      <c r="E21" s="289"/>
      <c r="F21" s="289"/>
      <c r="G21" s="289"/>
      <c r="H21" s="289"/>
      <c r="I21" s="289"/>
      <c r="J21" s="289"/>
      <c r="K21" s="289"/>
      <c r="L21" s="241">
        <f>SUM(C20:K20)</f>
        <v>7032876</v>
      </c>
    </row>
    <row r="22" spans="1:13" x14ac:dyDescent="0.25">
      <c r="C22" s="289"/>
      <c r="D22" s="289"/>
      <c r="E22" s="289"/>
      <c r="F22" s="289"/>
      <c r="G22" s="289"/>
      <c r="H22" s="289"/>
      <c r="I22" s="289"/>
      <c r="J22" s="289"/>
      <c r="K22" s="289"/>
      <c r="L22" s="289"/>
    </row>
    <row r="23" spans="1:13" x14ac:dyDescent="0.25">
      <c r="A23" s="240" t="s">
        <v>189</v>
      </c>
      <c r="B23" t="s">
        <v>224</v>
      </c>
      <c r="C23" s="289"/>
      <c r="D23" s="289"/>
      <c r="E23" s="289"/>
      <c r="F23" s="289"/>
      <c r="G23" s="289">
        <f>2500*4*250</f>
        <v>2500000</v>
      </c>
      <c r="H23" s="289"/>
      <c r="I23" s="289"/>
      <c r="J23" s="289"/>
      <c r="K23" s="289"/>
      <c r="L23" s="289"/>
    </row>
    <row r="24" spans="1:13" x14ac:dyDescent="0.25">
      <c r="A24" s="240" t="s">
        <v>190</v>
      </c>
      <c r="C24" s="289"/>
      <c r="D24" s="289"/>
      <c r="E24" s="289"/>
      <c r="G24" s="289">
        <f>(1000*1*5*50)+(2500*4*5*50)</f>
        <v>2750000</v>
      </c>
      <c r="H24" s="289"/>
      <c r="I24" s="289"/>
      <c r="J24" s="289"/>
      <c r="K24" s="289"/>
      <c r="L24" s="289"/>
    </row>
    <row r="25" spans="1:13" x14ac:dyDescent="0.25">
      <c r="A25" s="240" t="s">
        <v>17</v>
      </c>
      <c r="C25" s="289"/>
      <c r="D25" s="289"/>
      <c r="E25" s="289"/>
      <c r="F25" s="289"/>
      <c r="G25" s="289">
        <f>SUM(2500*4*20)+100000+500000+500000</f>
        <v>1300000</v>
      </c>
      <c r="H25" s="289"/>
      <c r="I25" s="289"/>
      <c r="J25" s="289"/>
      <c r="K25" s="289"/>
      <c r="L25" s="289"/>
      <c r="M25" s="289"/>
    </row>
    <row r="26" spans="1:13" x14ac:dyDescent="0.25">
      <c r="A26" s="240" t="s">
        <v>25</v>
      </c>
      <c r="C26" s="289"/>
      <c r="D26" s="289"/>
      <c r="E26" s="289"/>
      <c r="F26" s="289"/>
      <c r="G26" s="289"/>
      <c r="H26" s="289"/>
      <c r="I26" s="289"/>
      <c r="J26" s="289">
        <f>SUM(G23:G25)*0.25</f>
        <v>1637500</v>
      </c>
      <c r="K26" s="289"/>
      <c r="L26" s="289"/>
    </row>
    <row r="27" spans="1:13" x14ac:dyDescent="0.25">
      <c r="A27" s="240" t="s">
        <v>197</v>
      </c>
      <c r="C27" s="289"/>
      <c r="D27" s="289"/>
      <c r="E27" s="289"/>
      <c r="F27" s="289"/>
      <c r="G27" s="289"/>
      <c r="H27" s="289"/>
      <c r="I27" s="289"/>
      <c r="J27" s="289"/>
      <c r="K27" s="289">
        <f>SUM(G23:G25)*0.18</f>
        <v>1179000</v>
      </c>
      <c r="L27" s="289"/>
    </row>
    <row r="28" spans="1:13" x14ac:dyDescent="0.25">
      <c r="A28" s="300" t="s">
        <v>221</v>
      </c>
      <c r="C28" s="289"/>
      <c r="D28" s="289"/>
      <c r="E28" s="289"/>
      <c r="F28" s="289"/>
      <c r="G28" s="289">
        <f>SUM(G23:G25)</f>
        <v>6550000</v>
      </c>
      <c r="H28" s="289"/>
      <c r="I28" s="289"/>
      <c r="J28" s="289">
        <f>SUM(J23:J26)</f>
        <v>1637500</v>
      </c>
      <c r="K28" s="289">
        <f>SUM(K23:K27)</f>
        <v>1179000</v>
      </c>
    </row>
    <row r="29" spans="1:13" x14ac:dyDescent="0.25">
      <c r="A29" s="301" t="s">
        <v>225</v>
      </c>
      <c r="C29" s="289"/>
      <c r="D29" s="289"/>
      <c r="E29" s="289"/>
      <c r="F29" s="289"/>
      <c r="G29" s="289"/>
      <c r="H29" s="289"/>
      <c r="I29" s="289"/>
      <c r="J29" s="289"/>
      <c r="K29" s="289"/>
      <c r="L29" s="241">
        <f>SUM(C28:K28)</f>
        <v>9366500</v>
      </c>
    </row>
    <row r="30" spans="1:13" x14ac:dyDescent="0.25">
      <c r="A30" s="290"/>
      <c r="C30" s="289"/>
      <c r="D30" s="289"/>
      <c r="E30" s="289"/>
      <c r="F30" s="289"/>
      <c r="G30" s="289"/>
      <c r="H30" s="289"/>
      <c r="J30" s="289"/>
      <c r="K30" s="289"/>
      <c r="L30" s="289"/>
    </row>
    <row r="31" spans="1:13" x14ac:dyDescent="0.25">
      <c r="A31" s="240" t="s">
        <v>195</v>
      </c>
      <c r="B31" t="s">
        <v>208</v>
      </c>
      <c r="C31" s="289"/>
      <c r="D31" s="289"/>
      <c r="E31" s="289"/>
      <c r="F31" s="289"/>
      <c r="G31" s="289"/>
      <c r="H31" s="289"/>
      <c r="I31" s="289">
        <f>(C12*0.2)*5</f>
        <v>731760</v>
      </c>
      <c r="J31" s="289"/>
      <c r="K31" s="289"/>
      <c r="L31" s="289"/>
    </row>
    <row r="32" spans="1:13" x14ac:dyDescent="0.25">
      <c r="A32" s="240" t="s">
        <v>196</v>
      </c>
      <c r="C32" s="289"/>
      <c r="D32" s="289"/>
      <c r="E32" s="289"/>
      <c r="F32" s="289"/>
      <c r="G32" s="289"/>
      <c r="H32" s="289"/>
      <c r="I32" s="289">
        <f>(D13*0.2)*5</f>
        <v>3900000</v>
      </c>
      <c r="J32" s="289"/>
      <c r="K32" s="289"/>
      <c r="L32" s="289"/>
    </row>
    <row r="33" spans="1:12" x14ac:dyDescent="0.25">
      <c r="A33" s="240" t="s">
        <v>192</v>
      </c>
      <c r="C33" s="289"/>
      <c r="D33" s="289"/>
      <c r="E33" s="289"/>
      <c r="F33" s="289"/>
      <c r="G33" s="289"/>
      <c r="H33" s="289"/>
      <c r="I33" s="289">
        <f>(2500*2*20)+(2000*2*72)</f>
        <v>388000</v>
      </c>
      <c r="J33" s="289"/>
      <c r="K33" s="289"/>
      <c r="L33" s="289"/>
    </row>
    <row r="34" spans="1:12" x14ac:dyDescent="0.25">
      <c r="A34" s="240" t="s">
        <v>193</v>
      </c>
      <c r="C34" s="289"/>
      <c r="D34" s="289"/>
      <c r="E34" s="289"/>
      <c r="F34" s="289"/>
      <c r="G34" s="289"/>
      <c r="H34" s="289"/>
      <c r="I34" s="289">
        <f>(2500*2*20)+(2000*1*90)</f>
        <v>280000</v>
      </c>
      <c r="J34" s="289"/>
      <c r="K34" s="289"/>
      <c r="L34" s="289"/>
    </row>
    <row r="35" spans="1:12" x14ac:dyDescent="0.25">
      <c r="A35" s="240" t="s">
        <v>191</v>
      </c>
      <c r="C35" s="289"/>
      <c r="D35" s="289"/>
      <c r="E35" s="289"/>
      <c r="F35" s="289"/>
      <c r="G35" s="289"/>
      <c r="H35" s="289"/>
      <c r="I35" s="289">
        <f>(1500*1*750)</f>
        <v>1125000</v>
      </c>
      <c r="J35" s="289"/>
      <c r="K35" s="289"/>
      <c r="L35" s="289"/>
    </row>
    <row r="36" spans="1:12" x14ac:dyDescent="0.25">
      <c r="A36" s="240" t="s">
        <v>194</v>
      </c>
      <c r="C36" s="289"/>
      <c r="D36" s="289"/>
      <c r="E36" s="289"/>
      <c r="F36" s="289"/>
      <c r="G36" s="289"/>
      <c r="H36" s="289"/>
      <c r="I36" s="289">
        <f>(2500*2*20)+(2000*1*72)</f>
        <v>244000</v>
      </c>
      <c r="J36" s="289"/>
      <c r="K36" s="289"/>
      <c r="L36" s="289"/>
    </row>
    <row r="37" spans="1:12" x14ac:dyDescent="0.25">
      <c r="A37" s="240" t="s">
        <v>25</v>
      </c>
      <c r="C37" s="289"/>
      <c r="D37" s="289"/>
      <c r="E37" s="289"/>
      <c r="F37" s="289"/>
      <c r="G37" s="289"/>
      <c r="H37" s="289"/>
      <c r="I37" s="289"/>
      <c r="J37" s="289">
        <f>SUM(I31:I36)*0.25</f>
        <v>1667190</v>
      </c>
      <c r="K37" s="289"/>
      <c r="L37" s="289"/>
    </row>
    <row r="38" spans="1:12" x14ac:dyDescent="0.25">
      <c r="A38" s="240" t="s">
        <v>197</v>
      </c>
      <c r="C38" s="289"/>
      <c r="D38" s="289"/>
      <c r="E38" s="289"/>
      <c r="F38" s="289"/>
      <c r="G38" s="289"/>
      <c r="H38" s="289"/>
      <c r="I38" s="289"/>
      <c r="J38" s="289"/>
      <c r="K38" s="289">
        <f>SUM(I31:I36)*0.18</f>
        <v>1200376.8</v>
      </c>
      <c r="L38" s="289"/>
    </row>
    <row r="39" spans="1:12" x14ac:dyDescent="0.25">
      <c r="A39" s="300" t="s">
        <v>221</v>
      </c>
      <c r="C39" s="289"/>
      <c r="D39" s="289"/>
      <c r="E39" s="289"/>
      <c r="F39" s="289"/>
      <c r="G39" s="289"/>
      <c r="H39" s="289"/>
      <c r="I39" s="289">
        <f>SUM(I31:I36)</f>
        <v>6668760</v>
      </c>
      <c r="J39" s="289">
        <f>SUM(J31:J37)</f>
        <v>1667190</v>
      </c>
      <c r="K39" s="289">
        <f>SUM(K30:K38)</f>
        <v>1200376.8</v>
      </c>
      <c r="L39" s="289"/>
    </row>
    <row r="40" spans="1:12" x14ac:dyDescent="0.25">
      <c r="A40" s="301" t="s">
        <v>226</v>
      </c>
      <c r="C40" s="289"/>
      <c r="D40" s="289"/>
      <c r="E40" s="289"/>
      <c r="F40" s="289"/>
      <c r="G40" s="289"/>
      <c r="H40" s="289"/>
      <c r="I40" s="289"/>
      <c r="J40" s="289"/>
      <c r="K40" s="289"/>
      <c r="L40" s="241">
        <f>SUM(C39:K39)</f>
        <v>9536326.8000000007</v>
      </c>
    </row>
    <row r="41" spans="1:12" x14ac:dyDescent="0.25">
      <c r="A41" s="240"/>
      <c r="C41" s="289"/>
      <c r="D41" s="289"/>
      <c r="E41" s="289"/>
      <c r="F41" s="289"/>
      <c r="G41" s="289"/>
      <c r="H41" s="289"/>
      <c r="I41" s="289"/>
      <c r="J41" s="289"/>
      <c r="K41" s="289"/>
      <c r="L41" s="289"/>
    </row>
    <row r="42" spans="1:12" ht="18" x14ac:dyDescent="0.4">
      <c r="A42" s="302" t="s">
        <v>227</v>
      </c>
      <c r="B42" s="242"/>
      <c r="C42" s="234">
        <f>SUM(C12:C18)</f>
        <v>987876</v>
      </c>
      <c r="D42" s="234">
        <f>SUM(D13)</f>
        <v>3900000</v>
      </c>
      <c r="E42" s="234">
        <f>E9</f>
        <v>2270000</v>
      </c>
      <c r="F42" s="234">
        <f>F9+F20+F28+F39</f>
        <v>1500000</v>
      </c>
      <c r="G42" s="234">
        <f>G9+G20+G28+G39</f>
        <v>6550000</v>
      </c>
      <c r="H42" s="242"/>
      <c r="I42" s="242"/>
      <c r="J42" s="234">
        <f>J9+J20+J28+J39</f>
        <v>4247190</v>
      </c>
      <c r="K42" s="234">
        <f>K8+K19+K28+K39</f>
        <v>3057976.8</v>
      </c>
      <c r="L42" s="303">
        <f>SUM(L2:L41)</f>
        <v>29181802.800000001</v>
      </c>
    </row>
    <row r="43" spans="1:12" x14ac:dyDescent="0.25">
      <c r="H43" s="289">
        <f>SUM(E42:G42)</f>
        <v>10320000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E55C544C39A3142B0047D57FB75883F" ma:contentTypeVersion="0" ma:contentTypeDescription="A content type to manage public (operations) IDB documents" ma:contentTypeScope="" ma:versionID="ca82f8c195b8f183231b3d7a263a9fd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937caba5ef611e13f9a97f1691dd91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dcc9c2e-de7c-4e25-b077-150b0a612304}" ma:internalName="TaxCatchAll" ma:showField="CatchAllData" ma:web="56cfd1fd-a78f-46b0-bb34-6cbdf6c9e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dcc9c2e-de7c-4e25-b077-150b0a612304}" ma:internalName="TaxCatchAllLabel" ma:readOnly="true" ma:showField="CatchAllDataLabel" ma:web="56cfd1fd-a78f-46b0-bb34-6cbdf6c9e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39266355</IDBDocs_x0020_Number>
    <Document_x0020_Author xmlns="9c571b2f-e523-4ab2-ba2e-09e151a03ef4">King, Dana Michael</Document_x0020_Author>
    <Publication_x0020_Type xmlns="9c571b2f-e523-4ab2-ba2e-09e151a03ef4" xsi:nil="true"/>
    <Operation_x0020_Type xmlns="9c571b2f-e523-4ab2-ba2e-09e151a03ef4" xsi:nil="true"/>
    <TaxCatchAll xmlns="9c571b2f-e523-4ab2-ba2e-09e151a03ef4">
      <Value>7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TT-L1042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505875A5-5281-490D-A5B9-52BC0B670686}"/>
</file>

<file path=customXml/itemProps2.xml><?xml version="1.0" encoding="utf-8"?>
<ds:datastoreItem xmlns:ds="http://schemas.openxmlformats.org/officeDocument/2006/customXml" ds:itemID="{13EF5D13-2582-4774-90D6-B7FE08647950}"/>
</file>

<file path=customXml/itemProps3.xml><?xml version="1.0" encoding="utf-8"?>
<ds:datastoreItem xmlns:ds="http://schemas.openxmlformats.org/officeDocument/2006/customXml" ds:itemID="{2C8444E1-D7E5-4B22-888F-D8597EA0FCEB}"/>
</file>

<file path=customXml/itemProps4.xml><?xml version="1.0" encoding="utf-8"?>
<ds:datastoreItem xmlns:ds="http://schemas.openxmlformats.org/officeDocument/2006/customXml" ds:itemID="{4A689729-8141-4FAB-B8A8-E025BA31F6F3}"/>
</file>

<file path=customXml/itemProps5.xml><?xml version="1.0" encoding="utf-8"?>
<ds:datastoreItem xmlns:ds="http://schemas.openxmlformats.org/officeDocument/2006/customXml" ds:itemID="{82916D2A-719F-44B8-A475-B2B91DDD2B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Detailed PP</vt:lpstr>
      <vt:lpstr>Procurement Plan</vt:lpstr>
      <vt:lpstr>Detailed Budget </vt:lpstr>
      <vt:lpstr>Budget POD</vt:lpstr>
      <vt:lpstr>PEP</vt:lpstr>
      <vt:lpstr>Product view</vt:lpstr>
      <vt:lpstr>Process View</vt:lpstr>
      <vt:lpstr>Worksheet</vt:lpstr>
      <vt:lpstr>'Detailed Budget '!Print_Area</vt:lpstr>
      <vt:lpstr>'Detailed PP'!Print_Area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Plan, Plurianual Execution Plan, and Detailed Budget</dc:title>
  <dc:creator>Diego Reinoso</dc:creator>
  <cp:lastModifiedBy>Melissa</cp:lastModifiedBy>
  <cp:lastPrinted>2014-02-14T13:16:39Z</cp:lastPrinted>
  <dcterms:created xsi:type="dcterms:W3CDTF">2013-04-08T21:46:41Z</dcterms:created>
  <dcterms:modified xsi:type="dcterms:W3CDTF">2015-04-28T23:03:05Z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0x01010046CF21643EE8D14686A648AA6DAD0892000E55C544C39A3142B0047D57FB75883F</vt:lpwstr>
  </property>
  <property fmtid="{D5CDD505-2E9C-101B-9397-08002B2CF9AE}" pid="5" name="TaxKeywordTaxHTField">
    <vt:lpwstr/>
  </property>
  <property fmtid="{D5CDD505-2E9C-101B-9397-08002B2CF9AE}" pid="6" name="Series Operations IDB">
    <vt:lpwstr>6;#Unclassified|a6dff32e-d477-44cd-a56b-85efe9e0a56c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6;#Unclassified|a6dff32e-d477-44cd-a56b-85efe9e0a56c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7;#IDBDocs|cca77002-e150-4b2d-ab1f-1d7a7cdcae16</vt:lpwstr>
  </property>
</Properties>
</file>