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6.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705" yWindow="-15" windowWidth="9510" windowHeight="11760" tabRatio="789"/>
  </bookViews>
  <sheets>
    <sheet name="Presupuesto Detallado" sheetId="4" r:id="rId1"/>
    <sheet name="Plan de Ejecución Plurianual" sheetId="5" r:id="rId2"/>
    <sheet name="Plan de Adquisiciones Global" sheetId="6" r:id="rId3"/>
    <sheet name="Plan de Adquisición Sintetico" sheetId="7" r:id="rId4"/>
    <sheet name="Presupuesto POD" sheetId="8" r:id="rId5"/>
    <sheet name="Paquetes de contratacion" sheetId="10" r:id="rId6"/>
  </sheets>
  <externalReferences>
    <externalReference r:id="rId7"/>
  </externalReferences>
  <definedNames>
    <definedName name="_xlnm._FilterDatabase" localSheetId="5" hidden="1">'Paquetes de contratacion'!$E$1:$E$169</definedName>
    <definedName name="_xlnm._FilterDatabase" localSheetId="2" hidden="1">'Plan de Adquisiciones Global'!$E$1:$E$140</definedName>
  </definedNames>
  <calcPr calcId="145621"/>
</workbook>
</file>

<file path=xl/calcChain.xml><?xml version="1.0" encoding="utf-8"?>
<calcChain xmlns="http://schemas.openxmlformats.org/spreadsheetml/2006/main">
  <c r="C168" i="10" l="1"/>
  <c r="B116" i="10" l="1"/>
  <c r="E116" i="10"/>
  <c r="A27" i="10" l="1"/>
  <c r="A108" i="10"/>
  <c r="A109" i="10" s="1"/>
  <c r="A110" i="10" s="1"/>
  <c r="A111" i="10" s="1"/>
  <c r="A112" i="10" s="1"/>
  <c r="A113" i="10" s="1"/>
  <c r="A65" i="6"/>
  <c r="A66" i="6" s="1"/>
  <c r="A67" i="6" s="1"/>
  <c r="A68" i="6" s="1"/>
  <c r="A69" i="6" s="1"/>
  <c r="A70" i="6" s="1"/>
  <c r="A71" i="6" s="1"/>
  <c r="A72" i="6" s="1"/>
  <c r="A73" i="6" s="1"/>
  <c r="A74" i="6" s="1"/>
  <c r="A75" i="6" s="1"/>
  <c r="A76" i="6" s="1"/>
  <c r="A77" i="6" s="1"/>
  <c r="A78" i="6" s="1"/>
  <c r="A79" i="6" s="1"/>
  <c r="A80" i="6" s="1"/>
  <c r="A81" i="6" s="1"/>
  <c r="A82" i="6" s="1"/>
  <c r="A83" i="6" s="1"/>
  <c r="C167" i="10"/>
  <c r="C166" i="10"/>
  <c r="D176" i="4"/>
  <c r="A114" i="10" l="1"/>
  <c r="A116" i="10" s="1"/>
  <c r="A117" i="10" s="1"/>
  <c r="A28" i="10"/>
  <c r="A29" i="10" s="1"/>
  <c r="A30" i="10" s="1"/>
  <c r="A32" i="10" s="1"/>
  <c r="A33" i="10" s="1"/>
  <c r="A34" i="10" s="1"/>
  <c r="A35"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E108" i="10"/>
  <c r="E119" i="10"/>
  <c r="E111" i="10"/>
  <c r="E30" i="10"/>
  <c r="E122" i="10"/>
  <c r="E97" i="10"/>
  <c r="E125" i="10"/>
  <c r="E104" i="10"/>
  <c r="E40" i="10"/>
  <c r="E42" i="10"/>
  <c r="E50" i="10"/>
  <c r="E54" i="10"/>
  <c r="E58" i="10"/>
  <c r="E62" i="10"/>
  <c r="E66" i="10"/>
  <c r="E70" i="10"/>
  <c r="E74" i="10"/>
  <c r="E78" i="10"/>
  <c r="E82" i="10"/>
  <c r="E90" i="10"/>
  <c r="E6" i="10"/>
  <c r="E7" i="10"/>
  <c r="E9" i="10"/>
  <c r="E11" i="10"/>
  <c r="E17" i="10"/>
  <c r="E21" i="10"/>
  <c r="F79" i="4"/>
  <c r="A88" i="10"/>
  <c r="A89" i="10" s="1"/>
  <c r="A90" i="10" s="1"/>
  <c r="A91" i="10" s="1"/>
  <c r="A92" i="10" s="1"/>
  <c r="A93" i="10" s="1"/>
  <c r="B90" i="10"/>
  <c r="B129" i="10"/>
  <c r="B127" i="10"/>
  <c r="B126" i="10"/>
  <c r="B125" i="10"/>
  <c r="B124" i="10"/>
  <c r="B113" i="10"/>
  <c r="B112" i="10"/>
  <c r="B122" i="10"/>
  <c r="B121" i="10"/>
  <c r="B120" i="10"/>
  <c r="B111" i="10"/>
  <c r="B118" i="10"/>
  <c r="B117" i="10"/>
  <c r="B119" i="10"/>
  <c r="B114" i="10"/>
  <c r="B110" i="10"/>
  <c r="B109" i="10"/>
  <c r="B108" i="10"/>
  <c r="B107" i="10"/>
  <c r="B104" i="10"/>
  <c r="A97" i="10"/>
  <c r="A98" i="10" s="1"/>
  <c r="A99" i="10" s="1"/>
  <c r="A101" i="10" s="1"/>
  <c r="A102" i="10" s="1"/>
  <c r="A103" i="10" s="1"/>
  <c r="A104" i="10" s="1"/>
  <c r="B103" i="10"/>
  <c r="B102" i="10"/>
  <c r="B101" i="10"/>
  <c r="B99" i="10"/>
  <c r="B98" i="10"/>
  <c r="B97" i="10"/>
  <c r="B96" i="10"/>
  <c r="B93" i="10"/>
  <c r="B92" i="10"/>
  <c r="B91" i="10"/>
  <c r="B89" i="10"/>
  <c r="B88" i="10"/>
  <c r="B87" i="10"/>
  <c r="B84" i="10"/>
  <c r="B83" i="10"/>
  <c r="B82" i="10"/>
  <c r="B81" i="10"/>
  <c r="B80" i="10"/>
  <c r="B79" i="10"/>
  <c r="B78" i="10"/>
  <c r="B77" i="10"/>
  <c r="B76" i="10"/>
  <c r="B75" i="10"/>
  <c r="B74" i="10"/>
  <c r="B73" i="10"/>
  <c r="B72" i="10"/>
  <c r="B71" i="10"/>
  <c r="B70" i="10"/>
  <c r="B69" i="10"/>
  <c r="B68" i="10"/>
  <c r="B67" i="10"/>
  <c r="B66" i="10"/>
  <c r="B65" i="10"/>
  <c r="B64" i="10"/>
  <c r="B63" i="10"/>
  <c r="B62" i="10"/>
  <c r="B61" i="10"/>
  <c r="B60" i="10"/>
  <c r="B59" i="10"/>
  <c r="B58" i="10"/>
  <c r="B57" i="10"/>
  <c r="B56" i="10"/>
  <c r="B55" i="10"/>
  <c r="B54" i="10"/>
  <c r="B53" i="10"/>
  <c r="B52" i="10"/>
  <c r="B51" i="10"/>
  <c r="B50" i="10"/>
  <c r="B49" i="10"/>
  <c r="B48" i="10"/>
  <c r="B35" i="10"/>
  <c r="B34" i="10"/>
  <c r="B47" i="10"/>
  <c r="B46" i="10"/>
  <c r="B45" i="10"/>
  <c r="B44" i="10"/>
  <c r="B43" i="10"/>
  <c r="B42" i="10"/>
  <c r="B41" i="10"/>
  <c r="B30" i="10"/>
  <c r="B29" i="10"/>
  <c r="B33" i="10"/>
  <c r="B32" i="10"/>
  <c r="B28" i="10"/>
  <c r="B37" i="10"/>
  <c r="B27" i="10"/>
  <c r="B26" i="10"/>
  <c r="B40" i="10"/>
  <c r="B39" i="10"/>
  <c r="B38" i="10"/>
  <c r="B23" i="10"/>
  <c r="A7" i="10"/>
  <c r="A8" i="10" s="1"/>
  <c r="A9" i="10" s="1"/>
  <c r="A10" i="10" s="1"/>
  <c r="A11" i="10" s="1"/>
  <c r="A12" i="10" s="1"/>
  <c r="A13" i="10" s="1"/>
  <c r="A14" i="10" s="1"/>
  <c r="A15" i="10" s="1"/>
  <c r="A16" i="10" s="1"/>
  <c r="A17" i="10" s="1"/>
  <c r="A18" i="10" s="1"/>
  <c r="A19" i="10" s="1"/>
  <c r="A20" i="10" s="1"/>
  <c r="A21" i="10" s="1"/>
  <c r="A22" i="10" s="1"/>
  <c r="A23" i="10" s="1"/>
  <c r="B22" i="10"/>
  <c r="B21" i="10"/>
  <c r="B20" i="10"/>
  <c r="B19" i="10"/>
  <c r="B18" i="10"/>
  <c r="B17" i="10"/>
  <c r="B16" i="10"/>
  <c r="B15" i="10"/>
  <c r="B14" i="10"/>
  <c r="B13" i="10"/>
  <c r="B12" i="10"/>
  <c r="B11" i="10"/>
  <c r="B10" i="10"/>
  <c r="B9" i="10"/>
  <c r="B8" i="10"/>
  <c r="B7" i="10"/>
  <c r="B6" i="10"/>
  <c r="A1" i="10"/>
  <c r="E106" i="6"/>
  <c r="E112" i="6"/>
  <c r="E116" i="6"/>
  <c r="E119" i="6"/>
  <c r="E124" i="6"/>
  <c r="A96" i="6"/>
  <c r="A97" i="6" s="1"/>
  <c r="A98" i="6" s="1"/>
  <c r="A99" i="6" s="1"/>
  <c r="A100" i="6" s="1"/>
  <c r="A101" i="6" s="1"/>
  <c r="A102" i="6" s="1"/>
  <c r="B97" i="6"/>
  <c r="B82" i="6"/>
  <c r="I143" i="4"/>
  <c r="I148" i="4"/>
  <c r="I152" i="4"/>
  <c r="I154" i="4"/>
  <c r="I156" i="4"/>
  <c r="I159" i="4"/>
  <c r="I163" i="4"/>
  <c r="I167" i="4"/>
  <c r="I124" i="4"/>
  <c r="I129" i="4"/>
  <c r="I131" i="4"/>
  <c r="I123" i="4" s="1"/>
  <c r="I133" i="4"/>
  <c r="I135" i="4"/>
  <c r="I139" i="4"/>
  <c r="I116" i="4"/>
  <c r="B98" i="6"/>
  <c r="B96" i="6"/>
  <c r="B114" i="6"/>
  <c r="A87" i="6"/>
  <c r="A88" i="6" s="1"/>
  <c r="A89" i="6" s="1"/>
  <c r="A90" i="6" s="1"/>
  <c r="A91" i="6" s="1"/>
  <c r="A92" i="6" s="1"/>
  <c r="G5" i="4"/>
  <c r="G19" i="4"/>
  <c r="I19" i="4"/>
  <c r="G24" i="4"/>
  <c r="I24" i="4"/>
  <c r="G27" i="4"/>
  <c r="G38" i="4"/>
  <c r="I38" i="4"/>
  <c r="F42" i="4"/>
  <c r="H42" i="4"/>
  <c r="I42" i="4"/>
  <c r="H44" i="4"/>
  <c r="I44" i="4"/>
  <c r="G49" i="4"/>
  <c r="I49" i="4"/>
  <c r="G65" i="4"/>
  <c r="I65" i="4"/>
  <c r="I48" i="4" s="1"/>
  <c r="G71" i="4"/>
  <c r="I71" i="4"/>
  <c r="I75" i="4"/>
  <c r="G80" i="4"/>
  <c r="H80" i="4"/>
  <c r="I80" i="4"/>
  <c r="G83" i="4"/>
  <c r="H83" i="4"/>
  <c r="G89" i="4"/>
  <c r="H89" i="4"/>
  <c r="I89" i="4"/>
  <c r="G94" i="4"/>
  <c r="H94" i="4"/>
  <c r="I94" i="4"/>
  <c r="G96" i="4"/>
  <c r="H96" i="4"/>
  <c r="I96" i="4"/>
  <c r="G98" i="4"/>
  <c r="H98" i="4"/>
  <c r="I98" i="4"/>
  <c r="G102" i="4"/>
  <c r="H102" i="4"/>
  <c r="I102" i="4"/>
  <c r="G111" i="4"/>
  <c r="H111" i="4"/>
  <c r="I111" i="4"/>
  <c r="G107" i="4"/>
  <c r="H107" i="4"/>
  <c r="B101" i="6"/>
  <c r="B102" i="6"/>
  <c r="B100" i="6"/>
  <c r="B95" i="6"/>
  <c r="B99" i="6"/>
  <c r="B88" i="6"/>
  <c r="B87" i="6"/>
  <c r="B89" i="6"/>
  <c r="B86" i="6"/>
  <c r="B39" i="6"/>
  <c r="B90" i="6"/>
  <c r="B120" i="6"/>
  <c r="D15" i="4"/>
  <c r="D20" i="4"/>
  <c r="D21" i="4"/>
  <c r="H21" i="4" s="1"/>
  <c r="D23" i="4"/>
  <c r="E8" i="10" s="1"/>
  <c r="E23" i="4"/>
  <c r="E19" i="4" s="1"/>
  <c r="D38" i="4"/>
  <c r="B7" i="5" s="1"/>
  <c r="J7" i="5" s="1"/>
  <c r="D24" i="4"/>
  <c r="B8" i="5"/>
  <c r="L8" i="5" s="1"/>
  <c r="D37" i="4"/>
  <c r="E10" i="10" s="1"/>
  <c r="D27" i="4"/>
  <c r="B9" i="5"/>
  <c r="D42" i="4"/>
  <c r="B10" i="5"/>
  <c r="L10" i="5"/>
  <c r="D44" i="4"/>
  <c r="B11" i="5" s="1"/>
  <c r="L11" i="5" s="1"/>
  <c r="D56" i="4"/>
  <c r="D49" i="4"/>
  <c r="B15" i="5" s="1"/>
  <c r="L15" i="5" s="1"/>
  <c r="D57" i="4"/>
  <c r="B16" i="5"/>
  <c r="F16" i="5" s="1"/>
  <c r="D69" i="4"/>
  <c r="D65" i="4"/>
  <c r="B17" i="5"/>
  <c r="D17" i="5" s="1"/>
  <c r="D73" i="4"/>
  <c r="D71" i="4"/>
  <c r="B21" i="5"/>
  <c r="J21" i="5" s="1"/>
  <c r="D75" i="4"/>
  <c r="B22" i="5"/>
  <c r="J22" i="5"/>
  <c r="D80" i="4"/>
  <c r="B23" i="5"/>
  <c r="L23" i="5"/>
  <c r="D87" i="4"/>
  <c r="D89" i="4"/>
  <c r="B28" i="5" s="1"/>
  <c r="L28" i="5" s="1"/>
  <c r="D94" i="4"/>
  <c r="B29" i="5"/>
  <c r="H29" i="5" s="1"/>
  <c r="D96" i="4"/>
  <c r="B30" i="5"/>
  <c r="L30" i="5"/>
  <c r="D99" i="4"/>
  <c r="D100" i="4"/>
  <c r="D101" i="4"/>
  <c r="E16" i="10" s="1"/>
  <c r="D98" i="4"/>
  <c r="D106" i="4"/>
  <c r="D102" i="4"/>
  <c r="B32" i="5"/>
  <c r="L32" i="5"/>
  <c r="D107" i="4"/>
  <c r="B33" i="5"/>
  <c r="H33" i="5"/>
  <c r="D111" i="4"/>
  <c r="B34" i="5" s="1"/>
  <c r="L34" i="5" s="1"/>
  <c r="D116" i="4"/>
  <c r="B35" i="5"/>
  <c r="L35" i="5" s="1"/>
  <c r="D124" i="4"/>
  <c r="D129" i="4"/>
  <c r="D131" i="4"/>
  <c r="D133" i="4"/>
  <c r="D123" i="4" s="1"/>
  <c r="D135" i="4"/>
  <c r="B37" i="5"/>
  <c r="H37" i="5"/>
  <c r="D139" i="4"/>
  <c r="B38" i="5" s="1"/>
  <c r="H38" i="5" s="1"/>
  <c r="D144" i="4"/>
  <c r="D143" i="4" s="1"/>
  <c r="D145" i="4"/>
  <c r="E145" i="4" s="1"/>
  <c r="D146" i="4"/>
  <c r="D149" i="4"/>
  <c r="D148" i="4" s="1"/>
  <c r="D150" i="4"/>
  <c r="D151" i="4"/>
  <c r="D153" i="4"/>
  <c r="D152" i="4"/>
  <c r="D155" i="4"/>
  <c r="D154" i="4"/>
  <c r="D157" i="4"/>
  <c r="D156" i="4"/>
  <c r="D158" i="4"/>
  <c r="D160" i="4"/>
  <c r="D161" i="4"/>
  <c r="D162" i="4"/>
  <c r="D164" i="4"/>
  <c r="D165" i="4"/>
  <c r="D163" i="4" s="1"/>
  <c r="D166" i="4"/>
  <c r="D167" i="4"/>
  <c r="K41" i="5"/>
  <c r="B42" i="5"/>
  <c r="L42" i="5" s="1"/>
  <c r="K42" i="5"/>
  <c r="B43" i="5"/>
  <c r="D43" i="5"/>
  <c r="K44" i="5"/>
  <c r="L44" i="5"/>
  <c r="L45" i="5"/>
  <c r="B46" i="5"/>
  <c r="L46" i="5" s="1"/>
  <c r="K46" i="5"/>
  <c r="I41" i="5"/>
  <c r="I42" i="5"/>
  <c r="I44" i="5"/>
  <c r="J44" i="5"/>
  <c r="J45" i="5"/>
  <c r="I46" i="5"/>
  <c r="G41" i="5"/>
  <c r="G42" i="5"/>
  <c r="G44" i="5"/>
  <c r="H44" i="5"/>
  <c r="H45" i="5"/>
  <c r="G46" i="5"/>
  <c r="E41" i="5"/>
  <c r="E42" i="5"/>
  <c r="E44" i="5"/>
  <c r="F44" i="5"/>
  <c r="F45" i="5"/>
  <c r="E46" i="5"/>
  <c r="C41" i="5"/>
  <c r="C42" i="5"/>
  <c r="C44" i="5"/>
  <c r="D44" i="5"/>
  <c r="D45" i="5"/>
  <c r="C46" i="5"/>
  <c r="B48" i="5"/>
  <c r="N48" i="5" s="1"/>
  <c r="M41" i="5"/>
  <c r="M42" i="5"/>
  <c r="M44" i="5"/>
  <c r="N44" i="5"/>
  <c r="N45" i="5"/>
  <c r="M46" i="5"/>
  <c r="B10" i="8"/>
  <c r="D10" i="8"/>
  <c r="B11" i="8"/>
  <c r="D11" i="8" s="1"/>
  <c r="B12" i="8"/>
  <c r="D12" i="8"/>
  <c r="B13" i="8"/>
  <c r="D13" i="8" s="1"/>
  <c r="A25" i="7"/>
  <c r="A27" i="6"/>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B61" i="6"/>
  <c r="F100" i="4"/>
  <c r="E61" i="6"/>
  <c r="B62" i="6"/>
  <c r="F103" i="4"/>
  <c r="E63" i="10" s="1"/>
  <c r="K147" i="4"/>
  <c r="K167" i="4"/>
  <c r="L167" i="4" s="1"/>
  <c r="L168" i="4" s="1"/>
  <c r="L163" i="4"/>
  <c r="H11" i="4"/>
  <c r="H12" i="4"/>
  <c r="H13" i="4"/>
  <c r="E109" i="10" s="1"/>
  <c r="H14" i="4"/>
  <c r="E114" i="10" s="1"/>
  <c r="H20" i="4"/>
  <c r="E110" i="6" s="1"/>
  <c r="H26" i="4"/>
  <c r="H24" i="4"/>
  <c r="H69" i="4"/>
  <c r="E113" i="6" s="1"/>
  <c r="H67" i="4"/>
  <c r="E117" i="10" s="1"/>
  <c r="H65" i="4"/>
  <c r="H28" i="4"/>
  <c r="H31" i="4"/>
  <c r="E121" i="10" s="1"/>
  <c r="H32" i="4"/>
  <c r="E117" i="6" s="1"/>
  <c r="I34" i="4"/>
  <c r="E96" i="6"/>
  <c r="I35" i="4"/>
  <c r="E98" i="10" s="1"/>
  <c r="E97" i="6"/>
  <c r="I36" i="4"/>
  <c r="E99" i="10" s="1"/>
  <c r="E98" i="6"/>
  <c r="H40" i="4"/>
  <c r="E112" i="10" s="1"/>
  <c r="H41" i="4"/>
  <c r="E113" i="10" s="1"/>
  <c r="F53" i="4"/>
  <c r="E43" i="10" s="1"/>
  <c r="E39" i="6"/>
  <c r="H60" i="4"/>
  <c r="E121" i="6" s="1"/>
  <c r="H73" i="4"/>
  <c r="E122" i="6" s="1"/>
  <c r="H71" i="4"/>
  <c r="H77" i="4"/>
  <c r="H176" i="4"/>
  <c r="E129" i="10" s="1"/>
  <c r="A7" i="6"/>
  <c r="A8" i="6" s="1"/>
  <c r="A9" i="6" s="1"/>
  <c r="A10" i="6" s="1"/>
  <c r="A11" i="6" s="1"/>
  <c r="A12" i="6" s="1"/>
  <c r="A13" i="6" s="1"/>
  <c r="A14" i="6" s="1"/>
  <c r="A15" i="6" s="1"/>
  <c r="A16" i="6" s="1"/>
  <c r="A17" i="6" s="1"/>
  <c r="A18" i="6" s="1"/>
  <c r="A19" i="6" s="1"/>
  <c r="A20" i="6" s="1"/>
  <c r="A21" i="6" s="1"/>
  <c r="A22" i="6" s="1"/>
  <c r="A23" i="6" s="1"/>
  <c r="O6" i="5"/>
  <c r="O7" i="5"/>
  <c r="O8" i="5"/>
  <c r="O9" i="5"/>
  <c r="O10" i="5"/>
  <c r="O11" i="5"/>
  <c r="O12" i="5"/>
  <c r="O13" i="5"/>
  <c r="O15" i="5"/>
  <c r="O16" i="5"/>
  <c r="O17" i="5"/>
  <c r="O18" i="5"/>
  <c r="O19" i="5"/>
  <c r="O21" i="5"/>
  <c r="O22" i="5"/>
  <c r="O23" i="5"/>
  <c r="O24" i="5"/>
  <c r="O25" i="5"/>
  <c r="O26" i="5"/>
  <c r="O28" i="5"/>
  <c r="O29" i="5"/>
  <c r="O30" i="5"/>
  <c r="O31" i="5"/>
  <c r="O32" i="5"/>
  <c r="O33" i="5"/>
  <c r="O34" i="5"/>
  <c r="O35" i="5"/>
  <c r="O36" i="5"/>
  <c r="O37" i="5"/>
  <c r="O38" i="5"/>
  <c r="O39" i="5"/>
  <c r="O41" i="5"/>
  <c r="O42" i="5"/>
  <c r="O43" i="5"/>
  <c r="O44" i="5"/>
  <c r="O45" i="5"/>
  <c r="O46" i="5"/>
  <c r="A16" i="5"/>
  <c r="E57" i="6"/>
  <c r="B57" i="6"/>
  <c r="E89" i="4"/>
  <c r="F90" i="4"/>
  <c r="F91" i="4"/>
  <c r="E56" i="10" s="1"/>
  <c r="F92" i="4"/>
  <c r="E57" i="10" s="1"/>
  <c r="E166" i="4"/>
  <c r="E162" i="4"/>
  <c r="E127" i="4"/>
  <c r="E21" i="6" s="1"/>
  <c r="F126" i="4"/>
  <c r="E75" i="10" s="1"/>
  <c r="E74" i="6"/>
  <c r="F125" i="4"/>
  <c r="F128" i="4"/>
  <c r="E76" i="10" s="1"/>
  <c r="E75" i="6"/>
  <c r="G124" i="4"/>
  <c r="E129" i="4"/>
  <c r="F130" i="4"/>
  <c r="E77" i="10" s="1"/>
  <c r="F129" i="4"/>
  <c r="G129" i="4"/>
  <c r="E131" i="4"/>
  <c r="F132" i="4"/>
  <c r="F131" i="4"/>
  <c r="J131" i="4" s="1"/>
  <c r="G131" i="4"/>
  <c r="E133" i="4"/>
  <c r="F134" i="4"/>
  <c r="G133" i="4"/>
  <c r="F6" i="4"/>
  <c r="E38" i="10" s="1"/>
  <c r="F7" i="4"/>
  <c r="E27" i="6" s="1"/>
  <c r="F8" i="4"/>
  <c r="E28" i="6" s="1"/>
  <c r="F9" i="4"/>
  <c r="F10" i="4"/>
  <c r="E27" i="10" s="1"/>
  <c r="E30" i="6"/>
  <c r="I16" i="4"/>
  <c r="E101" i="10" s="1"/>
  <c r="F22" i="4"/>
  <c r="E28" i="10" s="1"/>
  <c r="F25" i="4"/>
  <c r="E32" i="10" s="1"/>
  <c r="E33" i="6"/>
  <c r="I30" i="4"/>
  <c r="E96" i="10" s="1"/>
  <c r="F33" i="4"/>
  <c r="E33" i="10" s="1"/>
  <c r="F39" i="4"/>
  <c r="E29" i="10" s="1"/>
  <c r="F38" i="4"/>
  <c r="G43" i="4"/>
  <c r="E87" i="10" s="1"/>
  <c r="G45" i="4"/>
  <c r="E88" i="10" s="1"/>
  <c r="F46" i="4"/>
  <c r="E36" i="6" s="1"/>
  <c r="F44" i="4"/>
  <c r="G47" i="4"/>
  <c r="E89" i="10" s="1"/>
  <c r="E88" i="6"/>
  <c r="E5" i="4"/>
  <c r="E24" i="4"/>
  <c r="E29" i="4"/>
  <c r="E38" i="4"/>
  <c r="E42" i="4"/>
  <c r="E44" i="4"/>
  <c r="H143" i="4"/>
  <c r="H148" i="4"/>
  <c r="H152" i="4"/>
  <c r="H154" i="4"/>
  <c r="H156" i="4"/>
  <c r="H159" i="4"/>
  <c r="H163" i="4"/>
  <c r="H167" i="4"/>
  <c r="H116" i="4"/>
  <c r="H124" i="4"/>
  <c r="H129" i="4"/>
  <c r="J129" i="4" s="1"/>
  <c r="H131" i="4"/>
  <c r="H133" i="4"/>
  <c r="H135" i="4"/>
  <c r="H139" i="4"/>
  <c r="G116" i="4"/>
  <c r="G135" i="4"/>
  <c r="G139" i="4"/>
  <c r="G173" i="4"/>
  <c r="G143" i="4"/>
  <c r="G148" i="4"/>
  <c r="G152" i="4"/>
  <c r="G154" i="4"/>
  <c r="G156" i="4"/>
  <c r="G159" i="4"/>
  <c r="G163" i="4"/>
  <c r="G167" i="4"/>
  <c r="G172" i="4"/>
  <c r="E92" i="10" s="1"/>
  <c r="E91" i="6"/>
  <c r="G57" i="4"/>
  <c r="G78" i="4"/>
  <c r="F140" i="4"/>
  <c r="E83" i="10" s="1"/>
  <c r="F137" i="4"/>
  <c r="F138" i="4"/>
  <c r="E81" i="6"/>
  <c r="F136" i="4"/>
  <c r="E55" i="6"/>
  <c r="E56" i="6"/>
  <c r="F95" i="4"/>
  <c r="F97" i="4"/>
  <c r="E60" i="10" s="1"/>
  <c r="F96" i="4"/>
  <c r="F99" i="4"/>
  <c r="F104" i="4"/>
  <c r="E64" i="10" s="1"/>
  <c r="E63" i="6"/>
  <c r="F105" i="4"/>
  <c r="F109" i="4"/>
  <c r="E114" i="6"/>
  <c r="I110" i="4"/>
  <c r="F112" i="4"/>
  <c r="E65" i="6"/>
  <c r="F113" i="4"/>
  <c r="F114" i="4"/>
  <c r="E68" i="10" s="1"/>
  <c r="E67" i="6"/>
  <c r="F115" i="4"/>
  <c r="F119" i="4"/>
  <c r="E69" i="6"/>
  <c r="F120" i="4"/>
  <c r="E71" i="10" s="1"/>
  <c r="F121" i="4"/>
  <c r="E72" i="10" s="1"/>
  <c r="F122" i="4"/>
  <c r="E73" i="10" s="1"/>
  <c r="E72" i="6"/>
  <c r="F50" i="4"/>
  <c r="F51" i="4"/>
  <c r="H54" i="4"/>
  <c r="E124" i="10" s="1"/>
  <c r="F59" i="4"/>
  <c r="F61" i="4"/>
  <c r="E45" i="10" s="1"/>
  <c r="E41" i="6"/>
  <c r="F62" i="4"/>
  <c r="E46" i="10" s="1"/>
  <c r="F63" i="4"/>
  <c r="E47" i="10" s="1"/>
  <c r="E44" i="6"/>
  <c r="F66" i="4"/>
  <c r="E34" i="10" s="1"/>
  <c r="F65" i="4"/>
  <c r="F68" i="4"/>
  <c r="E35" i="10" s="1"/>
  <c r="F72" i="4"/>
  <c r="E48" i="10" s="1"/>
  <c r="F74" i="4"/>
  <c r="F76" i="4"/>
  <c r="F81" i="4"/>
  <c r="E52" i="10" s="1"/>
  <c r="E51" i="6"/>
  <c r="F82" i="4"/>
  <c r="E53" i="10" s="1"/>
  <c r="I84" i="4"/>
  <c r="E102" i="10" s="1"/>
  <c r="F85" i="4"/>
  <c r="E53" i="6"/>
  <c r="I86" i="4"/>
  <c r="E101" i="6" s="1"/>
  <c r="F143" i="4"/>
  <c r="F148" i="4"/>
  <c r="F152" i="4"/>
  <c r="F154" i="4"/>
  <c r="F156" i="4"/>
  <c r="F159" i="4"/>
  <c r="F163" i="4"/>
  <c r="F167" i="4"/>
  <c r="F174" i="4"/>
  <c r="E83" i="6" s="1"/>
  <c r="E94" i="4"/>
  <c r="E96" i="4"/>
  <c r="E16" i="6"/>
  <c r="E101" i="4"/>
  <c r="E98" i="4"/>
  <c r="E106" i="4"/>
  <c r="E102" i="4"/>
  <c r="E108" i="4"/>
  <c r="E18" i="10" s="1"/>
  <c r="E107" i="4"/>
  <c r="E111" i="4"/>
  <c r="E117" i="4"/>
  <c r="E19" i="10" s="1"/>
  <c r="E118" i="4"/>
  <c r="E20" i="10" s="1"/>
  <c r="E20" i="6"/>
  <c r="E135" i="4"/>
  <c r="E139" i="4"/>
  <c r="E52" i="4"/>
  <c r="E55" i="4"/>
  <c r="E58" i="4"/>
  <c r="E14" i="10" s="1"/>
  <c r="E57" i="4"/>
  <c r="E65" i="4"/>
  <c r="E71" i="4"/>
  <c r="E75" i="4"/>
  <c r="E80" i="4"/>
  <c r="E87" i="4"/>
  <c r="E83" i="4" s="1"/>
  <c r="E146" i="4"/>
  <c r="E149" i="4"/>
  <c r="E150" i="4"/>
  <c r="E151" i="4"/>
  <c r="E153" i="4"/>
  <c r="E152" i="4"/>
  <c r="E155" i="4"/>
  <c r="E154" i="4" s="1"/>
  <c r="E157" i="4"/>
  <c r="E158" i="4"/>
  <c r="E168" i="4"/>
  <c r="E169" i="4"/>
  <c r="E170" i="4"/>
  <c r="G171" i="4"/>
  <c r="E91" i="10" s="1"/>
  <c r="E90" i="6"/>
  <c r="E175" i="4"/>
  <c r="E23" i="10" s="1"/>
  <c r="B32" i="6"/>
  <c r="E32" i="6"/>
  <c r="E34" i="6"/>
  <c r="E38" i="6"/>
  <c r="E42" i="6"/>
  <c r="E52" i="6"/>
  <c r="E71" i="6"/>
  <c r="E77" i="6"/>
  <c r="B70" i="6"/>
  <c r="B71" i="6"/>
  <c r="B72" i="6"/>
  <c r="B66" i="6"/>
  <c r="B65" i="6"/>
  <c r="B50" i="6"/>
  <c r="B31" i="6"/>
  <c r="B30" i="6"/>
  <c r="B28" i="6"/>
  <c r="B27" i="6"/>
  <c r="B26" i="6"/>
  <c r="E6" i="6"/>
  <c r="E7" i="6"/>
  <c r="E9" i="6"/>
  <c r="E11" i="6"/>
  <c r="E14" i="6"/>
  <c r="B16" i="6"/>
  <c r="B17" i="6"/>
  <c r="B15" i="6"/>
  <c r="B13" i="6"/>
  <c r="B10" i="6"/>
  <c r="B8" i="6"/>
  <c r="B7" i="6"/>
  <c r="B6" i="6"/>
  <c r="A24" i="5"/>
  <c r="A9" i="5"/>
  <c r="A8" i="5"/>
  <c r="A7" i="5"/>
  <c r="C8" i="8"/>
  <c r="C3" i="8"/>
  <c r="C14" i="8"/>
  <c r="O5" i="5"/>
  <c r="B27" i="7"/>
  <c r="C27" i="7"/>
  <c r="B26" i="7"/>
  <c r="C26" i="7"/>
  <c r="B25" i="7"/>
  <c r="C25" i="7"/>
  <c r="A7" i="8"/>
  <c r="A6" i="8"/>
  <c r="A5" i="8"/>
  <c r="A4" i="8"/>
  <c r="A28" i="7"/>
  <c r="A26" i="7"/>
  <c r="A41" i="5"/>
  <c r="A24" i="7"/>
  <c r="A23" i="7"/>
  <c r="A22" i="7"/>
  <c r="A21" i="7"/>
  <c r="A20" i="7"/>
  <c r="A1" i="7"/>
  <c r="B125" i="6"/>
  <c r="B124" i="6"/>
  <c r="B123" i="6"/>
  <c r="B122" i="6"/>
  <c r="B113" i="6"/>
  <c r="B112" i="6"/>
  <c r="B121" i="6"/>
  <c r="B119" i="6"/>
  <c r="B118" i="6"/>
  <c r="B117" i="6"/>
  <c r="B116" i="6"/>
  <c r="B115" i="6"/>
  <c r="B111" i="6"/>
  <c r="B108" i="6"/>
  <c r="B110" i="6"/>
  <c r="B109" i="6"/>
  <c r="B107" i="6"/>
  <c r="B106" i="6"/>
  <c r="B105" i="6"/>
  <c r="A106" i="6"/>
  <c r="A107" i="6" s="1"/>
  <c r="A108" i="6" s="1"/>
  <c r="A109" i="6" s="1"/>
  <c r="A110" i="6" s="1"/>
  <c r="A111" i="6" s="1"/>
  <c r="A112" i="6" s="1"/>
  <c r="A113" i="6" s="1"/>
  <c r="A114" i="6" s="1"/>
  <c r="A115" i="6" s="1"/>
  <c r="A116" i="6" s="1"/>
  <c r="A117" i="6" s="1"/>
  <c r="A118" i="6" s="1"/>
  <c r="A119" i="6" s="1"/>
  <c r="A120" i="6" s="1"/>
  <c r="A121" i="6" s="1"/>
  <c r="A122" i="6" s="1"/>
  <c r="A123" i="6" s="1"/>
  <c r="A124" i="6" s="1"/>
  <c r="A125" i="6" s="1"/>
  <c r="B83" i="6"/>
  <c r="B81" i="6"/>
  <c r="B80" i="6"/>
  <c r="B79" i="6"/>
  <c r="B78" i="6"/>
  <c r="B77" i="6"/>
  <c r="B76" i="6"/>
  <c r="B75" i="6"/>
  <c r="B74" i="6"/>
  <c r="B73" i="6"/>
  <c r="B69" i="6"/>
  <c r="B68" i="6"/>
  <c r="B67" i="6"/>
  <c r="B64" i="6"/>
  <c r="B63" i="6"/>
  <c r="B60" i="6"/>
  <c r="B59" i="6"/>
  <c r="B58" i="6"/>
  <c r="B56" i="6"/>
  <c r="B55" i="6"/>
  <c r="B54" i="6"/>
  <c r="B53" i="6"/>
  <c r="B52" i="6"/>
  <c r="B51" i="6"/>
  <c r="B49" i="6"/>
  <c r="B48" i="6"/>
  <c r="B47" i="6"/>
  <c r="B46" i="6"/>
  <c r="B45" i="6"/>
  <c r="B44" i="6"/>
  <c r="B43" i="6"/>
  <c r="B42" i="6"/>
  <c r="B41" i="6"/>
  <c r="B40" i="6"/>
  <c r="B38" i="6"/>
  <c r="B37" i="6"/>
  <c r="B36" i="6"/>
  <c r="B35" i="6"/>
  <c r="B34" i="6"/>
  <c r="B33" i="6"/>
  <c r="B29" i="6"/>
  <c r="B92" i="6"/>
  <c r="B91" i="6"/>
  <c r="A1" i="6"/>
  <c r="B23" i="6"/>
  <c r="B22" i="6"/>
  <c r="B21" i="6"/>
  <c r="B20" i="6"/>
  <c r="B19" i="6"/>
  <c r="B18" i="6"/>
  <c r="B14" i="6"/>
  <c r="B12" i="6"/>
  <c r="B11" i="6"/>
  <c r="B9" i="6"/>
  <c r="A38" i="5"/>
  <c r="A37" i="5"/>
  <c r="A36" i="5"/>
  <c r="A35" i="5"/>
  <c r="A34" i="5"/>
  <c r="A32" i="5"/>
  <c r="A31" i="5"/>
  <c r="A30" i="5"/>
  <c r="A29" i="5"/>
  <c r="A28" i="5"/>
  <c r="A33" i="5"/>
  <c r="A23" i="5"/>
  <c r="A22" i="5"/>
  <c r="A21" i="5"/>
  <c r="A17" i="5"/>
  <c r="A15" i="5"/>
  <c r="J12" i="5"/>
  <c r="A11" i="5"/>
  <c r="A10" i="5"/>
  <c r="A6" i="5"/>
  <c r="A5" i="5"/>
  <c r="A39" i="5"/>
  <c r="A26" i="5"/>
  <c r="A19" i="5"/>
  <c r="A13" i="5"/>
  <c r="A3" i="5"/>
  <c r="E17" i="6"/>
  <c r="E8" i="6"/>
  <c r="J154" i="4"/>
  <c r="F71" i="4"/>
  <c r="E45" i="6"/>
  <c r="E144" i="4"/>
  <c r="E143" i="4" s="1"/>
  <c r="F142" i="4"/>
  <c r="F141" i="4"/>
  <c r="F116" i="4"/>
  <c r="H123" i="4"/>
  <c r="F24" i="4"/>
  <c r="E26" i="6"/>
  <c r="M26" i="6" s="1"/>
  <c r="E59" i="6"/>
  <c r="F27" i="4"/>
  <c r="E70" i="6"/>
  <c r="E18" i="6"/>
  <c r="E73" i="6"/>
  <c r="J152" i="4"/>
  <c r="E148" i="4"/>
  <c r="J148" i="4"/>
  <c r="E116" i="4"/>
  <c r="J116" i="4" s="1"/>
  <c r="F98" i="4"/>
  <c r="E10" i="6"/>
  <c r="E47" i="6"/>
  <c r="E167" i="4"/>
  <c r="J167" i="4"/>
  <c r="F80" i="4"/>
  <c r="J80" i="4" s="1"/>
  <c r="F107" i="4"/>
  <c r="E124" i="4"/>
  <c r="E15" i="6"/>
  <c r="F94" i="4"/>
  <c r="E37" i="4"/>
  <c r="E27" i="4" s="1"/>
  <c r="E19" i="6"/>
  <c r="F135" i="4"/>
  <c r="J135" i="4" s="1"/>
  <c r="F139" i="4"/>
  <c r="J139" i="4" s="1"/>
  <c r="E82" i="6"/>
  <c r="E49" i="6"/>
  <c r="G142" i="4"/>
  <c r="G141" i="4" s="1"/>
  <c r="E76" i="6"/>
  <c r="E156" i="4"/>
  <c r="J156" i="4"/>
  <c r="E56" i="4"/>
  <c r="E13" i="10" s="1"/>
  <c r="H142" i="4"/>
  <c r="H141" i="4"/>
  <c r="E35" i="6"/>
  <c r="E165" i="4"/>
  <c r="H5" i="4"/>
  <c r="E43" i="6"/>
  <c r="F83" i="4"/>
  <c r="F111" i="4"/>
  <c r="J111" i="4" s="1"/>
  <c r="F102" i="4"/>
  <c r="H9" i="5"/>
  <c r="N9" i="5"/>
  <c r="E123" i="4"/>
  <c r="E88" i="4" s="1"/>
  <c r="J102" i="4"/>
  <c r="E89" i="6"/>
  <c r="G75" i="4"/>
  <c r="G70" i="4"/>
  <c r="H57" i="4"/>
  <c r="E87" i="6"/>
  <c r="G44" i="4"/>
  <c r="J44" i="4" s="1"/>
  <c r="I27" i="4"/>
  <c r="E95" i="6"/>
  <c r="G123" i="4"/>
  <c r="G88" i="4" s="1"/>
  <c r="H27" i="4"/>
  <c r="D28" i="5"/>
  <c r="E78" i="6"/>
  <c r="J96" i="4"/>
  <c r="E54" i="6"/>
  <c r="J24" i="4"/>
  <c r="G42" i="4"/>
  <c r="G4" i="4" s="1"/>
  <c r="E86" i="6"/>
  <c r="I5" i="4"/>
  <c r="I4" i="4"/>
  <c r="E99" i="6"/>
  <c r="F124" i="4"/>
  <c r="B31" i="5"/>
  <c r="L31" i="5"/>
  <c r="D19" i="4"/>
  <c r="D4" i="4" s="1"/>
  <c r="D5" i="4"/>
  <c r="B5" i="5"/>
  <c r="D5" i="5" s="1"/>
  <c r="E70" i="4"/>
  <c r="J98" i="4"/>
  <c r="J94" i="4"/>
  <c r="H49" i="4"/>
  <c r="H48" i="4" s="1"/>
  <c r="H75" i="4"/>
  <c r="H70" i="4"/>
  <c r="E160" i="4"/>
  <c r="J65" i="4"/>
  <c r="E100" i="6"/>
  <c r="I83" i="4"/>
  <c r="I70" i="4"/>
  <c r="I107" i="4"/>
  <c r="J107" i="4" s="1"/>
  <c r="E102" i="6"/>
  <c r="H88" i="4"/>
  <c r="F15" i="4"/>
  <c r="F5" i="4" s="1"/>
  <c r="E164" i="4"/>
  <c r="E163" i="4"/>
  <c r="J163" i="4"/>
  <c r="H38" i="4"/>
  <c r="J38" i="4"/>
  <c r="F28" i="5"/>
  <c r="F49" i="4"/>
  <c r="D48" i="4"/>
  <c r="J30" i="5"/>
  <c r="H30" i="5"/>
  <c r="N32" i="5"/>
  <c r="D30" i="5"/>
  <c r="H32" i="5"/>
  <c r="J32" i="5"/>
  <c r="D9" i="5"/>
  <c r="J9" i="5"/>
  <c r="F22" i="5"/>
  <c r="N22" i="5"/>
  <c r="N16" i="5"/>
  <c r="N35" i="5"/>
  <c r="N15" i="5"/>
  <c r="D35" i="5"/>
  <c r="D15" i="5"/>
  <c r="F9" i="5"/>
  <c r="J15" i="5"/>
  <c r="J14" i="5" s="1"/>
  <c r="I14" i="5" s="1"/>
  <c r="L9" i="5"/>
  <c r="H15" i="5"/>
  <c r="F15" i="5"/>
  <c r="H35" i="5"/>
  <c r="F42" i="5"/>
  <c r="F34" i="5"/>
  <c r="H22" i="5"/>
  <c r="J28" i="5"/>
  <c r="N30" i="5"/>
  <c r="D32" i="5"/>
  <c r="D22" i="5"/>
  <c r="F30" i="5"/>
  <c r="J16" i="5"/>
  <c r="L22" i="5"/>
  <c r="B28" i="7"/>
  <c r="C28" i="7" s="1"/>
  <c r="F11" i="5"/>
  <c r="H8" i="5"/>
  <c r="J34" i="5"/>
  <c r="J23" i="5"/>
  <c r="H42" i="5"/>
  <c r="I48" i="5"/>
  <c r="H10" i="5"/>
  <c r="K48" i="5"/>
  <c r="N10" i="5"/>
  <c r="F46" i="5"/>
  <c r="C48" i="5"/>
  <c r="N42" i="5"/>
  <c r="D42" i="5"/>
  <c r="D10" i="5"/>
  <c r="F31" i="5"/>
  <c r="J42" i="5"/>
  <c r="J11" i="5"/>
  <c r="E48" i="5"/>
  <c r="N34" i="5"/>
  <c r="N28" i="5"/>
  <c r="N8" i="5"/>
  <c r="D34" i="5"/>
  <c r="D29" i="5"/>
  <c r="D8" i="5"/>
  <c r="F32" i="5"/>
  <c r="F23" i="5"/>
  <c r="H34" i="5"/>
  <c r="H28" i="5"/>
  <c r="H11" i="5"/>
  <c r="J38" i="5"/>
  <c r="N23" i="5"/>
  <c r="N11" i="5"/>
  <c r="D37" i="5"/>
  <c r="D11" i="5"/>
  <c r="F8" i="5"/>
  <c r="J8" i="5"/>
  <c r="H17" i="5"/>
  <c r="N46" i="5"/>
  <c r="F7" i="5"/>
  <c r="J46" i="5"/>
  <c r="L38" i="5"/>
  <c r="N38" i="5"/>
  <c r="D46" i="5"/>
  <c r="D38" i="5"/>
  <c r="F38" i="5"/>
  <c r="H46" i="5"/>
  <c r="D33" i="5"/>
  <c r="F21" i="5"/>
  <c r="H43" i="5"/>
  <c r="N17" i="5"/>
  <c r="B14" i="5"/>
  <c r="D23" i="5"/>
  <c r="D16" i="5"/>
  <c r="D14" i="5" s="1"/>
  <c r="C14" i="5" s="1"/>
  <c r="F37" i="5"/>
  <c r="F33" i="5"/>
  <c r="F29" i="5"/>
  <c r="H21" i="5"/>
  <c r="H7" i="5"/>
  <c r="J43" i="5"/>
  <c r="J35" i="5"/>
  <c r="J17" i="5"/>
  <c r="J10" i="5"/>
  <c r="L43" i="5"/>
  <c r="L37" i="5"/>
  <c r="L33" i="5"/>
  <c r="L29" i="5"/>
  <c r="L21" i="5"/>
  <c r="L17" i="5"/>
  <c r="L16" i="5"/>
  <c r="L7" i="5"/>
  <c r="N37" i="5"/>
  <c r="N33" i="5"/>
  <c r="N29" i="5"/>
  <c r="D21" i="5"/>
  <c r="D7" i="5"/>
  <c r="F43" i="5"/>
  <c r="F35" i="5"/>
  <c r="F17" i="5"/>
  <c r="F10" i="5"/>
  <c r="H23" i="5"/>
  <c r="H16" i="5"/>
  <c r="J37" i="5"/>
  <c r="J33" i="5"/>
  <c r="J29" i="5"/>
  <c r="N21" i="5"/>
  <c r="N7" i="5"/>
  <c r="N43" i="5"/>
  <c r="H5" i="5"/>
  <c r="F5" i="5"/>
  <c r="N5" i="5"/>
  <c r="P6" i="5"/>
  <c r="D31" i="5"/>
  <c r="H31" i="5"/>
  <c r="J124" i="4"/>
  <c r="J31" i="5"/>
  <c r="N31" i="5"/>
  <c r="J42" i="4"/>
  <c r="J83" i="4"/>
  <c r="B5" i="8"/>
  <c r="D5" i="8" s="1"/>
  <c r="B21" i="7"/>
  <c r="C21" i="7"/>
  <c r="F14" i="5"/>
  <c r="E14" i="5"/>
  <c r="N14" i="5"/>
  <c r="M14" i="5" s="1"/>
  <c r="H14" i="5"/>
  <c r="G14" i="5" s="1"/>
  <c r="L14" i="5"/>
  <c r="K14" i="5" s="1"/>
  <c r="E36" i="10" l="1"/>
  <c r="A118" i="10"/>
  <c r="A119" i="10" s="1"/>
  <c r="A120" i="10" s="1"/>
  <c r="A121" i="10" s="1"/>
  <c r="A122" i="10" s="1"/>
  <c r="A124" i="10" s="1"/>
  <c r="A125" i="10" s="1"/>
  <c r="A126" i="10" s="1"/>
  <c r="A127" i="10" s="1"/>
  <c r="E103" i="6"/>
  <c r="B15" i="7" s="1"/>
  <c r="C15" i="7" s="1"/>
  <c r="C164" i="10"/>
  <c r="C163" i="10"/>
  <c r="O14" i="5"/>
  <c r="J5" i="4"/>
  <c r="E159" i="4"/>
  <c r="J159" i="4" s="1"/>
  <c r="F70" i="4"/>
  <c r="J70" i="4" s="1"/>
  <c r="E4" i="4"/>
  <c r="J27" i="4"/>
  <c r="B36" i="5"/>
  <c r="D88" i="4"/>
  <c r="B4" i="8"/>
  <c r="B20" i="7"/>
  <c r="J143" i="4"/>
  <c r="E31" i="6"/>
  <c r="I88" i="4"/>
  <c r="I3" i="4" s="1"/>
  <c r="B6" i="5"/>
  <c r="E37" i="6"/>
  <c r="E41" i="10"/>
  <c r="E60" i="6"/>
  <c r="E61" i="10"/>
  <c r="E29" i="6"/>
  <c r="E26" i="10"/>
  <c r="E31" i="10" s="1"/>
  <c r="E110" i="10"/>
  <c r="E108" i="6"/>
  <c r="I142" i="4"/>
  <c r="I141" i="4" s="1"/>
  <c r="E51" i="10"/>
  <c r="E50" i="6"/>
  <c r="F75" i="4"/>
  <c r="J75" i="4" s="1"/>
  <c r="E12" i="6"/>
  <c r="E12" i="10"/>
  <c r="E40" i="6"/>
  <c r="E44" i="10"/>
  <c r="E64" i="6"/>
  <c r="E65" i="10"/>
  <c r="E80" i="6"/>
  <c r="E81" i="10"/>
  <c r="E100" i="10"/>
  <c r="E79" i="10"/>
  <c r="F133" i="4"/>
  <c r="F123" i="4" s="1"/>
  <c r="J123" i="4" s="1"/>
  <c r="E55" i="10"/>
  <c r="F89" i="4"/>
  <c r="E127" i="10"/>
  <c r="E123" i="6"/>
  <c r="E120" i="10"/>
  <c r="E115" i="6"/>
  <c r="G48" i="4"/>
  <c r="G3" i="4" s="1"/>
  <c r="E109" i="6"/>
  <c r="J5" i="5"/>
  <c r="E49" i="4"/>
  <c r="E67" i="10"/>
  <c r="E66" i="6"/>
  <c r="E79" i="6"/>
  <c r="E80" i="10"/>
  <c r="J133" i="4"/>
  <c r="E37" i="10"/>
  <c r="L5" i="5"/>
  <c r="J71" i="4"/>
  <c r="E13" i="6"/>
  <c r="F57" i="4"/>
  <c r="E48" i="6"/>
  <c r="E49" i="10"/>
  <c r="E68" i="6"/>
  <c r="E69" i="10"/>
  <c r="E59" i="10"/>
  <c r="E58" i="6"/>
  <c r="E92" i="6"/>
  <c r="E93" i="6" s="1"/>
  <c r="B12" i="7" s="1"/>
  <c r="C12" i="7" s="1"/>
  <c r="E93" i="10"/>
  <c r="E94" i="10" s="1"/>
  <c r="E107" i="10"/>
  <c r="E105" i="6"/>
  <c r="D159" i="4"/>
  <c r="D142" i="4" s="1"/>
  <c r="E161" i="4"/>
  <c r="D83" i="4"/>
  <c r="E15" i="10"/>
  <c r="E118" i="6"/>
  <c r="E111" i="6"/>
  <c r="E39" i="10"/>
  <c r="E103" i="10"/>
  <c r="E126" i="10"/>
  <c r="E118" i="10"/>
  <c r="E23" i="6"/>
  <c r="E46" i="6"/>
  <c r="F19" i="4"/>
  <c r="H19" i="4"/>
  <c r="H4" i="4" s="1"/>
  <c r="H3" i="4" s="1"/>
  <c r="E62" i="6"/>
  <c r="E120" i="6"/>
  <c r="E84" i="10"/>
  <c r="E107" i="6"/>
  <c r="M48" i="5"/>
  <c r="G48" i="5"/>
  <c r="E125" i="6"/>
  <c r="C157" i="10" l="1"/>
  <c r="D148" i="10"/>
  <c r="D151" i="10" s="1"/>
  <c r="E115" i="10"/>
  <c r="E85" i="10"/>
  <c r="D149" i="10"/>
  <c r="C160" i="10"/>
  <c r="E123" i="10"/>
  <c r="C149" i="10" s="1"/>
  <c r="E126" i="6"/>
  <c r="C161" i="10"/>
  <c r="E149" i="10"/>
  <c r="E151" i="10" s="1"/>
  <c r="E128" i="10"/>
  <c r="C150" i="10" s="1"/>
  <c r="F150" i="10" s="1"/>
  <c r="C165" i="10"/>
  <c r="C162" i="10" s="1"/>
  <c r="E84" i="6"/>
  <c r="B13" i="7" s="1"/>
  <c r="C13" i="7" s="1"/>
  <c r="D141" i="4"/>
  <c r="B41" i="5"/>
  <c r="B9" i="8"/>
  <c r="L6" i="5"/>
  <c r="L4" i="5" s="1"/>
  <c r="H6" i="5"/>
  <c r="H4" i="5" s="1"/>
  <c r="N6" i="5"/>
  <c r="N4" i="5" s="1"/>
  <c r="J6" i="5"/>
  <c r="B4" i="5"/>
  <c r="F6" i="5"/>
  <c r="F4" i="5" s="1"/>
  <c r="D6" i="5"/>
  <c r="D4" i="5" s="1"/>
  <c r="J142" i="4"/>
  <c r="C20" i="7"/>
  <c r="B14" i="7"/>
  <c r="J57" i="4"/>
  <c r="F48" i="4"/>
  <c r="E48" i="4"/>
  <c r="J49" i="4"/>
  <c r="D4" i="8"/>
  <c r="O47" i="5"/>
  <c r="B24" i="5"/>
  <c r="D70" i="4"/>
  <c r="F88" i="4"/>
  <c r="J89" i="4"/>
  <c r="J88" i="4" s="1"/>
  <c r="E105" i="10"/>
  <c r="B7" i="8"/>
  <c r="D7" i="8" s="1"/>
  <c r="B23" i="7"/>
  <c r="C23" i="7" s="1"/>
  <c r="J19" i="4"/>
  <c r="J4" i="4" s="1"/>
  <c r="K1" i="4"/>
  <c r="J4" i="5"/>
  <c r="E142" i="4"/>
  <c r="L36" i="5"/>
  <c r="L27" i="5" s="1"/>
  <c r="K27" i="5" s="1"/>
  <c r="D36" i="5"/>
  <c r="D27" i="5" s="1"/>
  <c r="C27" i="5" s="1"/>
  <c r="F36" i="5"/>
  <c r="F27" i="5" s="1"/>
  <c r="N36" i="5"/>
  <c r="N27" i="5" s="1"/>
  <c r="H36" i="5"/>
  <c r="H27" i="5" s="1"/>
  <c r="G27" i="5" s="1"/>
  <c r="J36" i="5"/>
  <c r="J27" i="5" s="1"/>
  <c r="I27" i="5" s="1"/>
  <c r="B27" i="5"/>
  <c r="F4" i="4"/>
  <c r="F3" i="4" s="1"/>
  <c r="E130" i="10" l="1"/>
  <c r="C159" i="10"/>
  <c r="C158" i="10" s="1"/>
  <c r="F149" i="10"/>
  <c r="C156" i="10"/>
  <c r="C148" i="10"/>
  <c r="C151" i="10" s="1"/>
  <c r="L2" i="5"/>
  <c r="K4" i="5"/>
  <c r="E4" i="5"/>
  <c r="E27" i="5"/>
  <c r="B6" i="8"/>
  <c r="B22" i="7"/>
  <c r="D3" i="4"/>
  <c r="D2" i="5"/>
  <c r="C4" i="5"/>
  <c r="O4" i="5"/>
  <c r="M4" i="5"/>
  <c r="N2" i="5"/>
  <c r="M2" i="5" s="1"/>
  <c r="H25" i="8" s="1"/>
  <c r="D9" i="8"/>
  <c r="B8" i="8"/>
  <c r="I4" i="5"/>
  <c r="L24" i="5"/>
  <c r="L20" i="5" s="1"/>
  <c r="F24" i="5"/>
  <c r="F20" i="5" s="1"/>
  <c r="H24" i="5"/>
  <c r="H20" i="5" s="1"/>
  <c r="J24" i="5"/>
  <c r="J20" i="5" s="1"/>
  <c r="I20" i="5" s="1"/>
  <c r="D24" i="5"/>
  <c r="D20" i="5" s="1"/>
  <c r="N24" i="5"/>
  <c r="N20" i="5" s="1"/>
  <c r="B20" i="5"/>
  <c r="G4" i="5"/>
  <c r="L41" i="5"/>
  <c r="L40" i="5" s="1"/>
  <c r="N41" i="5"/>
  <c r="N40" i="5" s="1"/>
  <c r="F41" i="5"/>
  <c r="F40" i="5" s="1"/>
  <c r="E40" i="5" s="1"/>
  <c r="J41" i="5"/>
  <c r="J40" i="5" s="1"/>
  <c r="I40" i="5" s="1"/>
  <c r="D41" i="5"/>
  <c r="D40" i="5" s="1"/>
  <c r="H41" i="5"/>
  <c r="H40" i="5" s="1"/>
  <c r="B40" i="5"/>
  <c r="B24" i="7"/>
  <c r="C24" i="7" s="1"/>
  <c r="B2" i="5"/>
  <c r="M27" i="5"/>
  <c r="O27" i="5" s="1"/>
  <c r="E22" i="10"/>
  <c r="E24" i="10" s="1"/>
  <c r="E141" i="4"/>
  <c r="E22" i="6"/>
  <c r="E24" i="6" s="1"/>
  <c r="J48" i="4"/>
  <c r="C14" i="7"/>
  <c r="H23" i="8"/>
  <c r="J2" i="5" l="1"/>
  <c r="I2" i="5" s="1"/>
  <c r="F25" i="8" s="1"/>
  <c r="F23" i="8" s="1"/>
  <c r="C24" i="8"/>
  <c r="C2" i="5"/>
  <c r="C25" i="8" s="1"/>
  <c r="G20" i="5"/>
  <c r="K2" i="5"/>
  <c r="G25" i="8" s="1"/>
  <c r="G23" i="8" s="1"/>
  <c r="J141" i="4"/>
  <c r="E3" i="4"/>
  <c r="J3" i="4" s="1"/>
  <c r="G40" i="5"/>
  <c r="M40" i="5"/>
  <c r="M20" i="5"/>
  <c r="E20" i="5"/>
  <c r="D8" i="8"/>
  <c r="C22" i="7"/>
  <c r="C29" i="7" s="1"/>
  <c r="B29" i="7"/>
  <c r="F2" i="5"/>
  <c r="E2" i="5" s="1"/>
  <c r="D25" i="8" s="1"/>
  <c r="D23" i="8" s="1"/>
  <c r="B11" i="7"/>
  <c r="E127" i="6"/>
  <c r="C40" i="5"/>
  <c r="O40" i="5" s="1"/>
  <c r="K40" i="5"/>
  <c r="H2" i="5"/>
  <c r="G2" i="5" s="1"/>
  <c r="E25" i="8" s="1"/>
  <c r="E23" i="8" s="1"/>
  <c r="C20" i="5"/>
  <c r="K20" i="5"/>
  <c r="D6" i="8"/>
  <c r="B3" i="8"/>
  <c r="D3" i="8" s="1"/>
  <c r="O2" i="5" l="1"/>
  <c r="C11" i="7"/>
  <c r="C16" i="7" s="1"/>
  <c r="B16" i="7"/>
  <c r="B14" i="8"/>
  <c r="C23" i="8"/>
  <c r="I23" i="8" s="1"/>
  <c r="I25" i="8"/>
  <c r="O20" i="5"/>
  <c r="C22" i="8" l="1"/>
  <c r="D14" i="8"/>
  <c r="D22" i="8"/>
  <c r="D24" i="8" s="1"/>
  <c r="E22" i="8"/>
  <c r="E24" i="8" s="1"/>
  <c r="F22" i="8"/>
  <c r="F24" i="8" s="1"/>
  <c r="G22" i="8"/>
  <c r="G24" i="8" s="1"/>
  <c r="H22" i="8"/>
  <c r="H24" i="8" s="1"/>
  <c r="E5" i="8" l="1"/>
  <c r="E12" i="8"/>
  <c r="E14" i="8"/>
  <c r="E11" i="8"/>
  <c r="E13" i="8"/>
  <c r="E10" i="8"/>
  <c r="C15" i="8"/>
  <c r="E7" i="8"/>
  <c r="E4" i="8"/>
  <c r="E9" i="8"/>
  <c r="E6" i="8"/>
  <c r="E3" i="8"/>
  <c r="E8" i="8"/>
  <c r="B15" i="8"/>
  <c r="D15" i="8" s="1"/>
  <c r="I22" i="8"/>
  <c r="I24" i="8" l="1"/>
  <c r="J23" i="8" s="1"/>
  <c r="J22" i="8"/>
  <c r="E131" i="10"/>
  <c r="C155" i="10" l="1"/>
  <c r="C169" i="10" s="1"/>
  <c r="F148" i="10"/>
  <c r="F151" i="10" s="1"/>
  <c r="F152" i="10" l="1"/>
</calcChain>
</file>

<file path=xl/sharedStrings.xml><?xml version="1.0" encoding="utf-8"?>
<sst xmlns="http://schemas.openxmlformats.org/spreadsheetml/2006/main" count="1204" uniqueCount="420">
  <si>
    <r>
      <t>PROGRAMA INTEGRAL DE DESARROLLO</t>
    </r>
    <r>
      <rPr>
        <b/>
        <i/>
        <sz val="11"/>
        <rFont val="Arial"/>
        <family val="2"/>
      </rPr>
      <t xml:space="preserve"> </t>
    </r>
    <r>
      <rPr>
        <b/>
        <sz val="11"/>
        <rFont val="Arial"/>
        <family val="2"/>
      </rPr>
      <t xml:space="preserve">TURISTICO Y URBANO DE LA CCSD (PIDTUR-CC)
ESQUEMA PRESUPUESTARIO , ESTRUCTURA DESGLOSADA
</t>
    </r>
  </si>
  <si>
    <t>DESCRIPCIÓN</t>
  </si>
  <si>
    <t>Monto</t>
  </si>
  <si>
    <t>Cons Ind</t>
  </si>
  <si>
    <t xml:space="preserve"> Cons Firma</t>
  </si>
  <si>
    <t>Bienes</t>
  </si>
  <si>
    <t>Obras</t>
  </si>
  <si>
    <t>Total</t>
  </si>
  <si>
    <t xml:space="preserve">Programa Integral de Desarrollo Turístico y Urbano de la Ciudad Colonial de Santo Domingo </t>
  </si>
  <si>
    <t>Componente I: Consolidación de la Oferta de Turismo Cultural</t>
  </si>
  <si>
    <t>a</t>
  </si>
  <si>
    <t xml:space="preserve">PRODUCTO 1.1 - Recuperación integral de espacios públicos en calles priorizadas . Esto incluirá las siguientes intervenciones: (i) la corrección del sistema de suministro de agua, drenaje pluvial, alcantarillas; (ii) obra civil de infraestructura de cableado eléctrico y de telecomunicación; (iii) nueva pavimentación; (iv) iluminación, mobiliario, señalización y arborización. </t>
  </si>
  <si>
    <t>1.1.1.a</t>
  </si>
  <si>
    <r>
      <t xml:space="preserve">GEOTÉCNICO: </t>
    </r>
    <r>
      <rPr>
        <sz val="11"/>
        <rFont val="Arial"/>
        <family val="2"/>
      </rPr>
      <t xml:space="preserve">Estudio Geotécnico para las obras de renovación de calles.
</t>
    </r>
    <r>
      <rPr>
        <i/>
        <sz val="11"/>
        <rFont val="Arial"/>
        <family val="2"/>
      </rPr>
      <t>Estudios Geotécnicos en general que provean datos precisos para la correcta definición de las obras de remozamiento de calles.</t>
    </r>
  </si>
  <si>
    <t>1.1.1.b</t>
  </si>
  <si>
    <r>
      <t xml:space="preserve">ESTUDIO: Estudio de vulnerabilidad de inmuebles. 
</t>
    </r>
    <r>
      <rPr>
        <i/>
        <sz val="11"/>
        <color theme="1"/>
        <rFont val="Arial"/>
        <family val="2"/>
      </rPr>
      <t>Estudios de estado actual de los inmuebles a ser intervenidos y acciones para evitar riesgos durante las obras de renovación de calles</t>
    </r>
  </si>
  <si>
    <t>1.1.1.c</t>
  </si>
  <si>
    <r>
      <t xml:space="preserve">ESTUDIO: Estudios arqueológicos previos.
</t>
    </r>
    <r>
      <rPr>
        <i/>
        <sz val="11"/>
        <rFont val="Arial"/>
        <family val="2"/>
      </rPr>
      <t>Incluye geo escaneado y supervisión de arqueología de obra.</t>
    </r>
  </si>
  <si>
    <t>1.1.1.d</t>
  </si>
  <si>
    <r>
      <rPr>
        <b/>
        <sz val="11"/>
        <rFont val="Arial"/>
        <family val="2"/>
      </rPr>
      <t>Actualización diseño y supervisión de obras de</t>
    </r>
    <r>
      <rPr>
        <sz val="11"/>
        <rFont val="Arial"/>
        <family val="2"/>
      </rPr>
      <t xml:space="preserve"> reforma de calles priorizadas y estudios especializados (vulnerabilidad, estrategia intervención, movilidad, otros). (1.1.2, 1.1.3, 1.1.4).
</t>
    </r>
    <r>
      <rPr>
        <i/>
        <sz val="11"/>
        <rFont val="Arial"/>
        <family val="2"/>
      </rPr>
      <t>Consiste en actualizar y ajustar el anteproyecto existente a los lineamientos definitivos de Fase I, contemplando los resultados de los estudios Geotécnico, Vulnerabilidad, Estrategia de Intervención, Movilidad durante la Obra; y ajustándose a la implementación del sistema de Movilidad Urbana y del manejo de los Residuos Sólidos, éstos dos últimos en coordinación con el Componente III.</t>
    </r>
  </si>
  <si>
    <t>1.1.1.f</t>
  </si>
  <si>
    <r>
      <t xml:space="preserve">ESTUDIO: Estrategia de intervención de calles.
</t>
    </r>
    <r>
      <rPr>
        <i/>
        <sz val="11"/>
        <color theme="1"/>
        <rFont val="Arial"/>
        <family val="2"/>
      </rPr>
      <t>Programación de trabajos y logística de etapas de obra</t>
    </r>
  </si>
  <si>
    <t>1.1.2</t>
  </si>
  <si>
    <r>
      <rPr>
        <b/>
        <sz val="11"/>
        <color theme="1"/>
        <rFont val="Arial"/>
        <family val="2"/>
      </rPr>
      <t xml:space="preserve">OBRA: NIVEL A </t>
    </r>
    <r>
      <rPr>
        <sz val="11"/>
        <color theme="1"/>
        <rFont val="Arial"/>
        <family val="2"/>
      </rPr>
      <t xml:space="preserve">-Calle El Conde y Escalinatas (entre Palo Hincado y Avenida del Puerto) 1,000 mts Lineales. 
</t>
    </r>
    <r>
      <rPr>
        <i/>
        <sz val="11"/>
        <color theme="1"/>
        <rFont val="Arial"/>
        <family val="2"/>
      </rPr>
      <t>Corrección del sistema de suministro de agua, drenaje pluvial, alcantarillas, obra civil de infraestructura cableado eléctrico y de telecomunicación,. Acabados nivel A, nueva pavimentación, iluminación, mobiliario, señalización y arborización. "Proyecto Revitalización Integral Calle el Conde".</t>
    </r>
  </si>
  <si>
    <t>1.1.3</t>
  </si>
  <si>
    <r>
      <rPr>
        <b/>
        <sz val="11"/>
        <color theme="1"/>
        <rFont val="Arial"/>
        <family val="2"/>
      </rPr>
      <t>OBRA: NIVEL B</t>
    </r>
    <r>
      <rPr>
        <sz val="11"/>
        <color theme="1"/>
        <rFont val="Arial"/>
        <family val="2"/>
      </rPr>
      <t xml:space="preserve"> - Calles Padre Billini y Mercedes entre Palo Hincado y Hostos, Duarte entre Avenida Mella y Billini. 2030 mts. 
</t>
    </r>
    <r>
      <rPr>
        <i/>
        <sz val="11"/>
        <color theme="1"/>
        <rFont val="Arial"/>
        <family val="2"/>
      </rPr>
      <t>Consiste en la Reforma Integral de las calles: Infraestructura (agua potable, alcantarillas, pluviales, obra civil electricidad y telecomunicaciones) y Acabados  de nivel B (pavimentos, mobiliario urbano, señalización, arborización), incluye seguridad y salud.</t>
    </r>
  </si>
  <si>
    <t>1.1.4</t>
  </si>
  <si>
    <r>
      <rPr>
        <b/>
        <sz val="11"/>
        <color theme="1"/>
        <rFont val="Arial"/>
        <family val="2"/>
      </rPr>
      <t>OBRA: NIVEL C</t>
    </r>
    <r>
      <rPr>
        <sz val="11"/>
        <color theme="1"/>
        <rFont val="Arial"/>
        <family val="2"/>
      </rPr>
      <t xml:space="preserve"> - Calles Nouel de Palo Hincado a Meriño,  Hostos entre Isidro Pérez y JGGarcia, Las Damas entre Mercedes y Plaza Pellerano Alfau, Mercedes entre Católica y Las Damas, Billini entre Católica y Las Damas, Luperón de Meriño a Mercedes, Calles y Espacios Públicos Santa Bárbara 3.400 mts 
</t>
    </r>
    <r>
      <rPr>
        <i/>
        <sz val="11"/>
        <color theme="1"/>
        <rFont val="Arial"/>
        <family val="2"/>
      </rPr>
      <t>Consiste en nuevo pavimento, ampliar aceras, mobiliario urbano, vegetación, paisajismo, otros. Acabados nivel B.</t>
    </r>
  </si>
  <si>
    <t>1.1.5</t>
  </si>
  <si>
    <r>
      <rPr>
        <b/>
        <sz val="11"/>
        <color theme="1"/>
        <rFont val="Arial"/>
        <family val="2"/>
      </rPr>
      <t>OBRA SOTERRADO: NIVEL A y B</t>
    </r>
    <r>
      <rPr>
        <sz val="11"/>
        <color theme="1"/>
        <rFont val="Arial"/>
        <family val="2"/>
      </rPr>
      <t xml:space="preserve"> -  Soterrado de cableado eléctrico.  (1.1.6). 3030 mts lineales 
</t>
    </r>
    <r>
      <rPr>
        <i/>
        <sz val="11"/>
        <color theme="1"/>
        <rFont val="Arial"/>
        <family val="2"/>
      </rPr>
      <t>Consiste en el soterrado de cableado eléctrico, retiro de postes y suministro y construcción de centros transformadores y obra civil.</t>
    </r>
  </si>
  <si>
    <t>1.1.6</t>
  </si>
  <si>
    <t>Supervisión de obras de soterrado de cables eléctricos - 1.1.5</t>
  </si>
  <si>
    <t>1.1.7</t>
  </si>
  <si>
    <t xml:space="preserve">Protocolo inter institucional para el traspaso de la infraestructura a las instituciones responsables de su mantenimiento. Incluye mantenimiento menor de las nuevas infraestructuras terminadas (espacio público: calles y plazas) durante la vida del Programa CC.  Reemplazo de Bolardos, Adoquines, Luminarias y mobiliario urbano.  </t>
  </si>
  <si>
    <t>1.1.8</t>
  </si>
  <si>
    <t>Especialista de proyectos de infraestructura</t>
  </si>
  <si>
    <t>1.1.9</t>
  </si>
  <si>
    <t>Especialista de Oferta Turística Complementaria</t>
  </si>
  <si>
    <t>b</t>
  </si>
  <si>
    <t>PRODUCTO 1.2: Restauración y puesta en valor de ruinas arqueológicas. Esto incluirá obras de construcción de las Ruinas de San Francisco (Capilla de la Tercera Orden, Centro de Interpretación, y Parque Arqueológico). Además, se llevará a cabo restauraciones en las calles adyacentes a las ruinas: Restauración, Juan Isidro Pérez, Tejera y Duarte;</t>
  </si>
  <si>
    <t>1.2.1</t>
  </si>
  <si>
    <t>Obras de rehabilitación del Monasterio de San Francisco (Capilla de la Tercera Orden, Centro de Interpretación, y Parque Arqueológico, sujeto a consenso). Etapa 1</t>
  </si>
  <si>
    <t>1.2.2</t>
  </si>
  <si>
    <r>
      <rPr>
        <b/>
        <sz val="11"/>
        <color theme="1"/>
        <rFont val="Arial"/>
        <family val="2"/>
      </rPr>
      <t xml:space="preserve">OBRA: NIVEL A </t>
    </r>
    <r>
      <rPr>
        <sz val="11"/>
        <color theme="1"/>
        <rFont val="Arial"/>
        <family val="2"/>
      </rPr>
      <t xml:space="preserve">- Calles Restauración y Juan isidro Pérez (entre Duarte y Hostos), Hostos (entre Isidro Pérez y Restauración), Tejera (entre Hostos y Meriño). 500 metros lineales. Incluye un parqueo.
</t>
    </r>
    <r>
      <rPr>
        <i/>
        <sz val="11"/>
        <color theme="1"/>
        <rFont val="Arial"/>
        <family val="2"/>
      </rPr>
      <t>Consiste en la Reforma Integral de las calles: Infraestructura (agua potable, alcantarillas, pluviales, obra civil electricidad y telecomunicaciones) y Acabados  de nivel A (pavimentos, mobiliario urbano, señalización, arborización), incluye seguridad y salud.</t>
    </r>
  </si>
  <si>
    <t>1.2.3</t>
  </si>
  <si>
    <t>Supervisión de Obras</t>
  </si>
  <si>
    <t>1.2.4</t>
  </si>
  <si>
    <t>Analista Especialista en Património</t>
  </si>
  <si>
    <t>d</t>
  </si>
  <si>
    <t>PRODUCTO 1.3: Recuperación de la Ribera del Ozama. La realización del Proyecto Ejecutivo Parque Lineal de la Ribera y supervisión de la obra incluirá: (i) conectividad y vínculos entre la ribera este y oeste de la ría; (ii) accesos priorizados para cruceristas; (iii) estacionamientos y movilidad; y (iv) paisajismo.</t>
  </si>
  <si>
    <t>1.3.1.</t>
  </si>
  <si>
    <t>Realización Proyecto Ejecutivo y supervisión de la obra Proyecto Parque Lineal Ribera del Ozama (Paisajismo, Accesos Priorizados y conectividad: Estacionamientos, movilidad, accesos cruceristas, vínculos ribera este y oeste de la ría).</t>
  </si>
  <si>
    <t>1.3.2.</t>
  </si>
  <si>
    <t>Obra Proyecto Parque Lineal Ribera del Ozama (Paisajismo, Accesos Priorizados y conectividad: Estacionamientos, movilidad, accesos cruceristas, vínculos ribera este y oeste de la ría).</t>
  </si>
  <si>
    <t>e</t>
  </si>
  <si>
    <t>PRODUCTO 1.4: Recuperación de Museos. Esto incluirá: (i) Obras de Adecuación y Mantenimiento Planta Física del museo Alcázar de Colón; (ii) Obras de adecuación y mantenimiento de la planta física del Museo Casas Reales; y (iii) museografía de Fortaleza y Museo de la Catedral.</t>
  </si>
  <si>
    <t>1.4.1</t>
  </si>
  <si>
    <r>
      <rPr>
        <b/>
        <sz val="11"/>
        <rFont val="Arial"/>
        <family val="2"/>
      </rPr>
      <t>OBRA:</t>
    </r>
    <r>
      <rPr>
        <sz val="11"/>
        <rFont val="Arial"/>
        <family val="2"/>
      </rPr>
      <t xml:space="preserve"> Adecuación y Mantenimiento Planta Física Alcázar de Colón.
</t>
    </r>
    <r>
      <rPr>
        <i/>
        <sz val="11"/>
        <rFont val="Arial"/>
        <family val="2"/>
      </rPr>
      <t>Consiste en adecuación de la climatización, conservación, impermeabilización, fumigación, y nuevos baños.</t>
    </r>
  </si>
  <si>
    <t>1.4.2</t>
  </si>
  <si>
    <r>
      <t xml:space="preserve">PROYECTO Y SUPERVISIÓN DE OBRA: </t>
    </r>
    <r>
      <rPr>
        <sz val="11"/>
        <rFont val="Arial"/>
        <family val="2"/>
      </rPr>
      <t xml:space="preserve"> Adecuación y Mantenimiento Planta Física Alcázar de Colón </t>
    </r>
  </si>
  <si>
    <t>1.4.3</t>
  </si>
  <si>
    <r>
      <t xml:space="preserve">IMPLEMENTACION MUSEOGRAFIA: </t>
    </r>
    <r>
      <rPr>
        <sz val="11"/>
        <rFont val="Arial"/>
        <family val="2"/>
      </rPr>
      <t>Museo Alcázar de Colón (diseñada en 1era Operación)</t>
    </r>
  </si>
  <si>
    <t>1.4.4</t>
  </si>
  <si>
    <r>
      <rPr>
        <b/>
        <sz val="11"/>
        <rFont val="Arial"/>
        <family val="2"/>
      </rPr>
      <t>OBRA:</t>
    </r>
    <r>
      <rPr>
        <sz val="11"/>
        <rFont val="Arial"/>
        <family val="2"/>
      </rPr>
      <t xml:space="preserve"> Adecuación y Mantenimiento Planta Física Casas Reales.
</t>
    </r>
    <r>
      <rPr>
        <i/>
        <sz val="11"/>
        <rFont val="Arial"/>
        <family val="2"/>
      </rPr>
      <t>Consiste en la adecuación de la climatización, conservación, nuevo ascensor, reformas.</t>
    </r>
  </si>
  <si>
    <t>1.4.5</t>
  </si>
  <si>
    <r>
      <rPr>
        <b/>
        <sz val="11"/>
        <rFont val="Arial"/>
        <family val="2"/>
      </rPr>
      <t>OBRA:</t>
    </r>
    <r>
      <rPr>
        <sz val="11"/>
        <rFont val="Arial"/>
        <family val="2"/>
      </rPr>
      <t xml:space="preserve"> Techado patios Museo Casas Reales.
</t>
    </r>
    <r>
      <rPr>
        <i/>
        <sz val="11"/>
        <rFont val="Arial"/>
        <family val="2"/>
      </rPr>
      <t>Consiste en el techado mediante cristal en transparencia de los patios interiores, uno para librería café y otro para eventos.</t>
    </r>
  </si>
  <si>
    <t>1.4.6</t>
  </si>
  <si>
    <r>
      <t xml:space="preserve">PROYECTO Y SUPERVISIÓN DE OBRA: </t>
    </r>
    <r>
      <rPr>
        <sz val="11"/>
        <rFont val="Arial"/>
        <family val="2"/>
      </rPr>
      <t xml:space="preserve"> Adecuación y Mantenimiento Planta Física Museo Casas Reales y techado patios </t>
    </r>
  </si>
  <si>
    <t>1.4.7</t>
  </si>
  <si>
    <r>
      <t xml:space="preserve">IMPLEMENTACION MUSEOGRAFIA: </t>
    </r>
    <r>
      <rPr>
        <sz val="11"/>
        <rFont val="Arial"/>
        <family val="2"/>
      </rPr>
      <t>Museo Casas Reales (diseñada en 1era Operación)</t>
    </r>
  </si>
  <si>
    <t>1.4.8</t>
  </si>
  <si>
    <r>
      <t xml:space="preserve">IMPLEMENTACION MUSEOGRAFIA: </t>
    </r>
    <r>
      <rPr>
        <sz val="11"/>
        <rFont val="Arial"/>
        <family val="2"/>
      </rPr>
      <t xml:space="preserve">Fortaleza  (diseñada en 1era Operación) </t>
    </r>
  </si>
  <si>
    <t>1.4.9</t>
  </si>
  <si>
    <r>
      <t xml:space="preserve">IMPLEMENTACION MUSEOGRAFIA: </t>
    </r>
    <r>
      <rPr>
        <sz val="11"/>
        <rFont val="Arial"/>
        <family val="2"/>
      </rPr>
      <t xml:space="preserve">Museo de la Catedral (diseñada en 1era Operación) </t>
    </r>
  </si>
  <si>
    <t>1.4.10</t>
  </si>
  <si>
    <t xml:space="preserve">Especialista de Museos </t>
  </si>
  <si>
    <t>c</t>
  </si>
  <si>
    <t xml:space="preserve">PRODUCTO 1.5: Implementación del Plan de Movilidad Urbana (PMUS). Esto incluirá el diseño y la ejecución de las obras, suministro y colocación de señalética, marcas, carteles, elementos urbanos de tráfico correspondientes al PMUS y diseño, ejecución y supervisión de un estacionamiento; </t>
  </si>
  <si>
    <t>1.5.1</t>
  </si>
  <si>
    <r>
      <rPr>
        <b/>
        <sz val="11"/>
        <color rgb="FF000000"/>
        <rFont val="Arial"/>
        <family val="2"/>
      </rPr>
      <t xml:space="preserve">DIRECCIÓN y SUPERVISIÓN: </t>
    </r>
    <r>
      <rPr>
        <sz val="11"/>
        <color rgb="FF000000"/>
        <rFont val="Arial"/>
        <family val="2"/>
      </rPr>
      <t>Implementación Física PMUS</t>
    </r>
  </si>
  <si>
    <t>1.5.2</t>
  </si>
  <si>
    <r>
      <rPr>
        <b/>
        <sz val="11"/>
        <color rgb="FF000000"/>
        <rFont val="Arial"/>
        <family val="2"/>
      </rPr>
      <t>OBRA:</t>
    </r>
    <r>
      <rPr>
        <sz val="11"/>
        <color rgb="FF000000"/>
        <rFont val="Arial"/>
        <family val="2"/>
      </rPr>
      <t xml:space="preserve"> Ejecución Implementación Física PMUS
</t>
    </r>
    <r>
      <rPr>
        <i/>
        <sz val="11"/>
        <color rgb="FF000000"/>
        <rFont val="Arial"/>
        <family val="2"/>
      </rPr>
      <t>Suministro y colocación de señalética, marcas, carteles, elementos urbanos de tráfico correspondientes a la nueva movilidad urbana</t>
    </r>
  </si>
  <si>
    <t>1.5.3</t>
  </si>
  <si>
    <r>
      <rPr>
        <b/>
        <sz val="11"/>
        <color rgb="FF000000"/>
        <rFont val="Arial"/>
        <family val="2"/>
      </rPr>
      <t xml:space="preserve">OBRA: </t>
    </r>
    <r>
      <rPr>
        <sz val="11"/>
        <color rgb="FF000000"/>
        <rFont val="Arial"/>
        <family val="2"/>
      </rPr>
      <t xml:space="preserve">Diseño y ejecución de obra de una de las locaciones de Estacionamiento del Sistema de Estacionamientos propuesto </t>
    </r>
  </si>
  <si>
    <t>f</t>
  </si>
  <si>
    <t>PRODUCTO 1.6: Mejora del Manejo y recolección de residuos sólidos. Consiste en el diseño e implementación de un sistema mejorado de recolección de residuos y limpieza urbana en la CCSD que incluye el esquema de gestión y la inversión en equipos, contenedores, obras y camiones y campañas de concientización</t>
  </si>
  <si>
    <t>1.6.1</t>
  </si>
  <si>
    <t xml:space="preserve">Implementación de un sistema mejorado de recolección de residuos y limpieza urbana en la Ciudad Colonial: equipos, contenedores, obras y camiones.  </t>
  </si>
  <si>
    <t>g</t>
  </si>
  <si>
    <t xml:space="preserve">PRODUCTO 1.7: Consolidación del Sistema de Video vigilancia e iluminación de la CCSD. Esto incluirá la ampliación de la red de seguridad con instalación de nuevas cámaras de vigilancia, la adecuación técnica para su funcionamiento ininterrumpido, la capacitación de personal para el monitoreo, el ajuste de protocolos y el cambio y modernización de luminarias, garantizando plena interconectividad con el Sistema de Monitoreo del 911. Adicionalmente, se apoyara el diseño de un mecanismo de coordinación de los diferentes organismos para la efectiva implementación de un plan unificado de prevención y control de violencias y delitos en el territorio. </t>
  </si>
  <si>
    <t>1.7.1</t>
  </si>
  <si>
    <r>
      <rPr>
        <b/>
        <sz val="11"/>
        <rFont val="Arial"/>
        <family val="2"/>
      </rPr>
      <t xml:space="preserve">SUMINISTRO y COLOCACIÓN: </t>
    </r>
    <r>
      <rPr>
        <sz val="11"/>
        <rFont val="Arial"/>
        <family val="2"/>
      </rPr>
      <t>400 luminarias</t>
    </r>
  </si>
  <si>
    <t>1.7.2</t>
  </si>
  <si>
    <r>
      <rPr>
        <b/>
        <sz val="11"/>
        <color rgb="FF000000"/>
        <rFont val="Arial"/>
        <family val="2"/>
      </rPr>
      <t>SUPERVISIÓN:</t>
    </r>
    <r>
      <rPr>
        <sz val="11"/>
        <color rgb="FF000000"/>
        <rFont val="Arial"/>
        <family val="2"/>
      </rPr>
      <t xml:space="preserve"> Ampliación 200 cámaras  </t>
    </r>
    <r>
      <rPr>
        <i/>
        <sz val="11"/>
        <color rgb="FF000000"/>
        <rFont val="Arial"/>
        <family val="2"/>
      </rPr>
      <t>(Diseño previsto en primer operación)</t>
    </r>
  </si>
  <si>
    <t>1.7.3</t>
  </si>
  <si>
    <r>
      <rPr>
        <b/>
        <sz val="11"/>
        <color rgb="FF000000"/>
        <rFont val="Arial"/>
        <family val="2"/>
      </rPr>
      <t>INSTALACIÓN:</t>
    </r>
    <r>
      <rPr>
        <sz val="11"/>
        <color rgb="FF000000"/>
        <rFont val="Arial"/>
        <family val="2"/>
      </rPr>
      <t xml:space="preserve"> Ampliación de red de cámaras y su respaldo informático (hardware y software) en 200 unidades exteriores.</t>
    </r>
  </si>
  <si>
    <t>Componente II. Mejora de las condiciones de habitabilidad para los residentes de la CCSD</t>
  </si>
  <si>
    <t xml:space="preserve">PRODUCTO 2.1: Programa de mejoramiento de vivienda. Consiste en la mejora y rehabilitación de 200 viviendas de familias de bajos ingresos Esto incluye: (i) diseño del reglamento operativo; (ii) trabajo social para la selección de beneficiarios, el levantamiento de información y la elaboración de planes de remodelación física de la vivienda; (iii) estudios históricos del entorno; (iv) gestión del programa para la ejecución del programa de mejoramiento de vivienda; (v) obras de mejoramiento de vivienda y asistencia técnica para la regularización de títulos de vivienda;  y (vi) capacitación de familias en educación financiera y construcción. </t>
  </si>
  <si>
    <t>2.1.1</t>
  </si>
  <si>
    <t xml:space="preserve">Diseno del Reglamento Operativo del Programa de Mejoramiento de Vivienda y Titulacion. Incluye: i) identificación de modelos y tipologías de intervención; ii) criterios de selección de beneficiarios; iii) criterios de definición de la intervención, iv) definición de mecanismos de corresponsabilidad, v) formas de ejecución y supervisión e) esquema de acompañamiento social
</t>
  </si>
  <si>
    <t>2.1.2</t>
  </si>
  <si>
    <t>Trabajo social para la seleccion de familias y levantamiento de informacion. Incluye: i) evaluar zonas de trabajo, ii) revisar estudios previos, iii) organizar reunión de presentación del proyecto a líderes comunitarios de la zona, iv) formar un comité con la comunidad encargado de la preselección de familias, v) preparar plan de acción para el levantamiento, vi) contacto inicial con las familias, vii) aplicar encuesta social, viii) realizar evaluación de la vivienda, ix) evaluar  capacidad financiera de las familias y la situación de tenencia, x) diseñar plan de mejora, xi) definir aporte familia, xii) socializar los resultados del proceso con toda la comunidad, xiii) Estudios arqueológicos previos cuando corresponda. El levantamiento técnico se realizará a 320 familias (las 200 que serán atendidas más un 60% de margen de familias que probablemente se retiran.</t>
  </si>
  <si>
    <t>2.1.3</t>
  </si>
  <si>
    <t>Estudios historicos del entorno (evolución de la zona, del inmueble y estudio de arqueología del color en laboratorio).</t>
  </si>
  <si>
    <t>2.1.4</t>
  </si>
  <si>
    <t xml:space="preserve">Gestión para la ejecución del programa de mejoramiento de vivienda y titulación. Incluye: contratación y supervisión de las obras de la intervención constructiva y del proceso de titulación. </t>
  </si>
  <si>
    <t>2.1.5</t>
  </si>
  <si>
    <t xml:space="preserve">Obras de Mejoramiento de Vivienda y Titulación de 200 unidades acuerdo a tipologías de intervención e identificación de necesidades en levantamiento de información </t>
  </si>
  <si>
    <t>2.1.6</t>
  </si>
  <si>
    <t>Capacitacion y seguimiento a las familias. Incluye: trabajo social para empoderar y capacitar a las familias en educacion financiera y en construccion entre otros</t>
  </si>
  <si>
    <t>2.1.7</t>
  </si>
  <si>
    <t>Especialista gestión social y vivienda</t>
  </si>
  <si>
    <t xml:space="preserve">PRODUCTO 2.2: Programa de recuperación de fachadas y esquema de incentivos indirectos a la oferta de vivienda asequible. Incluirá: (i) actualización del reglamento operativo del programa; (ii) obras de embellecimiento de 120 fachadas; (iii) la gestión y supervisión de las obras; (iv) la identificación de propiedades potenciales para el desarrollo de vivienda asequible; (v) la propuesta de modelos de negocio rentables para proveer vivienda asequible; (vi) desarrollo de diseños arquitectónicos y ferias de constructores; y (vii) sistema georreferenciado de información de títulos. </t>
  </si>
  <si>
    <t>2.2.1</t>
  </si>
  <si>
    <t>Actualización de reglamento operativo del Programa de recuperacion de Fachadas. Incluye definición de: a)  criterios de selección de beneficiarios; b) modelo financiero; c) esquemas de articulación con otros acciones de la operación;  d) mecanismos de ejecución y supervisión; e) seguimiento y control; y f) propuesta de mecanismos de recuperacion total o parcial de la inversion publica en fachadas a traves de mecanismos de captura de plusvalias y/o cofinanciacion.</t>
  </si>
  <si>
    <t>2.2.2</t>
  </si>
  <si>
    <t>Gestión de recuperacion  de Fachadas. Incluye: organización de la demanda, contratación, seguimiento social y supervisión</t>
  </si>
  <si>
    <t>2.2.3</t>
  </si>
  <si>
    <t>Obras de recuperacion de 120 Fachadas. Incluye: Restauración y rehabilitación de fachadas de edificios de valor patrimonial categorías 1, 2 y 3 en toda la CCSD</t>
  </si>
  <si>
    <t>2.2.4</t>
  </si>
  <si>
    <t>Identificación de propiedades potenciales para el desarrollo de vivienda asequible. Incluye: Levantamiento de información georreferenciada de propiedades con potencial de desarrollo</t>
  </si>
  <si>
    <t>2.2.5</t>
  </si>
  <si>
    <t>Propuesta modelos de negocio rentables para el desarrollo de vivienda asequible. Estructuración de modelos financieros para proveer vivienda asequible incluyendo mecanismos como: i) mezcla de usos para compensar rentabilidades, ii) vivienda de alquiler institucional, y iii) asociaciones público-privadas en propiedades del estado o la iglesia</t>
  </si>
  <si>
    <t>2.2.6</t>
  </si>
  <si>
    <t>Desarrollo de diseños arquitectónicos y ferias de constructores. Incluye que para ciertas propiedades identificadas como de potencial desarrollo, se desarrolle un diseño arquitectónico que respete el carácter patrimonial pero que permita la rentabilidad. Presentación en ferias para incentivar a los constructores</t>
  </si>
  <si>
    <t xml:space="preserve">PRODUCTO 2.3: Recuperación de Espacios públicos comunitarios. Consiste en el diseño y supervisión de reformas de plazas tradicionales en los barrios populares y su entorno en sector norte de la Ciudad Colonial. Esto incluirá la reintegración de fuertes y ronda de la Muralla incluyendo: (i) consolidación, limpieza y reparación de pavimentos en Fuertes (San Miguel, San Antón y Santa Bárbara); (ii) remozamiento de las puertas de Atarazanas y Don Diego; y (iii) recuperación de la ronda de la muralla desde el Fuerte de San Miguel hasta la Fortaleza de Santo Domingo (Ozama).   </t>
  </si>
  <si>
    <t>2.3.1</t>
  </si>
  <si>
    <r>
      <rPr>
        <b/>
        <sz val="11"/>
        <color rgb="FF000000"/>
        <rFont val="Arial"/>
        <family val="2"/>
      </rPr>
      <t xml:space="preserve">DISEÑO y SUPERVISIÓN: </t>
    </r>
    <r>
      <rPr>
        <sz val="11"/>
        <color rgb="FF000000"/>
        <rFont val="Arial"/>
        <family val="2"/>
      </rPr>
      <t>Reforma de plazas tradicionales y su entorno en sector norte de Ciudad Colonial: plaza de San Lázaro (1100 m2), plaza San Miguel (1620 m2) y Parque Colón (100 U$S/m2)</t>
    </r>
  </si>
  <si>
    <t>2.3.2</t>
  </si>
  <si>
    <r>
      <rPr>
        <b/>
        <sz val="11"/>
        <color rgb="FF000000"/>
        <rFont val="Arial"/>
        <family val="2"/>
      </rPr>
      <t xml:space="preserve">OBRA: </t>
    </r>
    <r>
      <rPr>
        <sz val="11"/>
        <color rgb="FF000000"/>
        <rFont val="Arial"/>
        <family val="2"/>
      </rPr>
      <t xml:space="preserve"> Reforma de plazas tradicionales y su entorno en sector norte de Ciudad Colonial: plaza de San Lázaro (1100 m2), plaza San Miguel (1620 m2) y Parque Colón (100 U$S/m2).</t>
    </r>
  </si>
  <si>
    <t>2.3.3</t>
  </si>
  <si>
    <t>DISEÑO Y SUPERVISIÓN DE OBRA: Reintegración de Fuertes y ronda de la Muralla. Estudio Arqueológico previo.</t>
  </si>
  <si>
    <t>2.3.4</t>
  </si>
  <si>
    <r>
      <rPr>
        <b/>
        <sz val="11"/>
        <rFont val="Arial"/>
        <family val="2"/>
      </rPr>
      <t>OBRA</t>
    </r>
    <r>
      <rPr>
        <sz val="11"/>
        <rFont val="Arial"/>
        <family val="2"/>
      </rPr>
      <t xml:space="preserve">: </t>
    </r>
    <r>
      <rPr>
        <i/>
        <sz val="11"/>
        <color indexed="8"/>
        <rFont val="Arial"/>
        <family val="2"/>
      </rPr>
      <t>Reintegración  de Fuertes y ronda de la Muralla: incluyendo a) Consolidación, limpieza y reparación de pavimentos en Fuertes (San Miguel, San Antón y Santa Bárbara); b) remozamiento de las puerta de Atarazanas y Don Diego; c) Recuperación de la ronda de la muralla desde el Fuerte de San Miguel hasta la Fortaleza de Santo Domingo (Ozama).</t>
    </r>
  </si>
  <si>
    <t>Componente III. Desarrollo de las Económias Locales</t>
  </si>
  <si>
    <t xml:space="preserve">PRODUCTO 3.1: Adecuación funcional y física del Mercado Modelo. Esto incluirá: (i) la preparación del modelo de negocio y gestión; (ii) preparación e implantación de un plan para gestión comercial y financiera; (iii) capacitación a las MyPEs en gestión empresarial, comercialización y otros temas; (iv) promoción y desarrollo de acciones conjuntas de nuevos servicios;  (v) remodelación de la infraestructura física del mercado de acuerdo al plan de mejoras y modernización elaborado durante la preparación de este proyecto; y (vi) reasentamiento temporal de los comerciantes, en caso de que las obras de remodelación así lo requieran.
</t>
  </si>
  <si>
    <t>3.1.1</t>
  </si>
  <si>
    <t>Plan de desarrollo del mercado:  (i) la preparación del modelo de negocio y gestión; (ii) preparación e implantación de un plan para gestión comercial y financiera (iii) propuesta arquitectonica</t>
  </si>
  <si>
    <t>3.1.2</t>
  </si>
  <si>
    <t>Ejecución  y supervisión de la remodelación de la infraestructura física del Mercado Modelo</t>
  </si>
  <si>
    <t>3.1.3</t>
  </si>
  <si>
    <t>Asistencia técnica y apoyo a la adecuacion de negocios (i) capacitación a las MyPEs en gestión empresarial, comercialización y otros temas; (ii) promoción y desarrollo de acciones conjuntas de nuevos servicios; (iii) adecuacion y adaptacion de imagen fisica de los negocios</t>
  </si>
  <si>
    <t>PRODUCTO 3.2: Programa de incentivos al sector privado. Esto incluirá el apoyo al desarrollo de una oferta de servicios que responda a la demanda y propuesta de valor de la CCSD mediante: (i) la preparación del modelo de negocio y gestión; y (ii) la adecuación de 120 micros negocios ubicados en las rutas turísticas, lugares tradicionales y calles intervenidas a través de la facilitación del acceso a servicios de apoyo financiero, asistencia técnica y la adecuación física; (iii) implementación de un fondo concursable para la generación de 20 nuevos emprendimientos de servicios para la ciudad o residente, complementarios a la oferta vigente y que respondan a la propuesta de valor de la CCSD como ciudad viva; y (iv) el diseño e implementación de una estrategia para promover proyectos de asociación público privado en la CCSD en el marco de este proyecto tales como: sistema de estacionamientos, vivienda para familias de ingresos medios, centros de eventos, animación urbana, y otros;</t>
  </si>
  <si>
    <t>3.2.1</t>
  </si>
  <si>
    <t>Plan de Contingencia de Apoyo a Negocios afectados por las obras (ESG)</t>
  </si>
  <si>
    <t>3.2.2</t>
  </si>
  <si>
    <t xml:space="preserve">Implementación adecuación de (120) micro negocios ubicados en las rutas turísticas y lugares tradicionales en base a los lineamientos definidos en el Reglamento Operativo (aspectos físicos y asistencia técnica). </t>
  </si>
  <si>
    <t>3.2.3</t>
  </si>
  <si>
    <t>Fondo concursable para la generación de nuevos emprendimientos (20 nuevos emprendimientos) servicios para la ciudad o residentes</t>
  </si>
  <si>
    <t>3.2.4</t>
  </si>
  <si>
    <t>El diseño e implementación de una estrategia para promover proyectos de asociación público privado en la CCSD en el marco de este proyecto tales como: sistema de estacionamientos, vivienda para familias de ingresos medios, centros de eventos, animación urbana, y otros;</t>
  </si>
  <si>
    <t xml:space="preserve">PRODUCTO 3.3: Programa de capacitación del capital humano de la CCSD. Esto incluirá: (i) plan de Formación en servicios turísticos y conexos; (ii) formación de docentes; bajo estándares de calidad NEO ; y (iii) plan de mejora de las siguientes escuelas técnicas: Escuela Taller del Ministerio de Trabajo, Politécnico que responde al Ministerio de Educación, y Escuelas de Bellas Artes del Ministerio de Cultura ; 
</t>
  </si>
  <si>
    <t>3.3.1</t>
  </si>
  <si>
    <t>Plan de Formación en servicios turísticos y conexos. Mecanismo sostenibilidad del centro y cursos.</t>
  </si>
  <si>
    <t>3.3.2</t>
  </si>
  <si>
    <r>
      <rPr>
        <b/>
        <sz val="11"/>
        <color indexed="8"/>
        <rFont val="Arial"/>
        <family val="2"/>
      </rPr>
      <t>Programa apoyo escuelas técnicas.</t>
    </r>
    <r>
      <rPr>
        <sz val="11"/>
        <color indexed="8"/>
        <rFont val="Arial"/>
        <family val="2"/>
      </rPr>
      <t xml:space="preserve"> 1 - formación de docentes; bajo estándares de calidad NEO;  2 - plan de mejora de las siguientes escuelas técnicas: Escuela Taller del Ministerio de Trabajo, Politécnico que responde al Ministerio de Educación, y Escuelas de Bellas Artes del Ministerio de Cultura. Alianza interinstitucional y público-privada.</t>
    </r>
  </si>
  <si>
    <t xml:space="preserve">PRODUCTO 3.4: Programa de oferta cultural urbana. Consiste en: (i) la elaboración de un plan de animación cultural urbana para la Ciudad e implementación del proyecto de consolidación de la oferta cultural de Ciudad, con la implementación de espectáculos culturales teatralizados en la fortaleza Ozama; y (ii) generación de normas y mecanismos de gestión interinstitucionales , para garantizar la sostenibilidad económica del programa de animación, mediante la co-gestión y el traspaso de las actividades. </t>
  </si>
  <si>
    <t>3.4.1</t>
  </si>
  <si>
    <t>Actualización del Plan de Animación Cultural Urbana  para Ciudad Colonial (operación No. 2587/OC-DR) e implementación del Proyecto de Consolidación de la Oferta Cultural de Ciudad Colonial.</t>
  </si>
  <si>
    <t>3.4.2</t>
  </si>
  <si>
    <t xml:space="preserve">Contratación equipo gestor del Plan para el seguimiento  permanente durante el periodo de ejecución del programa y que se genere un sistema para la operación y monitoreo de las actividades. </t>
  </si>
  <si>
    <t>3.4.3</t>
  </si>
  <si>
    <t>Implementación espectáculo cultural teatralizado Fortaleza Ozama</t>
  </si>
  <si>
    <t>3.4.4</t>
  </si>
  <si>
    <t xml:space="preserve">Especialista en gestión  cultural </t>
  </si>
  <si>
    <t>Componente IV. Fortalecimiento de la Gestión Turística Cultural y Urbana</t>
  </si>
  <si>
    <t>PRODUCTO 4.1 Mecanismo de Gestión Sostenible de la CCSD. Consiste en: (i) asistencia para la implementación de un mecanismo de gobernanza de la ciudad, el cual será diseñado por los actores locales y acompañamiento de la UNESCO; (ii)  identificación de mecanismos o medidas de política que permitan generar recursos adicionales para financiar los costos de administración y mantenimiento de las inversiones realizadas;  (iii) generación de normas y mecanismos de gestión interinstitucionales  y alianza público-privadas; y (iv) plan de gestión de riesgos de la CCSD (Plan de contigencias contra huracanes, terromotos, inundaciones, para manejo de desperdicios sólidos y enmbarcaciones turísticas)</t>
  </si>
  <si>
    <t>4.1.1</t>
  </si>
  <si>
    <t>Asistencia para la implementación de un mecanismo de gobernanza de la ciudad, el cual será diseñado por los actores locales y acompañamiento de la UNESCO</t>
  </si>
  <si>
    <t>4.1.2</t>
  </si>
  <si>
    <t>Identificación de mecanismos o medidas de política que permitan generar recursos adicionales para financiar los costos de administración y mantenimiento de las inversiones realizadas</t>
  </si>
  <si>
    <t>4.1.3</t>
  </si>
  <si>
    <t>Generación de normas y mecanismos de gestión interinstitucionales  y alianza público-privadas.</t>
  </si>
  <si>
    <t>4.1.4</t>
  </si>
  <si>
    <t>Plan de gestión de riesgos de la CCSD</t>
  </si>
  <si>
    <t>PRODUCTO 4.2: Sistema Integrado de Gestión de Servicios de la CCSD (MITUR, ADN, MINCUL, y otras instituciones públicas relevantes). Consiste en la asistencia para el diseño e implementación de un Portal que integre los diversos sistemas de gestión de servicios de las instituciones presentes en la CCSD (plataforma para la gestión de trámites on-line: entrega de permisos para eventos, uso de suelo, uso del espacio público, servicios turísticos, licencias de construcción, usos especiales, etc.), incluyendo equipamiento, software y capacitaciones.</t>
  </si>
  <si>
    <t>4.2.1</t>
  </si>
  <si>
    <t>Asistencia para el diseño e implementación de un Portal que integre los diversos sistemas de gestión de servicios de las instituciones presentes en la CCSD (plataforma para la gestión trámites on-line: entrega de permisos para eventos, uso de suelo, uso del espacio público, servicios turísticos, licencias de construcción, usos especiales, etc.), incluyendo equipamiento, software y capacitaciones.s.</t>
  </si>
  <si>
    <t>PRODUCTO 4.3: Plan de Marketing de la CCSD. Consiste: la asistencia para la implementación de acciones de marketing turístico de Ciudad Colonial a mercados prioritarios, en base al Plan de Marketing en elaboración con financiamiento de 2587/OC-DR, el cual prioriza el uso de nuevas tecnologías adaptadas a las nuevas formas de consumo turístico (ej. viajes de prensa especializada en turismo, campañas de promoción, redes sociales, aplicaciones inteligentes, etc.);</t>
  </si>
  <si>
    <t>4.3.1</t>
  </si>
  <si>
    <t>Implementación de acciones de marketing turístico de Ciudad Colonial a mercados prioritarios, en base al Plan de Marketing en elaboración con financiamiento de 2587/OC-DR, y tratando de dar prioridad al uso de nuevas tecnologías adaptadas a las nuevas formas de consumo turístico (ej. viajes de prensa, campañas de promoción, redes sociales, aplicaciones inteligentes, etc.).</t>
  </si>
  <si>
    <t>PRODUCTO 4.4: Observatorio Turístico y Urbano de la CCSD. Esto incluirá asistencia para implantar el observatorio el cual será responsable por: (i) la operación del Sistema de Capacidad de Carga de CC; (ii) el piloto del Sistema de Información Turística Territorial (SITT); (iii) el sistema de información geográfica de calidad turística, inversiones en el territorio, movilidad y animación urbana, y rutas turísticas; (iv) encuestas; (v) publicación de datos de inteligencia turística y actividades de socialización; (vi) medición de las visitaciones turísticas y monitoreo a los umbrales de carga establecidos para los principales monumentos y espacios públicos de la Ciudad Colonial; y (vii) en el diseño e implementación del plan de programación de destino de la CCSD, incluyendo el destino emisor y la incorporación de los atractivos del Gran SD</t>
  </si>
  <si>
    <t>4.4.1</t>
  </si>
  <si>
    <r>
      <rPr>
        <b/>
        <sz val="11"/>
        <color indexed="8"/>
        <rFont val="Arial"/>
        <family val="2"/>
      </rPr>
      <t>Observatorio Turístico de la Ciudad Colonial:</t>
    </r>
    <r>
      <rPr>
        <sz val="11"/>
        <color indexed="8"/>
        <rFont val="Arial"/>
        <family val="2"/>
      </rPr>
      <t xml:space="preserve"> combina la operación del  Sistema de Capacidad de Carga de CC y el piloto del Sistema de Información Turística Territorial (SITT), Sistema de información geográfica y Sistema de Calidad Turística, inversiones en el territorio, movilidad y animación urbana, y rutas turísticas. Funciones: Levantamiento de datos y generación de información estadística de Ciudad Colonial. Encuestas. Publicación de datos de inteligencia turística y actividades de socialización. Medición de las visitas turísticas y monitoreo a los umbrales de carga establecidos para los principales monumentos y espacios públicos de la Ciudad Colonial.</t>
    </r>
  </si>
  <si>
    <t>4.4.2</t>
  </si>
  <si>
    <t>Diseño e implementación del Plan de programación de destino Ciudad Colonial-Santo Domingo y la incorporación de los atractivos del gran SD.</t>
  </si>
  <si>
    <t>4.4.3</t>
  </si>
  <si>
    <t>Especialista Gestión Turística</t>
  </si>
  <si>
    <t>PRODUCTO 4.5: Sistema de Registro, Clasificación y Calidad de Establecimientos Turísticos. Consiste en asistencia para el desarrollo e implementación de un sistema de clasificación de hoteles, restaurantes y establecimientos turísticos en SD y CC;</t>
  </si>
  <si>
    <t>4.5.1</t>
  </si>
  <si>
    <t>Diseño de un sistema nacional de clasificación de hoteles, restaurantes y establecimientos turísticos: sensibilización a sector privado sobre la importancia del sistema, diseño de normas aplicables a nivel nacional en consenso con el sector privado y formación de inspectores del MITUR .</t>
  </si>
  <si>
    <t>4.5.2</t>
  </si>
  <si>
    <t>Implementación del sistema de clasificación en Ciudad Colonial y Santo Domingo como primer piloto: sensibilización, formación y acompañamiento técnico de empresas turísticas para aplicación y cumplimiento de las normas.</t>
  </si>
  <si>
    <t>4.5.3</t>
  </si>
  <si>
    <t>Ampliación del piloto del Sistema de Calidad Turística a nuevos establecimientos en la Ciudad Colonial y Santo Domingo: concientización de empresas, asistencia técnica y capacitación a empresas que voluntariamente opten por aplicar a sellos de certificación existentes y reconocidos internacionalmente.</t>
  </si>
  <si>
    <t>4.5.4</t>
  </si>
  <si>
    <t>Analista Técnico Planificación</t>
  </si>
  <si>
    <t>PRODUCTO 4.6: Implementación del plan de rutas turística. Esto incluirá: (a) talleres, socialización, e implementación de rutas; (b) asistencia para la adecuación de servicios públicos en dependencias del Estado; y (c) diseño, suministro y colocación de señalización turística general y acorde a las nuevas rutas turísticas existentes.</t>
  </si>
  <si>
    <t>4.6.1</t>
  </si>
  <si>
    <t>Diseño e implementación Plan de Rutas Turística. Talleres, socialización, implementación de rutas.alianza tour operadores para puesta en operación de las rutas.  Creacion de aplicacion inteligente.</t>
  </si>
  <si>
    <t>4.6.2</t>
  </si>
  <si>
    <t>Adecuación de servicios públicos en dependencias del Estado. gestión del servicio. Acceso a discapacitados.</t>
  </si>
  <si>
    <t>4.6.3</t>
  </si>
  <si>
    <r>
      <rPr>
        <b/>
        <sz val="11"/>
        <rFont val="Arial"/>
        <family val="2"/>
      </rPr>
      <t>DISEÑO, SUMINISTRO y COLOCACIÓN</t>
    </r>
    <r>
      <rPr>
        <sz val="11"/>
        <rFont val="Arial"/>
        <family val="2"/>
      </rPr>
      <t xml:space="preserve">: Señalización Turística general y acorde a las </t>
    </r>
    <r>
      <rPr>
        <b/>
        <sz val="11"/>
        <rFont val="Arial"/>
        <family val="2"/>
      </rPr>
      <t>nuevas rutas turísticas</t>
    </r>
    <r>
      <rPr>
        <sz val="11"/>
        <rFont val="Arial"/>
        <family val="2"/>
      </rPr>
      <t xml:space="preserve"> diseñadas en la primera operación.</t>
    </r>
  </si>
  <si>
    <t>PRODUCTO 4.7: Plan de Fortalecimiento Institucional del MITUR. Esto incluirá asistencia para: (i) la preparación de la estrategia nacional de turismo de la Republica Dominicana, de forma consensuada con los principales actores públicos y privados vinculados al sector, incluyendo la estrategia de turismo para Santo Domingo; (ii) fortalecimiento de la oficina de planificación institucional; (iii) el diseño e implantación de un sistema de tramitación en línea de los servicios turísticos CCSD y SD, para su incorporación al sistema integrado de gestión de los servicios de la CCSD; y (iv) la adecuación del modelo de servicios de guías y taxistas turístico, incluyendo revisión del marco legal, sistema informático de gestión y acompañamiento, capacitación y certificación;</t>
  </si>
  <si>
    <t>4.7.1</t>
  </si>
  <si>
    <t>Preparación de la Estrategia Nacional de Turismo de la Republica Dominicana, de forma consensuada con los principales actores públicos y privados vinculados al sector, incluyendo la estrategia de turismo para Santo Domingo.</t>
  </si>
  <si>
    <t>4.7.2</t>
  </si>
  <si>
    <t>Fortalecimiento a la oficina de Planificación Institucional de MITUR</t>
  </si>
  <si>
    <t>4.7.3</t>
  </si>
  <si>
    <t>Diseño e implantación de un sistema de tramitación en línea de los servicios turísticos CCSD y SD, para su incorporación al sistema integrado de gestión de los servicios de la CCSD.</t>
  </si>
  <si>
    <t>4.7.4</t>
  </si>
  <si>
    <t xml:space="preserve">Adecuación del modelo de servicios de guías y taxistas turístico, incluyendo revisión del marco legal, sistema informático de gestión y acompañamiento, capacitación y certificación </t>
  </si>
  <si>
    <t>h</t>
  </si>
  <si>
    <r>
      <t>PRO</t>
    </r>
    <r>
      <rPr>
        <b/>
        <sz val="11"/>
        <rFont val="Arial"/>
        <family val="2"/>
      </rPr>
      <t>DUCTO 4.8: Plan de Fortalecimiento Institucional del ADN. Esto incluirá: (i) desarrollo  de propuesta de actualización del marco normativo del ADN sobre Patrimonio, urbanismo, inversión, movilidad, aseo público y gestión del suelo; (ii) Contratación de consultores y capacitación de personal técnico para apoyar en las funciones de gestión de ADN en CCSD; (iii) implementación de una ventanilla para mejorar los procesos operativos y de gestión de usos de suelos, supervisión y control del territorio; (iv) consolidación de sistemas de información geográfica sobre el uso de suelo, espacio público e intervenciones en la CCSD, para su incorporación al sistema integrado de gestión de los servicios de la CCSD, incluyendo equipos informáticos y de apoyo; (v) implantación de un sistema de gestión de movilidad; y (vi) implantación del modelo de gestión del mercado modelo.</t>
    </r>
  </si>
  <si>
    <t>4.8.1</t>
  </si>
  <si>
    <t>1. Desarrollo de propuesta de actualización del marco normativo del ADN sobre patrimonio, urbanismo, inversión, movilidad, aseo público, y gestión del suelo y desarrollar normativas complementarias para mecanismos de seguimiento y control. (Especialistas - Patrimonialista, Urbanista y Abogado) 3 espertos*10 meses * 3.200 honorários= 96.000</t>
  </si>
  <si>
    <t>4.8.2</t>
  </si>
  <si>
    <t>2.  Apoyo al proceso de implementación de la normativa, incluyendo la adecuación de los procesos y de los sistemas operativos y administrativos</t>
  </si>
  <si>
    <t>4.8.3</t>
  </si>
  <si>
    <t>3. Ventanilla única: Implementación de mejoras a los procesos operativos y de gestión de usos de suelo, supervisión y control del territorio. (Análisis de los procesos y desarrollo de la aplicación informatica)</t>
  </si>
  <si>
    <t>4.8.4</t>
  </si>
  <si>
    <t>4. Actualización del sistema y ampliación de la capacidad Sistema Información Geográfica (SIG): Implementación de mejoras a los procesos operativos y de gestión de usos de suelo, supervisión y control del territorio. (Análisis de los procesos y desarrollo del sistema informático)</t>
  </si>
  <si>
    <t>4.8.5</t>
  </si>
  <si>
    <t>5. Estrategia de Gestión de la Movilidad de la CCSD. Consiste en asistencia para desarrollar e implementar un plan de gestión de la movilidad de la CCSD.</t>
  </si>
  <si>
    <t>4.8.6</t>
  </si>
  <si>
    <t>6. Fortalecimiento institucional para Gestión Mercado Modelo (reglamentos, tarifas)</t>
  </si>
  <si>
    <t>i</t>
  </si>
  <si>
    <t>PRODUCTO 4.9: Plan de Fortalecimiento Institucional del MINCUL. Esto incluirá: (i) implementación de mecanismos de sostenibilidad financiera de la DNPM; (ii) 2. implantación de un sistema para el patrimonio inmueble; (III) 3. fortalecimiento del personal para apoyar las funciones de la DNPM; (iv) implantación de un programa de educación y difusión del patrimonio cultural; (v) Diseño e implantación de un sistema de gestión sostenible de museos en la CCSD; (vi) modelo de gestión del patrimonio subacuático en CCSD, incluyendo capacitación para catalogación, conservación, e interpretación; y (vii) desarrollar e implementar un Programa de participación y animación cultural en la CCSD.</t>
  </si>
  <si>
    <t>4.9.1</t>
  </si>
  <si>
    <t>Dirección Nacional de Patrimonio Monumental (DNPM)</t>
  </si>
  <si>
    <t>4.9.1 a</t>
  </si>
  <si>
    <t>1. Implementacion de mejoras a los procesos de gestion de la DNPM en la ventanilla unica</t>
  </si>
  <si>
    <t>4.9.1 b</t>
  </si>
  <si>
    <t xml:space="preserve">2. Sistema de Gestion del Inventario para el Patrimonio Inmueble </t>
  </si>
  <si>
    <t>4.9.1 c</t>
  </si>
  <si>
    <t>3. Fortalecimiento del personal para apoyar las funciones de la DNPM</t>
  </si>
  <si>
    <t>4.9.1 d</t>
  </si>
  <si>
    <t>4. implantación de un programa de educación y difusión del patrimonio cultural</t>
  </si>
  <si>
    <t>4.9.2</t>
  </si>
  <si>
    <t>Dirección Nacional de Museos</t>
  </si>
  <si>
    <t>4.9.2 a</t>
  </si>
  <si>
    <t>5. Diseño e implantación de un sistema de gestión sostenible de museos en la CCSD.</t>
  </si>
  <si>
    <t>4.9.3</t>
  </si>
  <si>
    <t>Dirección de Patrimonio Subacuático</t>
  </si>
  <si>
    <t>4.9.3 a</t>
  </si>
  <si>
    <t>6. sistema de gestión del patrimonio subacuático en CCSD, incluyendo capacitación para catalogación, conservación, e interpretación.</t>
  </si>
  <si>
    <t>4.9.4</t>
  </si>
  <si>
    <t>Dirección de Creatividad y Participación Ciudadana</t>
  </si>
  <si>
    <t>4.9.4 a</t>
  </si>
  <si>
    <t>7. desarrollar e implementar un Programa de participación y animación cultural en la CCSD</t>
  </si>
  <si>
    <t>j</t>
  </si>
  <si>
    <t xml:space="preserve">PRODUCTO 4.10: Plan de Comunicación estratégica del Programa. Con el fin de informar a la opinión pública sobre los objetivos, acciones y logros del programa, se incluirá asistencia para: (i) el diseño del plan de comunicación y sensibilización del Programa (incluye: identificación de público objetivo, diseño y selección de la estrategia y actividades de comunicación más adecuada para cada público objetivo y tipo de intervención); (ii) el diseño y producción de 5 campañas de sensibilización durante la ejecución del proyecto; (iii) diseño y realización de un programa de conocimiento de casos de éxitos; y (iv) asistencia en manejo de crisis y eventos fortuitos. </t>
  </si>
  <si>
    <t>4.10.1</t>
  </si>
  <si>
    <t>Diseño del Plan Maestro y Estrategia de Comunicación y Sensibilización del Programa (incluye: estrategia general y acciones puntuales para cada proyecto).</t>
  </si>
  <si>
    <t>4.10.2</t>
  </si>
  <si>
    <t>Plan de Comunicación más el diseño y producción de 5 campañas de sensibilización durante 5 años. Colocación en Medios como aporte local.</t>
  </si>
  <si>
    <t>4.10.3</t>
  </si>
  <si>
    <t>Programa de Conocimiento de Casos de Éxitos.</t>
  </si>
  <si>
    <t>PRODUCTO 4.11: Plan de participación y relaciones comunitarias. El objetivo es lograr que las comunidades, grupos de interés y actores sociales en general se informen y participen en el marco de la ejecución del programa. Para ello, se incluirá asistencia para: (i) diseño del plan participación y relaciones comunitarias, que será ejecutado por la OASC;  (ii) crear una Oficina de Atención Social Comunitaria (OASC) que permita a la comunidad presentar inquietudes, sugerencias y reclamos; (iii) ejecutar un proceso informativo sobre las intervenciones y su impacto; (iv) realizar acompañamiento social a las obras; (v) diseñar e implementar planes de integración laboral de la comunidad a las obras; (vi) documentar y llevar control de las actas y acuerdos que se realicen con la comunidad; y (viii) ejecutar un plan de formación y capacitación para el mantenimiento y sostenibilidad de las obras</t>
  </si>
  <si>
    <t>4.11.1</t>
  </si>
  <si>
    <t xml:space="preserve">Diseño e implementación del Plan de ade participación y relaciones comunitarias del Programa. Creacion de Oficina de Atención Social Comunitaria. </t>
  </si>
  <si>
    <t>Administración del Programa</t>
  </si>
  <si>
    <t>PRODUCTO 5.1: Personal de la Unidad - Honorarios Profesionales 1/</t>
  </si>
  <si>
    <t>5.1.1</t>
  </si>
  <si>
    <t>SUBPRODUCTO  5.1.1: Coordinador General</t>
  </si>
  <si>
    <t>5.1.1.1</t>
  </si>
  <si>
    <t>Coordinador General</t>
  </si>
  <si>
    <t>5.1.1.2</t>
  </si>
  <si>
    <t>Coordinador de Planificación</t>
  </si>
  <si>
    <t>5.1.1.3</t>
  </si>
  <si>
    <t>Analista de Planificación</t>
  </si>
  <si>
    <t>5.1.1.4</t>
  </si>
  <si>
    <t>Especialista social</t>
  </si>
  <si>
    <t>5.1.2</t>
  </si>
  <si>
    <t>SUBPRODUCTO  5.1.2:  COORDINACION COMPONENTE I</t>
  </si>
  <si>
    <t>5.1.2.1</t>
  </si>
  <si>
    <t>Coordinador de Componente</t>
  </si>
  <si>
    <t>5.1.2.2</t>
  </si>
  <si>
    <t>Analista Técnico Proyectos Espacios Públicos 1</t>
  </si>
  <si>
    <t>5.1.2.3</t>
  </si>
  <si>
    <t>Analista Técnico Oferta Turística Complementaria</t>
  </si>
  <si>
    <t>5.1.3</t>
  </si>
  <si>
    <t>SUBPRODUCTO 5.1.3: COORDINACION COMPONENTE II</t>
  </si>
  <si>
    <t>5.1.3.1</t>
  </si>
  <si>
    <t>Coordinador  de Componente</t>
  </si>
  <si>
    <t>5.1.4</t>
  </si>
  <si>
    <t>SUBPRODUCTO 5.1.4: COORDINACION COMPONENTE III</t>
  </si>
  <si>
    <t>5.1.4.1</t>
  </si>
  <si>
    <t>5.1.5</t>
  </si>
  <si>
    <t>SUBPRODUCTO 5.1.5: COORDINACION COMPONENTE IV</t>
  </si>
  <si>
    <t>5.1.5.1</t>
  </si>
  <si>
    <t>5.1.5.2</t>
  </si>
  <si>
    <t>5.1.6</t>
  </si>
  <si>
    <t>SUBPRODUCTO 5.1.6: CORDINACION DE ADQUISICIONES</t>
  </si>
  <si>
    <t>5.1.6.1</t>
  </si>
  <si>
    <t>Coordinador y Supervisor Adquisiciones</t>
  </si>
  <si>
    <t>5.1.6.2</t>
  </si>
  <si>
    <t>Analista de Adquisiciones 1</t>
  </si>
  <si>
    <t>5.1.6.3</t>
  </si>
  <si>
    <t>Analista de Adquisiciones 2</t>
  </si>
  <si>
    <t>5.1.7</t>
  </si>
  <si>
    <t>SUBPRODUCTO 5.1.7:  COORDINACION FINANCIERA</t>
  </si>
  <si>
    <t>5.1.7.1</t>
  </si>
  <si>
    <t>Director Financiero</t>
  </si>
  <si>
    <t>5.1.7.2</t>
  </si>
  <si>
    <t>Contador</t>
  </si>
  <si>
    <t>5.1.7.3</t>
  </si>
  <si>
    <t>Analista Financiero</t>
  </si>
  <si>
    <t>5.1.8</t>
  </si>
  <si>
    <t>SUBPRODUCTO 5.1.8: PERSONAL DE APOYO</t>
  </si>
  <si>
    <t>5.1.8.1</t>
  </si>
  <si>
    <t>Asistentes (3)</t>
  </si>
  <si>
    <t>5.1.8.2</t>
  </si>
  <si>
    <t>Documentalista</t>
  </si>
  <si>
    <t>5.1.8.3</t>
  </si>
  <si>
    <t>Conserje</t>
  </si>
  <si>
    <t>PRODUCTO 5.2: GASTOS OPERATIVOS/ ADMINISTRATIVOS</t>
  </si>
  <si>
    <t>PRODUCTO 5.3: EQUIPOS DE INFORMATICA Y SOFTWARE</t>
  </si>
  <si>
    <t>PRODUCTO 5.4: MOBILIARIO Y EQUIPOS</t>
  </si>
  <si>
    <t>PRODUCTO 5.6: AUDITORIA</t>
  </si>
  <si>
    <t>PRODUCTO 5.7: EVALUACIÓN Y MONITOREO</t>
  </si>
  <si>
    <t>IMPREVISTOS</t>
  </si>
  <si>
    <t>Plan de Ejecucion Plurianual (PEP)</t>
  </si>
  <si>
    <t xml:space="preserve"> Total del Proyecto</t>
  </si>
  <si>
    <t>Total Producto</t>
  </si>
  <si>
    <t>%</t>
  </si>
  <si>
    <t>Año 1</t>
  </si>
  <si>
    <t>Año 2</t>
  </si>
  <si>
    <t>Año 3</t>
  </si>
  <si>
    <t>Año 4</t>
  </si>
  <si>
    <t>Año 5</t>
  </si>
  <si>
    <t>Año 6</t>
  </si>
  <si>
    <t>GASTOS OPERATIVOS/ ADMINISTRATIVOS</t>
  </si>
  <si>
    <t>Mobiliario y equipos</t>
  </si>
  <si>
    <t>Monitoreo</t>
  </si>
  <si>
    <t>Evaluación</t>
  </si>
  <si>
    <t>Auditoria</t>
  </si>
  <si>
    <t>Imprevisto</t>
  </si>
  <si>
    <t>Plan de Adquisiciones  2017 - 2022</t>
  </si>
  <si>
    <t xml:space="preserve">Fechas </t>
  </si>
  <si>
    <t xml:space="preserve">N. </t>
  </si>
  <si>
    <t>Adquisiciones / actividades</t>
  </si>
  <si>
    <t>Lote/Proceso No</t>
  </si>
  <si>
    <t>Método de Revisión</t>
  </si>
  <si>
    <t>Monto Total</t>
  </si>
  <si>
    <t>Componente</t>
  </si>
  <si>
    <t>Agencia Ejecutora</t>
  </si>
  <si>
    <t>Método de Adquisición/Contratacion**</t>
  </si>
  <si>
    <t>Fecha de Publicación</t>
  </si>
  <si>
    <t>Termino del Contrato</t>
  </si>
  <si>
    <t>Descripcion</t>
  </si>
  <si>
    <t>CONSULTORIAS INDIVIDUALES</t>
  </si>
  <si>
    <t>N/A</t>
  </si>
  <si>
    <t>Exante</t>
  </si>
  <si>
    <t>MITUR</t>
  </si>
  <si>
    <t>NICQ</t>
  </si>
  <si>
    <t>IICC</t>
  </si>
  <si>
    <t>BIENES</t>
  </si>
  <si>
    <t>ICB</t>
  </si>
  <si>
    <t>FIRMAS DE CONSULTORIA</t>
  </si>
  <si>
    <t>QCBS</t>
  </si>
  <si>
    <t>CQS</t>
  </si>
  <si>
    <t>OBRAS</t>
  </si>
  <si>
    <t>Total General</t>
  </si>
  <si>
    <r>
      <t>**</t>
    </r>
    <r>
      <rPr>
        <b/>
        <sz val="11"/>
        <color theme="1"/>
        <rFont val="Arial"/>
        <family val="2"/>
      </rPr>
      <t>Consulting Firms</t>
    </r>
    <r>
      <rPr>
        <sz val="11"/>
        <rFont val="Arial"/>
        <family val="2"/>
      </rPr>
      <t xml:space="preserve">: QCBS: Quality- and cost-based selection QBS: Quality-based selection FBS: Selection under a fixed budget; LCS: Least-cost selection;
CQS: Selection based on the consultants’ qualifications; SSS: Single-source selection. </t>
    </r>
  </si>
  <si>
    <r>
      <t>**</t>
    </r>
    <r>
      <rPr>
        <b/>
        <sz val="11"/>
        <color theme="1"/>
        <rFont val="Arial"/>
        <family val="2"/>
      </rPr>
      <t>Individual Consultants</t>
    </r>
    <r>
      <rPr>
        <sz val="11"/>
        <rFont val="Arial"/>
        <family val="2"/>
      </rPr>
      <t>: NICQ: National Individual Consultant Selection based on Qualifications; IICC: International Individual Consultant selection based on Qualifications.</t>
    </r>
  </si>
  <si>
    <r>
      <rPr>
        <b/>
        <sz val="11"/>
        <color theme="1"/>
        <rFont val="Arial"/>
        <family val="2"/>
      </rPr>
      <t>Goods and Works</t>
    </r>
    <r>
      <rPr>
        <sz val="11"/>
        <rFont val="Arial"/>
        <family val="2"/>
      </rPr>
      <t>: "ICB" International Competitive Bidding, "NCB" National Competitive Bidding, "PC" price comparison</t>
    </r>
  </si>
  <si>
    <t>1. Plan de Adquisiciones Cobertura</t>
  </si>
  <si>
    <t>Fecha</t>
  </si>
  <si>
    <t>De</t>
  </si>
  <si>
    <t>Hasta</t>
  </si>
  <si>
    <t>Plan de Adquisiciones Cobertura:</t>
  </si>
  <si>
    <t>2. Plan de Adquisiciones Detallado</t>
  </si>
  <si>
    <t>3.Montos por Categoría de Inversión</t>
  </si>
  <si>
    <t>Categoría de Inversión</t>
  </si>
  <si>
    <t>Montos Financiados por el Banco</t>
  </si>
  <si>
    <t>Montos Totales (incluyendo contrapartida)</t>
  </si>
  <si>
    <t>Consultores Individuales</t>
  </si>
  <si>
    <t>Firmas de Consultoria</t>
  </si>
  <si>
    <t>4. Componentes</t>
  </si>
  <si>
    <t>Componentes del Proyecto</t>
  </si>
  <si>
    <t>Montos Totales  (incluyendo contrapartida)</t>
  </si>
  <si>
    <t>Cuadro 2.1. Presupuesto total del Proyecto (US$)</t>
  </si>
  <si>
    <t>Categorías*</t>
  </si>
  <si>
    <t>BID</t>
  </si>
  <si>
    <t>Local</t>
  </si>
  <si>
    <t>1.    Costes directos</t>
  </si>
  <si>
    <t>2.   Administración del proyecto</t>
  </si>
  <si>
    <t>2.1      Coordinación técnico de la ejecución</t>
  </si>
  <si>
    <t>2.2      Gastos operativos/Administrativos</t>
  </si>
  <si>
    <t xml:space="preserve">2.3      Evaluación y Monitoreo </t>
  </si>
  <si>
    <t>2.4      Auditoria</t>
  </si>
  <si>
    <t>3.   Imprevistos</t>
  </si>
  <si>
    <t>Cuadro 2.2. Cronograma de desembolso (US$ millones)</t>
  </si>
  <si>
    <t>Fuente</t>
  </si>
  <si>
    <t>Servicios distintos de consultoria</t>
  </si>
  <si>
    <t>Servicios distintos consultoria</t>
  </si>
  <si>
    <t>NCB</t>
  </si>
  <si>
    <t>SERVICIOS DISTINTOS DE CONSULTORIA</t>
  </si>
  <si>
    <t>TOTAL</t>
  </si>
  <si>
    <t>Museografía</t>
  </si>
  <si>
    <t>% respecto al total del financiamiento</t>
  </si>
  <si>
    <t xml:space="preserve">PAQUETE 3: Vivienda y Mercado Modelo y adecuación física de MyPEs </t>
  </si>
  <si>
    <t>Obras Mercado Modelo</t>
  </si>
  <si>
    <t>Obras Viviendas</t>
  </si>
  <si>
    <t>Obras Fachadas</t>
  </si>
  <si>
    <t>Consultorias de firma: Diseño y supervisión</t>
  </si>
  <si>
    <t>Paquetes para contratación</t>
  </si>
  <si>
    <t>Firmas consultorias: diseño y supervisión</t>
  </si>
  <si>
    <t>Servicios distintos de consultoria: museografía</t>
  </si>
  <si>
    <t>Obras Adecuación imagen física micronegocios del Mercado Modelo</t>
  </si>
  <si>
    <t>Obras Adecuación imagen física MyPEs de CCSD</t>
  </si>
  <si>
    <t>PAQUETE 2:  Obras de Infraestructura Turística</t>
  </si>
  <si>
    <t xml:space="preserve">PAQUETE 1: Movilidad y Calles </t>
  </si>
  <si>
    <t>PAQUETE 3:  Obras de Infraestructura Turistica</t>
  </si>
  <si>
    <t xml:space="preserve">PAQUETE 1: Movilidad, Calles y soterrado </t>
  </si>
  <si>
    <t>PAQUETE 1: Movilidad, Calles y Soterrado</t>
  </si>
  <si>
    <t>PAQUETE 2: Infraestructura Turistica</t>
  </si>
  <si>
    <t>PAQUETE 2: Infraestructura Turistica: MUSEOGRAFíA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</si>
</sst>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_);[Red]\(&quot;$&quot;#,##0\)"/>
    <numFmt numFmtId="43" formatCode="_(* #,##0.00_);_(* \(#,##0.00\);_(* &quot;-&quot;??_);_(@_)"/>
    <numFmt numFmtId="164" formatCode="_-&quot;$&quot;\ * #,##0.00_-;\-&quot;$&quot;\ * #,##0.00_-;_-&quot;$&quot;\ * &quot;-&quot;??_-;_-@_-"/>
    <numFmt numFmtId="165" formatCode="_-* #,##0.00_-;\-* #,##0.00_-;_-* &quot;-&quot;??_-;_-@_-"/>
    <numFmt numFmtId="166" formatCode="[$USD]\ #,##0"/>
    <numFmt numFmtId="167" formatCode="[$USD]\ #,##0.00"/>
    <numFmt numFmtId="168" formatCode="0.0%"/>
    <numFmt numFmtId="169" formatCode="_(* #,##0_);_(* \(#,##0\);_(* &quot;-&quot;??_);_(@_)"/>
    <numFmt numFmtId="170" formatCode="0.0"/>
  </numFmts>
  <fonts count="3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color theme="1"/>
      <name val="Calibri"/>
      <family val="2"/>
      <scheme val="minor"/>
    </font>
    <font>
      <b/>
      <sz val="11"/>
      <name val="Arial"/>
      <family val="2"/>
    </font>
    <font>
      <sz val="11"/>
      <name val="Arial"/>
      <family val="2"/>
    </font>
    <font>
      <sz val="11"/>
      <color theme="1"/>
      <name val="Arial"/>
      <family val="2"/>
    </font>
    <font>
      <b/>
      <i/>
      <sz val="11"/>
      <name val="Arial"/>
      <family val="2"/>
    </font>
    <font>
      <b/>
      <sz val="11"/>
      <color theme="1"/>
      <name val="Arial"/>
      <family val="2"/>
    </font>
    <font>
      <b/>
      <sz val="11"/>
      <color theme="0"/>
      <name val="Arial"/>
      <family val="2"/>
    </font>
    <font>
      <i/>
      <sz val="11"/>
      <name val="Arial"/>
      <family val="2"/>
    </font>
    <font>
      <i/>
      <sz val="11"/>
      <color theme="1"/>
      <name val="Arial"/>
      <family val="2"/>
    </font>
    <font>
      <sz val="11"/>
      <color rgb="FFFF0000"/>
      <name val="Arial"/>
      <family val="2"/>
    </font>
    <font>
      <sz val="11"/>
      <color rgb="FF000000"/>
      <name val="Arial"/>
      <family val="2"/>
    </font>
    <font>
      <b/>
      <sz val="11"/>
      <color rgb="FF000000"/>
      <name val="Arial"/>
      <family val="2"/>
    </font>
    <font>
      <i/>
      <sz val="11"/>
      <color rgb="FF000000"/>
      <name val="Arial"/>
      <family val="2"/>
    </font>
    <font>
      <i/>
      <sz val="11"/>
      <color indexed="8"/>
      <name val="Arial"/>
      <family val="2"/>
    </font>
    <font>
      <sz val="11"/>
      <color indexed="8"/>
      <name val="Arial"/>
      <family val="2"/>
    </font>
    <font>
      <b/>
      <sz val="11"/>
      <color indexed="8"/>
      <name val="Arial"/>
      <family val="2"/>
    </font>
    <font>
      <sz val="11"/>
      <color rgb="FF00B050"/>
      <name val="Arial"/>
      <family val="2"/>
    </font>
    <font>
      <b/>
      <sz val="10"/>
      <name val="Arial"/>
      <family val="2"/>
    </font>
    <font>
      <b/>
      <sz val="9"/>
      <color theme="1"/>
      <name val="Arial"/>
      <family val="2"/>
    </font>
    <font>
      <sz val="9"/>
      <color theme="1"/>
      <name val="Arial"/>
      <family val="2"/>
    </font>
    <font>
      <b/>
      <sz val="9"/>
      <color rgb="FF000000"/>
      <name val="Arial"/>
      <family val="2"/>
    </font>
    <font>
      <b/>
      <sz val="10"/>
      <color theme="1"/>
      <name val="Arial"/>
      <family val="2"/>
    </font>
    <font>
      <sz val="10"/>
      <color theme="1"/>
      <name val="Arial"/>
      <family val="2"/>
    </font>
    <font>
      <b/>
      <sz val="12"/>
      <color theme="0"/>
      <name val="Arial"/>
      <family val="2"/>
    </font>
    <font>
      <b/>
      <sz val="12"/>
      <color indexed="9"/>
      <name val="Arial"/>
      <family val="2"/>
    </font>
    <font>
      <sz val="11"/>
      <color theme="0"/>
      <name val="Arial"/>
      <family val="2"/>
    </font>
    <font>
      <b/>
      <sz val="10"/>
      <color theme="0"/>
      <name val="Arial"/>
      <family val="2"/>
    </font>
  </fonts>
  <fills count="29">
    <fill>
      <patternFill patternType="none"/>
    </fill>
    <fill>
      <patternFill patternType="gray125"/>
    </fill>
    <fill>
      <patternFill patternType="solid">
        <fgColor theme="8"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theme="3" tint="-0.249977111117893"/>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FFFF99"/>
        <bgColor indexed="64"/>
      </patternFill>
    </fill>
    <fill>
      <patternFill patternType="solid">
        <fgColor theme="7"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4" tint="-0.249977111117893"/>
        <bgColor indexed="64"/>
      </patternFill>
    </fill>
    <fill>
      <patternFill patternType="solid">
        <fgColor theme="2"/>
        <bgColor indexed="64"/>
      </patternFill>
    </fill>
    <fill>
      <patternFill patternType="solid">
        <fgColor rgb="FFFFC000"/>
        <bgColor indexed="64"/>
      </patternFill>
    </fill>
    <fill>
      <patternFill patternType="solid">
        <fgColor rgb="FF92D050"/>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rgb="FF00B0F0"/>
        <bgColor indexed="64"/>
      </patternFill>
    </fill>
    <fill>
      <patternFill patternType="solid">
        <fgColor rgb="FFC0C0C0"/>
        <bgColor indexed="64"/>
      </patternFill>
    </fill>
    <fill>
      <patternFill patternType="solid">
        <fgColor rgb="FFBFBFBF"/>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0" tint="-0.14999847407452621"/>
        <bgColor indexed="64"/>
      </patternFill>
    </fill>
  </fills>
  <borders count="47">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style="dashed">
        <color auto="1"/>
      </left>
      <right style="dotted">
        <color auto="1"/>
      </right>
      <top style="dashed">
        <color auto="1"/>
      </top>
      <bottom style="dashed">
        <color auto="1"/>
      </bottom>
      <diagonal/>
    </border>
    <border>
      <left/>
      <right/>
      <top style="thin">
        <color auto="1"/>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auto="1"/>
      </top>
      <bottom style="thin">
        <color auto="1"/>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bottom/>
      <diagonal/>
    </border>
  </borders>
  <cellStyleXfs count="13">
    <xf numFmtId="0" fontId="0" fillId="0" borderId="0"/>
    <xf numFmtId="164" fontId="5" fillId="0" borderId="0" applyFont="0" applyFill="0" applyBorder="0" applyAlignment="0" applyProtection="0"/>
    <xf numFmtId="165" fontId="5" fillId="0" borderId="0" applyFont="0" applyFill="0" applyBorder="0" applyAlignment="0" applyProtection="0"/>
    <xf numFmtId="0" fontId="5" fillId="0" borderId="0"/>
    <xf numFmtId="0" fontId="4" fillId="0" borderId="0"/>
    <xf numFmtId="0" fontId="4" fillId="0" borderId="0"/>
    <xf numFmtId="0" fontId="3" fillId="0" borderId="0"/>
    <xf numFmtId="9" fontId="5" fillId="0" borderId="0" applyFont="0" applyFill="0" applyBorder="0" applyAlignment="0" applyProtection="0"/>
    <xf numFmtId="0" fontId="2" fillId="0" borderId="0"/>
    <xf numFmtId="9" fontId="4" fillId="0" borderId="0" applyFont="0" applyFill="0" applyBorder="0" applyAlignment="0" applyProtection="0"/>
    <xf numFmtId="0" fontId="1" fillId="0" borderId="0"/>
    <xf numFmtId="0" fontId="1" fillId="0" borderId="0"/>
    <xf numFmtId="43" fontId="4" fillId="0" borderId="0" applyFont="0" applyFill="0" applyBorder="0" applyAlignment="0" applyProtection="0"/>
  </cellStyleXfs>
  <cellXfs count="265">
    <xf numFmtId="0" fontId="0" fillId="0" borderId="0" xfId="0"/>
    <xf numFmtId="0" fontId="8" fillId="0" borderId="0" xfId="0" applyFont="1" applyFill="1" applyBorder="1" applyAlignment="1">
      <alignment vertical="top"/>
    </xf>
    <xf numFmtId="0" fontId="7" fillId="0" borderId="0" xfId="0" applyFont="1" applyFill="1" applyBorder="1" applyAlignment="1">
      <alignment vertical="top"/>
    </xf>
    <xf numFmtId="0" fontId="8" fillId="0" borderId="0" xfId="0" applyFont="1" applyAlignment="1">
      <alignment vertical="top"/>
    </xf>
    <xf numFmtId="3" fontId="8" fillId="0" borderId="0" xfId="0" applyNumberFormat="1" applyFont="1" applyAlignment="1">
      <alignment vertical="top"/>
    </xf>
    <xf numFmtId="0" fontId="6" fillId="3" borderId="1" xfId="0" applyFont="1" applyFill="1" applyBorder="1" applyAlignment="1">
      <alignment horizontal="center" vertical="center" wrapText="1"/>
    </xf>
    <xf numFmtId="3" fontId="6" fillId="3" borderId="1" xfId="1" applyNumberFormat="1" applyFont="1" applyFill="1" applyBorder="1" applyAlignment="1">
      <alignment horizontal="center" vertical="center" wrapText="1"/>
    </xf>
    <xf numFmtId="0" fontId="10" fillId="4" borderId="4" xfId="0" applyFont="1" applyFill="1" applyBorder="1" applyAlignment="1">
      <alignment horizontal="center"/>
    </xf>
    <xf numFmtId="0" fontId="10" fillId="14" borderId="5" xfId="0" applyFont="1" applyFill="1" applyBorder="1" applyAlignment="1">
      <alignment horizontal="center" vertical="top" wrapText="1"/>
    </xf>
    <xf numFmtId="3" fontId="6" fillId="14" borderId="5" xfId="1" applyNumberFormat="1" applyFont="1" applyFill="1" applyBorder="1" applyAlignment="1">
      <alignment horizontal="right" vertical="top" wrapText="1"/>
    </xf>
    <xf numFmtId="0" fontId="11" fillId="5" borderId="5" xfId="0" applyFont="1" applyFill="1" applyBorder="1" applyAlignment="1">
      <alignment horizontal="left" vertical="top" wrapText="1"/>
    </xf>
    <xf numFmtId="3" fontId="11" fillId="6" borderId="5" xfId="1" applyNumberFormat="1" applyFont="1" applyFill="1" applyBorder="1" applyAlignment="1">
      <alignment horizontal="right" vertical="top" wrapText="1"/>
    </xf>
    <xf numFmtId="0" fontId="7" fillId="8" borderId="5" xfId="0" applyFont="1" applyFill="1" applyBorder="1" applyAlignment="1">
      <alignment horizontal="left" vertical="top" wrapText="1"/>
    </xf>
    <xf numFmtId="3" fontId="8" fillId="0" borderId="0" xfId="0" applyNumberFormat="1" applyFont="1" applyFill="1" applyBorder="1" applyAlignment="1">
      <alignment vertical="top"/>
    </xf>
    <xf numFmtId="0" fontId="14" fillId="0" borderId="0" xfId="0" applyFont="1" applyFill="1" applyBorder="1" applyAlignment="1">
      <alignment vertical="top"/>
    </xf>
    <xf numFmtId="0" fontId="8" fillId="8" borderId="5" xfId="0" applyFont="1" applyFill="1" applyBorder="1" applyAlignment="1">
      <alignment horizontal="left" vertical="top" wrapText="1"/>
    </xf>
    <xf numFmtId="0" fontId="7" fillId="8" borderId="7" xfId="0" applyFont="1" applyFill="1" applyBorder="1" applyAlignment="1">
      <alignment vertical="top" wrapText="1"/>
    </xf>
    <xf numFmtId="0" fontId="7" fillId="8" borderId="6" xfId="0" applyFont="1" applyFill="1" applyBorder="1" applyAlignment="1">
      <alignment vertical="top" wrapText="1"/>
    </xf>
    <xf numFmtId="0" fontId="6" fillId="8" borderId="5" xfId="0" applyFont="1" applyFill="1" applyBorder="1" applyAlignment="1">
      <alignment vertical="top" wrapText="1"/>
    </xf>
    <xf numFmtId="0" fontId="15" fillId="8" borderId="5" xfId="0" applyFont="1" applyFill="1" applyBorder="1" applyAlignment="1">
      <alignment horizontal="left" vertical="top" wrapText="1"/>
    </xf>
    <xf numFmtId="0" fontId="11" fillId="5" borderId="5" xfId="0" applyFont="1" applyFill="1" applyBorder="1" applyAlignment="1">
      <alignment vertical="top" wrapText="1"/>
    </xf>
    <xf numFmtId="3" fontId="11" fillId="5" borderId="5" xfId="1" applyNumberFormat="1" applyFont="1" applyFill="1" applyBorder="1" applyAlignment="1">
      <alignment horizontal="right" vertical="center" wrapText="1"/>
    </xf>
    <xf numFmtId="0" fontId="10" fillId="7" borderId="5" xfId="0" applyFont="1" applyFill="1" applyBorder="1" applyAlignment="1">
      <alignment horizontal="left" vertical="top" wrapText="1"/>
    </xf>
    <xf numFmtId="0" fontId="15" fillId="8" borderId="5" xfId="0" applyFont="1" applyFill="1" applyBorder="1" applyAlignment="1">
      <alignment vertical="top" wrapText="1"/>
    </xf>
    <xf numFmtId="0" fontId="19" fillId="8" borderId="5" xfId="0" applyFont="1" applyFill="1" applyBorder="1" applyAlignment="1">
      <alignment vertical="top" wrapText="1"/>
    </xf>
    <xf numFmtId="3" fontId="10" fillId="7" borderId="5" xfId="0" applyNumberFormat="1" applyFont="1" applyFill="1" applyBorder="1" applyAlignment="1">
      <alignment horizontal="right" vertical="center" wrapText="1"/>
    </xf>
    <xf numFmtId="0" fontId="10" fillId="11" borderId="5" xfId="0" applyFont="1" applyFill="1" applyBorder="1" applyAlignment="1">
      <alignment horizontal="left" vertical="top" wrapText="1"/>
    </xf>
    <xf numFmtId="0" fontId="11" fillId="12" borderId="5" xfId="0" applyFont="1" applyFill="1" applyBorder="1" applyAlignment="1">
      <alignment horizontal="left" vertical="top" wrapText="1"/>
    </xf>
    <xf numFmtId="3" fontId="11" fillId="12" borderId="5" xfId="0" applyNumberFormat="1" applyFont="1" applyFill="1" applyBorder="1" applyAlignment="1">
      <alignment horizontal="right" vertical="center" wrapText="1"/>
    </xf>
    <xf numFmtId="0" fontId="21" fillId="0" borderId="0" xfId="0" applyFont="1" applyFill="1" applyBorder="1" applyAlignment="1">
      <alignment vertical="top"/>
    </xf>
    <xf numFmtId="0" fontId="8" fillId="0" borderId="8" xfId="0" applyFont="1" applyFill="1" applyBorder="1" applyAlignment="1">
      <alignment vertical="top"/>
    </xf>
    <xf numFmtId="0" fontId="6" fillId="11" borderId="5" xfId="0" applyFont="1" applyFill="1" applyBorder="1" applyAlignment="1">
      <alignment horizontal="left" vertical="top" wrapText="1"/>
    </xf>
    <xf numFmtId="0" fontId="7" fillId="11" borderId="5" xfId="0" applyFont="1" applyFill="1" applyBorder="1" applyAlignment="1">
      <alignment horizontal="left" vertical="top" wrapText="1"/>
    </xf>
    <xf numFmtId="3" fontId="7" fillId="11" borderId="5" xfId="1" applyNumberFormat="1" applyFont="1" applyFill="1" applyBorder="1" applyAlignment="1">
      <alignment horizontal="right" vertical="center" wrapText="1"/>
    </xf>
    <xf numFmtId="3" fontId="14" fillId="9" borderId="5" xfId="1" applyNumberFormat="1" applyFont="1" applyFill="1" applyBorder="1" applyAlignment="1">
      <alignment horizontal="right" vertical="center" wrapText="1"/>
    </xf>
    <xf numFmtId="0" fontId="6" fillId="7" borderId="5" xfId="0" applyFont="1" applyFill="1" applyBorder="1" applyAlignment="1">
      <alignment horizontal="left" vertical="top" wrapText="1"/>
    </xf>
    <xf numFmtId="3" fontId="6" fillId="7" borderId="5" xfId="0" applyNumberFormat="1" applyFont="1" applyFill="1" applyBorder="1" applyAlignment="1">
      <alignment horizontal="right" vertical="center" wrapText="1"/>
    </xf>
    <xf numFmtId="3" fontId="7" fillId="9" borderId="5" xfId="1" applyNumberFormat="1" applyFont="1" applyFill="1" applyBorder="1" applyAlignment="1">
      <alignment horizontal="right" vertical="center" wrapText="1"/>
    </xf>
    <xf numFmtId="0" fontId="7" fillId="8" borderId="5" xfId="0" applyFont="1" applyFill="1" applyBorder="1" applyAlignment="1">
      <alignment vertical="top" wrapText="1"/>
    </xf>
    <xf numFmtId="3" fontId="7" fillId="7" borderId="5" xfId="1" applyNumberFormat="1" applyFont="1" applyFill="1" applyBorder="1" applyAlignment="1">
      <alignment horizontal="right" vertical="center" wrapText="1"/>
    </xf>
    <xf numFmtId="2" fontId="6" fillId="7" borderId="5" xfId="0" applyNumberFormat="1" applyFont="1" applyFill="1" applyBorder="1" applyAlignment="1">
      <alignment horizontal="left" vertical="top" wrapText="1"/>
    </xf>
    <xf numFmtId="0" fontId="7" fillId="0" borderId="0" xfId="0" applyFont="1" applyFill="1" applyBorder="1" applyAlignment="1">
      <alignment horizontal="center" vertical="top"/>
    </xf>
    <xf numFmtId="0" fontId="7" fillId="0" borderId="0" xfId="0" applyFont="1" applyFill="1" applyAlignment="1">
      <alignment horizontal="center" vertical="center"/>
    </xf>
    <xf numFmtId="0" fontId="7" fillId="0" borderId="0" xfId="0" applyFont="1" applyAlignment="1">
      <alignment vertical="top"/>
    </xf>
    <xf numFmtId="0" fontId="4" fillId="0" borderId="0" xfId="0" applyFont="1"/>
    <xf numFmtId="0" fontId="23" fillId="22" borderId="9" xfId="6" applyFont="1" applyFill="1" applyBorder="1" applyAlignment="1">
      <alignment horizontal="center" vertical="center" wrapText="1"/>
    </xf>
    <xf numFmtId="0" fontId="23" fillId="22" borderId="34" xfId="6" applyFont="1" applyFill="1" applyBorder="1" applyAlignment="1">
      <alignment horizontal="center" vertical="center" wrapText="1"/>
    </xf>
    <xf numFmtId="0" fontId="23" fillId="0" borderId="26" xfId="6" applyFont="1" applyBorder="1" applyAlignment="1">
      <alignment horizontal="left" vertical="center" wrapText="1" indent="1"/>
    </xf>
    <xf numFmtId="3" fontId="23" fillId="0" borderId="35" xfId="6" applyNumberFormat="1" applyFont="1" applyBorder="1" applyAlignment="1">
      <alignment horizontal="right" vertical="center" wrapText="1"/>
    </xf>
    <xf numFmtId="4" fontId="25" fillId="0" borderId="35" xfId="6" applyNumberFormat="1" applyFont="1" applyBorder="1" applyAlignment="1">
      <alignment horizontal="center" vertical="center" wrapText="1"/>
    </xf>
    <xf numFmtId="0" fontId="24" fillId="0" borderId="26" xfId="6" applyFont="1" applyBorder="1" applyAlignment="1">
      <alignment horizontal="left" vertical="center" wrapText="1" indent="4"/>
    </xf>
    <xf numFmtId="3" fontId="24" fillId="0" borderId="35" xfId="6" applyNumberFormat="1" applyFont="1" applyBorder="1" applyAlignment="1">
      <alignment horizontal="right" vertical="center" wrapText="1"/>
    </xf>
    <xf numFmtId="0" fontId="24" fillId="0" borderId="35" xfId="6" applyFont="1" applyBorder="1" applyAlignment="1">
      <alignment horizontal="right" vertical="center" wrapText="1"/>
    </xf>
    <xf numFmtId="0" fontId="23" fillId="22" borderId="26" xfId="6" applyFont="1" applyFill="1" applyBorder="1" applyAlignment="1">
      <alignment vertical="center" wrapText="1"/>
    </xf>
    <xf numFmtId="3" fontId="23" fillId="22" borderId="35" xfId="6" applyNumberFormat="1" applyFont="1" applyFill="1" applyBorder="1" applyAlignment="1">
      <alignment horizontal="right" vertical="center" wrapText="1"/>
    </xf>
    <xf numFmtId="4" fontId="25" fillId="3" borderId="35" xfId="6" applyNumberFormat="1" applyFont="1" applyFill="1" applyBorder="1" applyAlignment="1">
      <alignment horizontal="center" vertical="center" wrapText="1"/>
    </xf>
    <xf numFmtId="2" fontId="23" fillId="22" borderId="35" xfId="6" applyNumberFormat="1" applyFont="1" applyFill="1" applyBorder="1" applyAlignment="1">
      <alignment horizontal="center" vertical="center" wrapText="1"/>
    </xf>
    <xf numFmtId="0" fontId="26" fillId="3" borderId="36" xfId="6" applyFont="1" applyFill="1" applyBorder="1" applyAlignment="1">
      <alignment horizontal="center" vertical="center" wrapText="1"/>
    </xf>
    <xf numFmtId="3" fontId="10" fillId="3" borderId="16" xfId="6" applyNumberFormat="1" applyFont="1" applyFill="1" applyBorder="1" applyAlignment="1">
      <alignment horizontal="center"/>
    </xf>
    <xf numFmtId="0" fontId="26" fillId="3" borderId="37" xfId="6" applyFont="1" applyFill="1" applyBorder="1" applyAlignment="1">
      <alignment horizontal="center" vertical="center" wrapText="1"/>
    </xf>
    <xf numFmtId="0" fontId="26" fillId="3" borderId="38" xfId="6" applyFont="1" applyFill="1" applyBorder="1" applyAlignment="1">
      <alignment horizontal="center" vertical="center" wrapText="1"/>
    </xf>
    <xf numFmtId="0" fontId="26" fillId="0" borderId="39" xfId="6" applyFont="1" applyBorder="1" applyAlignment="1">
      <alignment horizontal="center" vertical="center" wrapText="1"/>
    </xf>
    <xf numFmtId="3" fontId="27" fillId="0" borderId="40" xfId="6" applyNumberFormat="1" applyFont="1" applyBorder="1" applyAlignment="1">
      <alignment horizontal="center" vertical="center" wrapText="1"/>
    </xf>
    <xf numFmtId="3" fontId="26" fillId="0" borderId="40" xfId="6" applyNumberFormat="1" applyFont="1" applyBorder="1" applyAlignment="1">
      <alignment horizontal="center" vertical="center" wrapText="1"/>
    </xf>
    <xf numFmtId="4" fontId="26" fillId="0" borderId="41" xfId="6" applyNumberFormat="1" applyFont="1" applyBorder="1" applyAlignment="1">
      <alignment horizontal="center" vertical="center" wrapText="1"/>
    </xf>
    <xf numFmtId="0" fontId="26" fillId="23" borderId="39" xfId="6" applyFont="1" applyFill="1" applyBorder="1" applyAlignment="1">
      <alignment horizontal="center" vertical="center" wrapText="1"/>
    </xf>
    <xf numFmtId="3" fontId="26" fillId="23" borderId="40" xfId="6" applyNumberFormat="1" applyFont="1" applyFill="1" applyBorder="1" applyAlignment="1">
      <alignment horizontal="center" vertical="center" wrapText="1"/>
    </xf>
    <xf numFmtId="0" fontId="26" fillId="23" borderId="41" xfId="6" applyFont="1" applyFill="1" applyBorder="1" applyAlignment="1">
      <alignment horizontal="center" vertical="center" wrapText="1"/>
    </xf>
    <xf numFmtId="0" fontId="26" fillId="23" borderId="42" xfId="6" applyFont="1" applyFill="1" applyBorder="1" applyAlignment="1">
      <alignment horizontal="center" vertical="center" wrapText="1"/>
    </xf>
    <xf numFmtId="4" fontId="26" fillId="23" borderId="43" xfId="6" applyNumberFormat="1" applyFont="1" applyFill="1" applyBorder="1" applyAlignment="1">
      <alignment horizontal="center" vertical="center" wrapText="1"/>
    </xf>
    <xf numFmtId="0" fontId="26" fillId="23" borderId="35" xfId="6" applyFont="1" applyFill="1" applyBorder="1" applyAlignment="1">
      <alignment horizontal="center" vertical="center" wrapText="1"/>
    </xf>
    <xf numFmtId="3" fontId="8" fillId="15" borderId="4" xfId="6" applyNumberFormat="1" applyFont="1" applyFill="1" applyBorder="1"/>
    <xf numFmtId="4" fontId="8" fillId="16" borderId="4" xfId="6" applyNumberFormat="1" applyFont="1" applyFill="1" applyBorder="1" applyAlignment="1">
      <alignment horizontal="center"/>
    </xf>
    <xf numFmtId="3" fontId="10" fillId="16" borderId="4" xfId="6" applyNumberFormat="1" applyFont="1" applyFill="1" applyBorder="1"/>
    <xf numFmtId="3" fontId="8" fillId="16" borderId="4" xfId="6" applyNumberFormat="1" applyFont="1" applyFill="1" applyBorder="1" applyAlignment="1">
      <alignment horizontal="center"/>
    </xf>
    <xf numFmtId="3" fontId="10" fillId="16" borderId="4" xfId="6" applyNumberFormat="1" applyFont="1" applyFill="1" applyBorder="1" applyAlignment="1">
      <alignment horizontal="center"/>
    </xf>
    <xf numFmtId="3" fontId="10" fillId="0" borderId="4" xfId="6" applyNumberFormat="1" applyFont="1" applyBorder="1"/>
    <xf numFmtId="3" fontId="8" fillId="0" borderId="4" xfId="6" applyNumberFormat="1" applyFont="1" applyBorder="1"/>
    <xf numFmtId="0" fontId="8" fillId="20" borderId="4" xfId="6" applyFont="1" applyFill="1" applyBorder="1" applyAlignment="1">
      <alignment vertical="top" wrapText="1"/>
    </xf>
    <xf numFmtId="3" fontId="8" fillId="20" borderId="4" xfId="6" applyNumberFormat="1" applyFont="1" applyFill="1" applyBorder="1"/>
    <xf numFmtId="3" fontId="8" fillId="20" borderId="4" xfId="6" applyNumberFormat="1" applyFont="1" applyFill="1" applyBorder="1" applyAlignment="1">
      <alignment horizontal="center"/>
    </xf>
    <xf numFmtId="3" fontId="8" fillId="0" borderId="0" xfId="6" applyNumberFormat="1" applyFont="1"/>
    <xf numFmtId="0" fontId="8" fillId="17" borderId="4" xfId="6" applyFont="1" applyFill="1" applyBorder="1" applyAlignment="1">
      <alignment vertical="top" wrapText="1"/>
    </xf>
    <xf numFmtId="3" fontId="8" fillId="16" borderId="4" xfId="6" applyNumberFormat="1" applyFont="1" applyFill="1" applyBorder="1" applyAlignment="1">
      <alignment horizontal="center" vertical="top" wrapText="1"/>
    </xf>
    <xf numFmtId="0" fontId="10" fillId="7" borderId="0" xfId="6" applyFont="1" applyFill="1" applyBorder="1" applyAlignment="1">
      <alignment horizontal="center"/>
    </xf>
    <xf numFmtId="0" fontId="7" fillId="0" borderId="0" xfId="0" applyFont="1"/>
    <xf numFmtId="0" fontId="10" fillId="15" borderId="4" xfId="6" applyFont="1" applyFill="1" applyBorder="1" applyAlignment="1">
      <alignment horizontal="center" vertical="top" wrapText="1"/>
    </xf>
    <xf numFmtId="0" fontId="7" fillId="0" borderId="0" xfId="0" applyFont="1" applyAlignment="1">
      <alignment vertical="top" wrapText="1"/>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2" xfId="0" applyFont="1" applyFill="1" applyBorder="1" applyAlignment="1">
      <alignment vertical="top" wrapText="1"/>
    </xf>
    <xf numFmtId="0" fontId="8" fillId="0" borderId="44" xfId="0" applyFont="1" applyFill="1" applyBorder="1" applyAlignment="1">
      <alignment vertical="top" wrapText="1"/>
    </xf>
    <xf numFmtId="0" fontId="7" fillId="10" borderId="0" xfId="0" applyFont="1" applyFill="1" applyAlignment="1">
      <alignment wrapText="1"/>
    </xf>
    <xf numFmtId="0" fontId="8" fillId="0" borderId="0" xfId="0" applyFont="1" applyAlignment="1">
      <alignment wrapText="1"/>
    </xf>
    <xf numFmtId="0" fontId="8" fillId="0" borderId="0" xfId="0" applyFont="1" applyAlignment="1">
      <alignment horizontal="center" wrapText="1"/>
    </xf>
    <xf numFmtId="0" fontId="6" fillId="10" borderId="4" xfId="0" applyFont="1" applyFill="1" applyBorder="1" applyAlignment="1">
      <alignment horizontal="center" vertical="center" wrapText="1"/>
    </xf>
    <xf numFmtId="0" fontId="11" fillId="21" borderId="4" xfId="4" applyFont="1" applyFill="1" applyBorder="1" applyAlignment="1">
      <alignment horizontal="center" vertical="center" wrapText="1"/>
    </xf>
    <xf numFmtId="0" fontId="7" fillId="0" borderId="1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6" fontId="15" fillId="0" borderId="4" xfId="0" applyNumberFormat="1" applyFont="1" applyFill="1" applyBorder="1" applyAlignment="1">
      <alignment horizontal="right" vertical="center" wrapText="1"/>
    </xf>
    <xf numFmtId="6" fontId="15" fillId="0" borderId="4" xfId="0" applyNumberFormat="1" applyFont="1" applyFill="1" applyBorder="1" applyAlignment="1">
      <alignment horizontal="center" vertical="center" wrapText="1"/>
    </xf>
    <xf numFmtId="0" fontId="7" fillId="0" borderId="19" xfId="0" applyFont="1" applyFill="1" applyBorder="1" applyAlignment="1">
      <alignment horizontal="center" vertical="center" wrapText="1"/>
    </xf>
    <xf numFmtId="0" fontId="15" fillId="0" borderId="4" xfId="0" applyFont="1" applyFill="1" applyBorder="1" applyAlignment="1">
      <alignment horizontal="left" vertical="center" wrapText="1"/>
    </xf>
    <xf numFmtId="3" fontId="15" fillId="0" borderId="4" xfId="0" applyNumberFormat="1" applyFont="1" applyFill="1" applyBorder="1" applyAlignment="1">
      <alignment horizontal="left" vertical="center" wrapText="1"/>
    </xf>
    <xf numFmtId="0" fontId="7" fillId="10" borderId="2" xfId="0" applyFont="1" applyFill="1" applyBorder="1" applyAlignment="1">
      <alignment horizontal="center" vertical="center" wrapText="1"/>
    </xf>
    <xf numFmtId="0" fontId="15" fillId="10" borderId="4" xfId="0" applyFont="1" applyFill="1" applyBorder="1" applyAlignment="1">
      <alignment horizontal="left" vertical="center" wrapText="1"/>
    </xf>
    <xf numFmtId="0" fontId="8" fillId="0" borderId="4" xfId="0" applyFont="1" applyBorder="1" applyAlignment="1">
      <alignment horizontal="center" vertical="center" wrapText="1"/>
    </xf>
    <xf numFmtId="6" fontId="16" fillId="10" borderId="4" xfId="0" applyNumberFormat="1" applyFont="1" applyFill="1" applyBorder="1" applyAlignment="1">
      <alignment horizontal="right" vertical="center" wrapText="1"/>
    </xf>
    <xf numFmtId="0" fontId="7" fillId="10" borderId="4" xfId="0" applyFont="1" applyFill="1" applyBorder="1" applyAlignment="1">
      <alignment horizontal="center" wrapText="1"/>
    </xf>
    <xf numFmtId="0" fontId="7" fillId="0" borderId="4" xfId="0" applyFont="1" applyBorder="1" applyAlignment="1">
      <alignment horizontal="center" vertical="center" wrapText="1"/>
    </xf>
    <xf numFmtId="0" fontId="7" fillId="10" borderId="11" xfId="0" applyFont="1" applyFill="1" applyBorder="1" applyAlignment="1">
      <alignment horizontal="center" vertical="center" wrapText="1"/>
    </xf>
    <xf numFmtId="6" fontId="15" fillId="10" borderId="4" xfId="0" applyNumberFormat="1" applyFont="1" applyFill="1" applyBorder="1" applyAlignment="1">
      <alignment horizontal="right" vertical="center" wrapText="1"/>
    </xf>
    <xf numFmtId="6" fontId="8" fillId="10" borderId="4" xfId="0" applyNumberFormat="1"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0" borderId="23" xfId="0" applyFont="1" applyBorder="1" applyAlignment="1">
      <alignment horizontal="center" vertical="center" wrapText="1"/>
    </xf>
    <xf numFmtId="0" fontId="8" fillId="0" borderId="12" xfId="0" applyFont="1" applyBorder="1" applyAlignment="1">
      <alignment horizontal="center" vertical="center" wrapText="1"/>
    </xf>
    <xf numFmtId="0" fontId="7" fillId="10" borderId="4" xfId="0" applyFont="1" applyFill="1" applyBorder="1" applyAlignment="1">
      <alignment horizontal="center" vertical="center"/>
    </xf>
    <xf numFmtId="0" fontId="15" fillId="0" borderId="4" xfId="0" applyFont="1" applyFill="1" applyBorder="1" applyAlignment="1">
      <alignment horizontal="left" vertical="center"/>
    </xf>
    <xf numFmtId="0" fontId="8" fillId="0" borderId="4" xfId="0" applyFont="1" applyBorder="1" applyAlignment="1">
      <alignment horizontal="center" vertical="center"/>
    </xf>
    <xf numFmtId="6" fontId="15" fillId="10" borderId="4" xfId="0" applyNumberFormat="1" applyFont="1" applyFill="1" applyBorder="1" applyAlignment="1">
      <alignment horizontal="center" vertical="center" wrapText="1"/>
    </xf>
    <xf numFmtId="0" fontId="15" fillId="10" borderId="4" xfId="0" applyFont="1" applyFill="1" applyBorder="1" applyAlignment="1">
      <alignment horizontal="left" vertical="center"/>
    </xf>
    <xf numFmtId="0" fontId="7" fillId="0" borderId="0" xfId="0" applyFont="1" applyAlignment="1"/>
    <xf numFmtId="0" fontId="7" fillId="10" borderId="0" xfId="0" applyFont="1" applyFill="1" applyBorder="1" applyAlignment="1">
      <alignment wrapText="1"/>
    </xf>
    <xf numFmtId="0" fontId="8" fillId="0" borderId="0" xfId="0" applyFont="1" applyBorder="1" applyAlignment="1">
      <alignment wrapText="1"/>
    </xf>
    <xf numFmtId="0" fontId="8" fillId="0" borderId="0" xfId="0" applyFont="1" applyBorder="1" applyAlignment="1">
      <alignment horizontal="center" wrapText="1"/>
    </xf>
    <xf numFmtId="6" fontId="16" fillId="10" borderId="3" xfId="0" applyNumberFormat="1" applyFont="1" applyFill="1" applyBorder="1" applyAlignment="1">
      <alignment horizontal="right" vertical="center" wrapText="1"/>
    </xf>
    <xf numFmtId="0" fontId="8" fillId="0" borderId="24" xfId="0" applyFont="1" applyBorder="1" applyAlignment="1">
      <alignment wrapText="1"/>
    </xf>
    <xf numFmtId="0" fontId="7" fillId="10" borderId="4" xfId="0" applyFont="1" applyFill="1" applyBorder="1" applyAlignment="1">
      <alignment horizontal="center" vertical="center" wrapText="1"/>
    </xf>
    <xf numFmtId="3" fontId="15" fillId="10" borderId="4" xfId="0" applyNumberFormat="1" applyFont="1" applyFill="1" applyBorder="1" applyAlignment="1">
      <alignment horizontal="left" vertical="center" wrapText="1"/>
    </xf>
    <xf numFmtId="6" fontId="16" fillId="3" borderId="4" xfId="0" applyNumberFormat="1" applyFont="1" applyFill="1" applyBorder="1" applyAlignment="1">
      <alignment horizontal="right" vertical="center" wrapText="1"/>
    </xf>
    <xf numFmtId="0" fontId="6" fillId="10" borderId="11" xfId="0" applyFont="1" applyFill="1" applyBorder="1" applyAlignment="1">
      <alignment horizontal="center" vertical="center" wrapText="1"/>
    </xf>
    <xf numFmtId="0" fontId="15" fillId="10" borderId="23" xfId="0" applyFont="1" applyFill="1" applyBorder="1" applyAlignment="1">
      <alignment horizontal="left" vertical="center" wrapText="1"/>
    </xf>
    <xf numFmtId="0" fontId="7" fillId="10" borderId="23" xfId="0" applyFont="1" applyFill="1" applyBorder="1" applyAlignment="1">
      <alignment horizontal="center" wrapText="1"/>
    </xf>
    <xf numFmtId="0" fontId="7" fillId="0" borderId="12" xfId="0" applyFont="1" applyBorder="1" applyAlignment="1">
      <alignment horizontal="center" vertical="center" wrapText="1"/>
    </xf>
    <xf numFmtId="6" fontId="8" fillId="0" borderId="0" xfId="0" applyNumberFormat="1" applyFont="1" applyAlignment="1">
      <alignment wrapText="1"/>
    </xf>
    <xf numFmtId="0" fontId="7" fillId="13" borderId="25" xfId="0" applyFont="1" applyFill="1" applyBorder="1" applyAlignment="1">
      <alignment wrapText="1"/>
    </xf>
    <xf numFmtId="0" fontId="7" fillId="13" borderId="9" xfId="0" applyFont="1" applyFill="1" applyBorder="1" applyAlignment="1">
      <alignment wrapText="1"/>
    </xf>
    <xf numFmtId="0" fontId="7" fillId="0" borderId="26" xfId="0" applyFont="1" applyBorder="1" applyAlignment="1">
      <alignment wrapText="1"/>
    </xf>
    <xf numFmtId="0" fontId="29" fillId="21" borderId="20" xfId="5" applyFont="1" applyFill="1" applyBorder="1" applyAlignment="1">
      <alignment horizontal="center" vertical="center" wrapText="1"/>
    </xf>
    <xf numFmtId="0" fontId="29" fillId="21" borderId="4" xfId="5" applyFont="1" applyFill="1" applyBorder="1" applyAlignment="1">
      <alignment horizontal="center" vertical="center" wrapText="1"/>
    </xf>
    <xf numFmtId="0" fontId="29" fillId="21" borderId="29" xfId="5" applyFont="1" applyFill="1" applyBorder="1" applyAlignment="1">
      <alignment horizontal="center" vertical="center" wrapText="1"/>
    </xf>
    <xf numFmtId="0" fontId="22" fillId="0" borderId="22" xfId="5" applyFont="1" applyFill="1" applyBorder="1" applyAlignment="1">
      <alignment horizontal="left" vertical="center" wrapText="1"/>
    </xf>
    <xf numFmtId="1" fontId="27" fillId="0" borderId="21" xfId="4" applyNumberFormat="1" applyFont="1" applyFill="1" applyBorder="1" applyAlignment="1">
      <alignment horizontal="center" vertical="center" wrapText="1"/>
    </xf>
    <xf numFmtId="1" fontId="4" fillId="0" borderId="21" xfId="4" applyNumberFormat="1" applyFont="1" applyFill="1" applyBorder="1" applyAlignment="1">
      <alignment horizontal="center" vertical="center" wrapText="1"/>
    </xf>
    <xf numFmtId="0" fontId="22" fillId="0" borderId="22" xfId="4" applyFont="1" applyFill="1" applyBorder="1" applyAlignment="1">
      <alignment horizontal="left" vertical="center" wrapText="1"/>
    </xf>
    <xf numFmtId="0" fontId="4" fillId="0" borderId="20" xfId="5" applyFont="1" applyBorder="1" applyAlignment="1" applyProtection="1"/>
    <xf numFmtId="166" fontId="4" fillId="0" borderId="4" xfId="4" applyNumberFormat="1" applyFont="1" applyFill="1" applyBorder="1" applyAlignment="1">
      <alignment horizontal="right" vertical="center" wrapText="1"/>
    </xf>
    <xf numFmtId="0" fontId="4" fillId="0" borderId="20" xfId="4" applyFont="1" applyBorder="1" applyAlignment="1" applyProtection="1"/>
    <xf numFmtId="0" fontId="29" fillId="21" borderId="22" xfId="4" applyFont="1" applyFill="1" applyBorder="1" applyAlignment="1">
      <alignment horizontal="center" vertical="center" wrapText="1"/>
    </xf>
    <xf numFmtId="167" fontId="29" fillId="21" borderId="21" xfId="4" applyNumberFormat="1" applyFont="1" applyFill="1" applyBorder="1" applyAlignment="1">
      <alignment horizontal="right" vertical="center" wrapText="1"/>
    </xf>
    <xf numFmtId="0" fontId="4" fillId="0" borderId="4" xfId="4" applyFont="1" applyBorder="1" applyAlignment="1" applyProtection="1"/>
    <xf numFmtId="0" fontId="4" fillId="0" borderId="14" xfId="4" applyFont="1" applyBorder="1" applyAlignment="1" applyProtection="1"/>
    <xf numFmtId="166" fontId="4" fillId="0" borderId="1" xfId="4" applyNumberFormat="1" applyFont="1" applyFill="1" applyBorder="1" applyAlignment="1">
      <alignment horizontal="right" vertical="center" wrapText="1"/>
    </xf>
    <xf numFmtId="0" fontId="7" fillId="0" borderId="0" xfId="0" applyFont="1" applyFill="1" applyBorder="1" applyAlignment="1">
      <alignment horizontal="center" vertical="center"/>
    </xf>
    <xf numFmtId="0" fontId="28" fillId="5" borderId="5" xfId="0" applyFont="1" applyFill="1" applyBorder="1" applyAlignment="1">
      <alignment horizontal="left" vertical="top" wrapText="1"/>
    </xf>
    <xf numFmtId="0" fontId="30" fillId="0" borderId="0" xfId="0" applyFont="1" applyFill="1" applyBorder="1" applyAlignment="1">
      <alignment vertical="top"/>
    </xf>
    <xf numFmtId="0" fontId="0" fillId="24" borderId="5" xfId="0" applyFont="1" applyFill="1" applyBorder="1" applyAlignment="1">
      <alignment horizontal="left" vertical="top"/>
    </xf>
    <xf numFmtId="168" fontId="7" fillId="0" borderId="0" xfId="9" applyNumberFormat="1" applyFont="1" applyFill="1" applyBorder="1" applyAlignment="1">
      <alignment vertical="top"/>
    </xf>
    <xf numFmtId="0" fontId="7" fillId="11" borderId="0" xfId="0" applyFont="1" applyFill="1" applyBorder="1" applyAlignment="1">
      <alignment vertical="top"/>
    </xf>
    <xf numFmtId="3" fontId="14" fillId="0" borderId="0" xfId="0" applyNumberFormat="1" applyFont="1" applyFill="1" applyBorder="1" applyAlignment="1">
      <alignment vertical="top"/>
    </xf>
    <xf numFmtId="9" fontId="8" fillId="0" borderId="0" xfId="9" applyFont="1" applyFill="1" applyBorder="1" applyAlignment="1">
      <alignment vertical="top"/>
    </xf>
    <xf numFmtId="0" fontId="31" fillId="12" borderId="5" xfId="0" applyFont="1" applyFill="1" applyBorder="1" applyAlignment="1">
      <alignment horizontal="left" vertical="top"/>
    </xf>
    <xf numFmtId="0" fontId="0" fillId="7" borderId="5" xfId="0" applyFont="1" applyFill="1" applyBorder="1" applyAlignment="1">
      <alignment horizontal="left" vertical="top"/>
    </xf>
    <xf numFmtId="1" fontId="8" fillId="0" borderId="0" xfId="0" applyNumberFormat="1" applyFont="1" applyFill="1" applyBorder="1" applyAlignment="1">
      <alignment vertical="top"/>
    </xf>
    <xf numFmtId="169" fontId="8" fillId="0" borderId="0" xfId="12" applyNumberFormat="1" applyFont="1" applyFill="1" applyBorder="1" applyAlignment="1">
      <alignment vertical="top"/>
    </xf>
    <xf numFmtId="0" fontId="7" fillId="0" borderId="8" xfId="0" applyFont="1" applyFill="1" applyBorder="1" applyAlignment="1">
      <alignment horizontal="center" vertical="center"/>
    </xf>
    <xf numFmtId="3" fontId="8" fillId="0" borderId="0" xfId="1" applyNumberFormat="1" applyFont="1" applyFill="1" applyBorder="1" applyAlignment="1">
      <alignment horizontal="right" vertical="top"/>
    </xf>
    <xf numFmtId="0" fontId="6" fillId="0" borderId="0" xfId="0" applyFont="1" applyFill="1" applyBorder="1" applyAlignment="1">
      <alignment vertical="top"/>
    </xf>
    <xf numFmtId="0" fontId="10" fillId="0" borderId="0" xfId="0" applyFont="1" applyFill="1" applyBorder="1" applyAlignment="1">
      <alignment vertical="top"/>
    </xf>
    <xf numFmtId="0" fontId="6" fillId="2" borderId="3" xfId="0" applyFont="1" applyFill="1" applyBorder="1" applyAlignment="1">
      <alignment vertical="top" wrapText="1"/>
    </xf>
    <xf numFmtId="0" fontId="7" fillId="0" borderId="3" xfId="0" applyFont="1" applyBorder="1" applyAlignment="1">
      <alignment vertical="top" wrapText="1"/>
    </xf>
    <xf numFmtId="4" fontId="8" fillId="16" borderId="4" xfId="6" applyNumberFormat="1" applyFont="1" applyFill="1" applyBorder="1" applyAlignment="1">
      <alignment horizontal="center" vertical="top" wrapText="1"/>
    </xf>
    <xf numFmtId="170" fontId="23" fillId="22" borderId="35" xfId="6" applyNumberFormat="1" applyFont="1" applyFill="1" applyBorder="1" applyAlignment="1">
      <alignment horizontal="right" vertical="center" wrapText="1"/>
    </xf>
    <xf numFmtId="0" fontId="8" fillId="0" borderId="4" xfId="6" applyFont="1" applyBorder="1" applyAlignment="1">
      <alignment vertical="top" wrapText="1"/>
    </xf>
    <xf numFmtId="0" fontId="29" fillId="21" borderId="11" xfId="5" applyFont="1" applyFill="1" applyBorder="1" applyAlignment="1">
      <alignment horizontal="center" vertical="center" wrapText="1"/>
    </xf>
    <xf numFmtId="0" fontId="29" fillId="21" borderId="12" xfId="5" applyFont="1" applyFill="1" applyBorder="1" applyAlignment="1">
      <alignment horizontal="center" vertical="center" wrapText="1"/>
    </xf>
    <xf numFmtId="0" fontId="7" fillId="0" borderId="0" xfId="0" applyFont="1" applyAlignment="1">
      <alignment horizontal="left"/>
    </xf>
    <xf numFmtId="4" fontId="7" fillId="0" borderId="0" xfId="0" applyNumberFormat="1" applyFont="1" applyAlignment="1">
      <alignment horizontal="left"/>
    </xf>
    <xf numFmtId="0" fontId="10" fillId="4" borderId="4" xfId="0" applyFont="1" applyFill="1" applyBorder="1" applyAlignment="1">
      <alignment horizontal="left" wrapText="1"/>
    </xf>
    <xf numFmtId="0" fontId="8" fillId="0" borderId="4" xfId="0" applyFont="1" applyBorder="1" applyAlignment="1">
      <alignment horizontal="center" wrapText="1"/>
    </xf>
    <xf numFmtId="0" fontId="8" fillId="0" borderId="4" xfId="0" applyFont="1" applyBorder="1" applyAlignment="1">
      <alignment wrapText="1"/>
    </xf>
    <xf numFmtId="0" fontId="0" fillId="0" borderId="45" xfId="4" applyFont="1" applyBorder="1" applyAlignment="1" applyProtection="1"/>
    <xf numFmtId="43" fontId="4" fillId="0" borderId="0" xfId="12" applyFont="1"/>
    <xf numFmtId="0" fontId="7" fillId="25" borderId="4" xfId="0" applyFont="1" applyFill="1" applyBorder="1" applyAlignment="1">
      <alignment horizontal="center" vertical="center" wrapText="1"/>
    </xf>
    <xf numFmtId="0" fontId="15" fillId="25" borderId="4" xfId="0" applyFont="1" applyFill="1" applyBorder="1" applyAlignment="1">
      <alignment horizontal="left" vertical="center" wrapText="1"/>
    </xf>
    <xf numFmtId="0" fontId="8" fillId="25" borderId="4" xfId="0" applyFont="1" applyFill="1" applyBorder="1" applyAlignment="1">
      <alignment horizontal="center" vertical="center" wrapText="1"/>
    </xf>
    <xf numFmtId="6" fontId="16" fillId="25" borderId="4" xfId="0" applyNumberFormat="1" applyFont="1" applyFill="1" applyBorder="1" applyAlignment="1">
      <alignment horizontal="right" vertical="center" wrapText="1"/>
    </xf>
    <xf numFmtId="6" fontId="15" fillId="25" borderId="4" xfId="0" applyNumberFormat="1" applyFont="1" applyFill="1" applyBorder="1" applyAlignment="1">
      <alignment horizontal="center" vertical="center" wrapText="1"/>
    </xf>
    <xf numFmtId="6" fontId="8" fillId="25" borderId="4" xfId="0" applyNumberFormat="1" applyFont="1" applyFill="1" applyBorder="1" applyAlignment="1">
      <alignment horizontal="center" vertical="center" wrapText="1"/>
    </xf>
    <xf numFmtId="0" fontId="8" fillId="0" borderId="4" xfId="0" applyFont="1" applyFill="1" applyBorder="1" applyAlignment="1">
      <alignment horizontal="center" vertical="center"/>
    </xf>
    <xf numFmtId="0" fontId="7" fillId="0" borderId="0" xfId="0" applyFont="1" applyFill="1" applyAlignment="1"/>
    <xf numFmtId="0" fontId="7" fillId="0" borderId="0" xfId="0" applyFont="1" applyFill="1"/>
    <xf numFmtId="43" fontId="15" fillId="0" borderId="4" xfId="0" applyNumberFormat="1" applyFont="1" applyFill="1" applyBorder="1" applyAlignment="1">
      <alignment horizontal="left" vertical="center" wrapText="1"/>
    </xf>
    <xf numFmtId="0" fontId="15" fillId="26" borderId="4" xfId="0" applyFont="1" applyFill="1" applyBorder="1" applyAlignment="1">
      <alignment horizontal="left" vertical="center" wrapText="1"/>
    </xf>
    <xf numFmtId="0" fontId="8" fillId="26" borderId="4" xfId="0" applyFont="1" applyFill="1" applyBorder="1" applyAlignment="1">
      <alignment horizontal="center" vertical="center" wrapText="1"/>
    </xf>
    <xf numFmtId="6" fontId="15" fillId="26" borderId="4" xfId="0" applyNumberFormat="1" applyFont="1" applyFill="1" applyBorder="1" applyAlignment="1">
      <alignment horizontal="right" vertical="center" wrapText="1"/>
    </xf>
    <xf numFmtId="6" fontId="15" fillId="26" borderId="4" xfId="0" applyNumberFormat="1" applyFont="1" applyFill="1" applyBorder="1" applyAlignment="1">
      <alignment horizontal="center" vertical="center" wrapText="1"/>
    </xf>
    <xf numFmtId="6" fontId="8" fillId="26" borderId="4" xfId="0" applyNumberFormat="1" applyFont="1" applyFill="1" applyBorder="1" applyAlignment="1">
      <alignment horizontal="center" vertical="center" wrapText="1"/>
    </xf>
    <xf numFmtId="0" fontId="7" fillId="26" borderId="11" xfId="0" applyFont="1" applyFill="1" applyBorder="1" applyAlignment="1">
      <alignment horizontal="center" vertical="center" wrapText="1"/>
    </xf>
    <xf numFmtId="0" fontId="7" fillId="26" borderId="4" xfId="0" applyFont="1" applyFill="1" applyBorder="1" applyAlignment="1">
      <alignment horizontal="center" vertical="center" wrapText="1"/>
    </xf>
    <xf numFmtId="0" fontId="6" fillId="27" borderId="4" xfId="0" applyFont="1" applyFill="1" applyBorder="1" applyAlignment="1">
      <alignment horizontal="center" vertical="center" wrapText="1"/>
    </xf>
    <xf numFmtId="0" fontId="16" fillId="27" borderId="4" xfId="0" applyFont="1" applyFill="1" applyBorder="1" applyAlignment="1">
      <alignment horizontal="left" vertical="center" wrapText="1"/>
    </xf>
    <xf numFmtId="0" fontId="8" fillId="27" borderId="4" xfId="0" applyFont="1" applyFill="1" applyBorder="1" applyAlignment="1">
      <alignment horizontal="center" vertical="center" wrapText="1"/>
    </xf>
    <xf numFmtId="6" fontId="16" fillId="27" borderId="4" xfId="0" applyNumberFormat="1" applyFont="1" applyFill="1" applyBorder="1" applyAlignment="1">
      <alignment horizontal="right" vertical="center" wrapText="1"/>
    </xf>
    <xf numFmtId="6" fontId="15" fillId="27" borderId="4" xfId="0" applyNumberFormat="1" applyFont="1" applyFill="1" applyBorder="1" applyAlignment="1">
      <alignment horizontal="center" vertical="center" wrapText="1"/>
    </xf>
    <xf numFmtId="6" fontId="8" fillId="27" borderId="4" xfId="0" applyNumberFormat="1" applyFont="1" applyFill="1" applyBorder="1" applyAlignment="1">
      <alignment horizontal="center" vertical="center" wrapText="1"/>
    </xf>
    <xf numFmtId="0" fontId="8" fillId="0" borderId="46" xfId="0" applyFont="1" applyBorder="1" applyAlignment="1">
      <alignment horizontal="left" wrapText="1" indent="1"/>
    </xf>
    <xf numFmtId="0" fontId="8" fillId="0" borderId="2" xfId="0" applyFont="1" applyBorder="1" applyAlignment="1">
      <alignment horizontal="left" wrapText="1" indent="1"/>
    </xf>
    <xf numFmtId="6" fontId="8" fillId="0" borderId="30" xfId="0" applyNumberFormat="1" applyFont="1" applyBorder="1" applyAlignment="1">
      <alignment vertical="center" wrapText="1"/>
    </xf>
    <xf numFmtId="9" fontId="10" fillId="0" borderId="4" xfId="9" applyFont="1" applyBorder="1" applyAlignment="1">
      <alignment vertical="center" wrapText="1"/>
    </xf>
    <xf numFmtId="0" fontId="10" fillId="7" borderId="11" xfId="0" applyFont="1" applyFill="1" applyBorder="1" applyAlignment="1">
      <alignment wrapText="1"/>
    </xf>
    <xf numFmtId="6" fontId="10" fillId="7" borderId="4" xfId="0" applyNumberFormat="1" applyFont="1" applyFill="1" applyBorder="1" applyAlignment="1">
      <alignment vertical="center" wrapText="1"/>
    </xf>
    <xf numFmtId="0" fontId="10" fillId="3" borderId="4" xfId="0" applyFont="1" applyFill="1" applyBorder="1" applyAlignment="1">
      <alignment wrapText="1"/>
    </xf>
    <xf numFmtId="6" fontId="10" fillId="3" borderId="4" xfId="0" applyNumberFormat="1" applyFont="1" applyFill="1" applyBorder="1" applyAlignment="1">
      <alignment vertical="center" wrapText="1"/>
    </xf>
    <xf numFmtId="0" fontId="10" fillId="7" borderId="11" xfId="0" applyFont="1" applyFill="1" applyBorder="1" applyAlignment="1">
      <alignment horizontal="center" wrapText="1"/>
    </xf>
    <xf numFmtId="6" fontId="10" fillId="7" borderId="4" xfId="0" applyNumberFormat="1" applyFont="1" applyFill="1" applyBorder="1" applyAlignment="1">
      <alignment horizontal="center" vertical="center" wrapText="1"/>
    </xf>
    <xf numFmtId="6" fontId="8" fillId="0" borderId="4" xfId="0" applyNumberFormat="1" applyFont="1" applyBorder="1" applyAlignment="1">
      <alignment vertical="center" wrapText="1"/>
    </xf>
    <xf numFmtId="0" fontId="10" fillId="7" borderId="4" xfId="0" applyFont="1" applyFill="1" applyBorder="1" applyAlignment="1">
      <alignment horizontal="center" vertical="center" wrapText="1"/>
    </xf>
    <xf numFmtId="0" fontId="8" fillId="0" borderId="4" xfId="0" applyFont="1" applyBorder="1" applyAlignment="1">
      <alignment vertical="center" wrapText="1"/>
    </xf>
    <xf numFmtId="6" fontId="10" fillId="0" borderId="4" xfId="0" applyNumberFormat="1" applyFont="1" applyBorder="1" applyAlignment="1">
      <alignment horizontal="center" vertical="center" wrapText="1"/>
    </xf>
    <xf numFmtId="0" fontId="10" fillId="3" borderId="4" xfId="0" applyFont="1" applyFill="1" applyBorder="1" applyAlignment="1">
      <alignment vertical="center" wrapText="1"/>
    </xf>
    <xf numFmtId="6" fontId="7" fillId="0" borderId="0" xfId="0" applyNumberFormat="1" applyFont="1" applyAlignment="1"/>
    <xf numFmtId="0" fontId="10" fillId="28" borderId="4" xfId="0" applyFont="1" applyFill="1" applyBorder="1" applyAlignment="1">
      <alignment vertical="center" wrapText="1"/>
    </xf>
    <xf numFmtId="6" fontId="8" fillId="0" borderId="4"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15" fillId="3" borderId="4" xfId="0" applyFont="1" applyFill="1" applyBorder="1" applyAlignment="1">
      <alignment horizontal="left" vertical="center" wrapText="1"/>
    </xf>
    <xf numFmtId="0" fontId="8" fillId="3" borderId="4" xfId="0" applyFont="1" applyFill="1" applyBorder="1" applyAlignment="1">
      <alignment horizontal="center" vertical="center" wrapText="1"/>
    </xf>
    <xf numFmtId="6" fontId="15" fillId="3" borderId="4" xfId="0" applyNumberFormat="1" applyFont="1" applyFill="1" applyBorder="1" applyAlignment="1">
      <alignment horizontal="right" vertical="center" wrapText="1"/>
    </xf>
    <xf numFmtId="0" fontId="10" fillId="19" borderId="1" xfId="6" applyFont="1" applyFill="1" applyBorder="1" applyAlignment="1">
      <alignment vertical="top" wrapText="1"/>
    </xf>
    <xf numFmtId="0" fontId="10" fillId="19" borderId="10" xfId="6" applyFont="1" applyFill="1" applyBorder="1" applyAlignment="1">
      <alignment vertical="top" wrapText="1"/>
    </xf>
    <xf numFmtId="0" fontId="10" fillId="19" borderId="4" xfId="6" applyFont="1" applyFill="1" applyBorder="1" applyAlignment="1">
      <alignment vertical="top" wrapText="1"/>
    </xf>
    <xf numFmtId="0" fontId="8" fillId="0" borderId="4" xfId="6" applyFont="1" applyBorder="1" applyAlignment="1">
      <alignment vertical="top" wrapText="1"/>
    </xf>
    <xf numFmtId="0" fontId="10" fillId="7" borderId="4" xfId="6" applyFont="1" applyFill="1" applyBorder="1" applyAlignment="1">
      <alignment horizontal="center"/>
    </xf>
    <xf numFmtId="0" fontId="8" fillId="0" borderId="10" xfId="6" applyFont="1" applyBorder="1" applyAlignment="1">
      <alignment vertical="top" wrapText="1"/>
    </xf>
    <xf numFmtId="0" fontId="11" fillId="21" borderId="13" xfId="0" applyFont="1" applyFill="1" applyBorder="1" applyAlignment="1">
      <alignment horizontal="left" vertical="center" wrapText="1"/>
    </xf>
    <xf numFmtId="0" fontId="11" fillId="21" borderId="8" xfId="0" applyFont="1" applyFill="1" applyBorder="1" applyAlignment="1">
      <alignment horizontal="left" vertical="center" wrapText="1"/>
    </xf>
    <xf numFmtId="0" fontId="11" fillId="21" borderId="14" xfId="0" applyFont="1" applyFill="1" applyBorder="1" applyAlignment="1">
      <alignment horizontal="left" vertical="center" wrapText="1"/>
    </xf>
    <xf numFmtId="0" fontId="11" fillId="21" borderId="11" xfId="0" applyFont="1" applyFill="1" applyBorder="1" applyAlignment="1">
      <alignment horizontal="left" vertical="center" wrapText="1"/>
    </xf>
    <xf numFmtId="0" fontId="11" fillId="21" borderId="23" xfId="0" applyFont="1" applyFill="1" applyBorder="1" applyAlignment="1">
      <alignment horizontal="left" vertical="center" wrapText="1"/>
    </xf>
    <xf numFmtId="0" fontId="11" fillId="21" borderId="12" xfId="0" applyFont="1" applyFill="1" applyBorder="1" applyAlignment="1">
      <alignment horizontal="left" vertical="center" wrapText="1"/>
    </xf>
    <xf numFmtId="0" fontId="10" fillId="18" borderId="3" xfId="8" applyFont="1" applyFill="1" applyBorder="1" applyAlignment="1">
      <alignment horizontal="center" wrapText="1"/>
    </xf>
    <xf numFmtId="0" fontId="8" fillId="0" borderId="3" xfId="0" applyFont="1" applyBorder="1" applyAlignment="1">
      <alignment wrapText="1"/>
    </xf>
    <xf numFmtId="0" fontId="6" fillId="0" borderId="0" xfId="3" applyFont="1" applyFill="1" applyBorder="1" applyAlignment="1">
      <alignment horizontal="center" vertical="center" wrapText="1"/>
    </xf>
    <xf numFmtId="0" fontId="11" fillId="21" borderId="11" xfId="4" applyFont="1" applyFill="1" applyBorder="1" applyAlignment="1">
      <alignment horizontal="center" vertical="center" wrapText="1"/>
    </xf>
    <xf numFmtId="0" fontId="11" fillId="21" borderId="12" xfId="4" applyFont="1" applyFill="1" applyBorder="1" applyAlignment="1">
      <alignment horizontal="center" vertical="center" wrapText="1"/>
    </xf>
    <xf numFmtId="0" fontId="29" fillId="21" borderId="18" xfId="5" applyFont="1" applyFill="1" applyBorder="1" applyAlignment="1">
      <alignment horizontal="center" vertical="center" wrapText="1"/>
    </xf>
    <xf numFmtId="0" fontId="29" fillId="21" borderId="16" xfId="5" applyFont="1" applyFill="1" applyBorder="1" applyAlignment="1">
      <alignment horizontal="center" vertical="center" wrapText="1"/>
    </xf>
    <xf numFmtId="0" fontId="29" fillId="21" borderId="32" xfId="5" applyFont="1" applyFill="1" applyBorder="1" applyAlignment="1">
      <alignment horizontal="center" vertical="center" wrapText="1"/>
    </xf>
    <xf numFmtId="0" fontId="6" fillId="0" borderId="1" xfId="4" applyFont="1" applyFill="1" applyBorder="1" applyAlignment="1">
      <alignment horizontal="center" vertical="center" wrapText="1"/>
    </xf>
    <xf numFmtId="0" fontId="29" fillId="21" borderId="15" xfId="5" applyFont="1" applyFill="1" applyBorder="1" applyAlignment="1">
      <alignment horizontal="center" vertical="center" wrapText="1"/>
    </xf>
    <xf numFmtId="0" fontId="29" fillId="21" borderId="27" xfId="5" applyFont="1" applyFill="1" applyBorder="1" applyAlignment="1">
      <alignment horizontal="center" vertical="center" wrapText="1"/>
    </xf>
    <xf numFmtId="0" fontId="29" fillId="21" borderId="28" xfId="5" applyFont="1" applyFill="1" applyBorder="1" applyAlignment="1">
      <alignment horizontal="center" vertical="center" wrapText="1"/>
    </xf>
    <xf numFmtId="0" fontId="22" fillId="0" borderId="30" xfId="4" applyFont="1" applyFill="1" applyBorder="1" applyAlignment="1">
      <alignment horizontal="center" vertical="center" wrapText="1"/>
    </xf>
    <xf numFmtId="0" fontId="29" fillId="21" borderId="11" xfId="5" applyFont="1" applyFill="1" applyBorder="1" applyAlignment="1">
      <alignment horizontal="center" vertical="center" wrapText="1"/>
    </xf>
    <xf numFmtId="0" fontId="29" fillId="21" borderId="23" xfId="5" applyFont="1" applyFill="1" applyBorder="1" applyAlignment="1">
      <alignment horizontal="center" vertical="center" wrapText="1"/>
    </xf>
    <xf numFmtId="0" fontId="29" fillId="21" borderId="12" xfId="5" applyFont="1" applyFill="1" applyBorder="1" applyAlignment="1">
      <alignment horizontal="center" vertical="center" wrapText="1"/>
    </xf>
    <xf numFmtId="17" fontId="4" fillId="0" borderId="21" xfId="4" applyNumberFormat="1" applyFont="1" applyFill="1" applyBorder="1" applyAlignment="1">
      <alignment horizontal="center" vertical="center" wrapText="1"/>
    </xf>
    <xf numFmtId="0" fontId="4" fillId="0" borderId="31" xfId="4" applyNumberFormat="1" applyFont="1" applyFill="1" applyBorder="1" applyAlignment="1">
      <alignment horizontal="center" vertical="center" wrapText="1"/>
    </xf>
    <xf numFmtId="0" fontId="23" fillId="0" borderId="33" xfId="6" applyFont="1" applyBorder="1" applyAlignment="1">
      <alignment horizontal="center" wrapText="1"/>
    </xf>
    <xf numFmtId="0" fontId="24" fillId="0" borderId="33" xfId="6" applyFont="1" applyBorder="1" applyAlignment="1">
      <alignment horizontal="center" wrapText="1"/>
    </xf>
    <xf numFmtId="0" fontId="23" fillId="0" borderId="0" xfId="6" applyFont="1" applyBorder="1" applyAlignment="1">
      <alignment horizontal="center" wrapText="1"/>
    </xf>
    <xf numFmtId="0" fontId="24" fillId="0" borderId="0" xfId="6" applyFont="1" applyBorder="1" applyAlignment="1">
      <alignment horizontal="center" wrapText="1"/>
    </xf>
    <xf numFmtId="0" fontId="4" fillId="0" borderId="0" xfId="0" applyFont="1" applyAlignment="1">
      <alignment horizontal="center" wrapText="1"/>
    </xf>
  </cellXfs>
  <cellStyles count="13">
    <cellStyle name="Comma" xfId="12" builtinId="3"/>
    <cellStyle name="Millares 2" xfId="2"/>
    <cellStyle name="Moneda 2" xfId="1"/>
    <cellStyle name="Normal" xfId="0" builtinId="0"/>
    <cellStyle name="Normal 2" xfId="3"/>
    <cellStyle name="Normal 3" xfId="4"/>
    <cellStyle name="Normal 3 2" xfId="5"/>
    <cellStyle name="Normal 4" xfId="8"/>
    <cellStyle name="Normal 4 2" xfId="11"/>
    <cellStyle name="Normal 5" xfId="6"/>
    <cellStyle name="Normal 5 2" xfId="10"/>
    <cellStyle name="Percent" xfId="9" builtinId="5"/>
    <cellStyle name="Porcentaje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idbdocs.iadb.org/Users/Familia%20Cracel/Desktop/Desktop%203/Dominicana%20CCSD/Plan%20de%20%20Adquisici&#243;n/DR-L1084%20Plan%20de%20Adquisiciones%201%20diciembre%20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Plan de Adquisiciones Sint."/>
      <sheetName val="2. Plan de Adquisiciones Global"/>
      <sheetName val="3. Presupuesto detallado"/>
      <sheetName val="Sheet1"/>
      <sheetName val="4.Plan Ejecucion Plurianual-PEP"/>
      <sheetName val="5. Presupuesto POD"/>
      <sheetName val="Presupuesto original HN2"/>
    </sheetNames>
    <sheetDataSet>
      <sheetData sheetId="0"/>
      <sheetData sheetId="1"/>
      <sheetData sheetId="2">
        <row r="1">
          <cell r="A1" t="str">
            <v>Proyecto Total</v>
          </cell>
          <cell r="B1">
            <v>1015000</v>
          </cell>
          <cell r="C1" t="str">
            <v xml:space="preserve">Programa de Revitalización Integral Turística y Urbana de la Ciudad Colonial de Santo Domingo 
DR-L1084. </v>
          </cell>
          <cell r="D1">
            <v>0</v>
          </cell>
          <cell r="E1">
            <v>0</v>
          </cell>
          <cell r="F1">
            <v>0</v>
          </cell>
          <cell r="G1">
            <v>0</v>
          </cell>
          <cell r="H1">
            <v>0</v>
          </cell>
          <cell r="I1">
            <v>0</v>
          </cell>
          <cell r="J1">
            <v>0</v>
          </cell>
          <cell r="K1">
            <v>0</v>
          </cell>
          <cell r="L1">
            <v>0</v>
          </cell>
          <cell r="M1">
            <v>0</v>
          </cell>
          <cell r="N1">
            <v>0</v>
          </cell>
          <cell r="O1">
            <v>0</v>
          </cell>
          <cell r="P1">
            <v>0</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Y185"/>
  <sheetViews>
    <sheetView tabSelected="1" zoomScale="70" zoomScaleNormal="70" zoomScaleSheetLayoutView="80" zoomScalePageLayoutView="120" workbookViewId="0">
      <selection activeCell="D69" sqref="D69"/>
    </sheetView>
  </sheetViews>
  <sheetFormatPr defaultColWidth="11.42578125" defaultRowHeight="14.25" x14ac:dyDescent="0.2"/>
  <cols>
    <col min="1" max="1" width="3.5703125" style="155" customWidth="1"/>
    <col min="2" max="2" width="7.42578125" style="2" customWidth="1"/>
    <col min="3" max="3" width="110.7109375" style="1" customWidth="1"/>
    <col min="4" max="4" width="15" style="168" bestFit="1" customWidth="1"/>
    <col min="5" max="5" width="13.42578125" style="1" bestFit="1" customWidth="1"/>
    <col min="6" max="6" width="15" style="1" bestFit="1" customWidth="1"/>
    <col min="7" max="7" width="13.42578125" style="1" bestFit="1" customWidth="1"/>
    <col min="8" max="8" width="15" style="1" bestFit="1" customWidth="1"/>
    <col min="9" max="9" width="23.42578125" style="1" customWidth="1"/>
    <col min="10" max="10" width="15" style="1" bestFit="1" customWidth="1"/>
    <col min="11" max="11" width="15.140625" style="1" customWidth="1"/>
    <col min="12" max="12" width="14.85546875" style="1" bestFit="1" customWidth="1"/>
    <col min="13" max="16384" width="11.42578125" style="1"/>
  </cols>
  <sheetData>
    <row r="1" spans="1:129" ht="31.5" customHeight="1" x14ac:dyDescent="0.2">
      <c r="C1" s="171" t="s">
        <v>0</v>
      </c>
      <c r="D1" s="171"/>
      <c r="E1" s="172"/>
      <c r="F1" s="172"/>
      <c r="G1" s="172"/>
      <c r="H1" s="172"/>
      <c r="I1" s="172"/>
      <c r="J1" s="172"/>
      <c r="K1" s="1">
        <f>COUNTIF(F9:F176,100000)</f>
        <v>3</v>
      </c>
    </row>
    <row r="2" spans="1:129" ht="30" customHeight="1" x14ac:dyDescent="0.25">
      <c r="B2" s="41"/>
      <c r="C2" s="5" t="s">
        <v>1</v>
      </c>
      <c r="D2" s="6" t="s">
        <v>2</v>
      </c>
      <c r="E2" s="7" t="s">
        <v>3</v>
      </c>
      <c r="F2" s="7" t="s">
        <v>4</v>
      </c>
      <c r="G2" s="7" t="s">
        <v>5</v>
      </c>
      <c r="H2" s="7" t="s">
        <v>6</v>
      </c>
      <c r="I2" s="180" t="s">
        <v>397</v>
      </c>
      <c r="J2" s="7" t="s">
        <v>7</v>
      </c>
    </row>
    <row r="3" spans="1:129" s="2" customFormat="1" ht="15.6" customHeight="1" x14ac:dyDescent="0.2">
      <c r="A3" s="155"/>
      <c r="B3" s="41"/>
      <c r="C3" s="8" t="s">
        <v>8</v>
      </c>
      <c r="D3" s="9">
        <f t="shared" ref="D3:I3" si="0">D4+D48+D70+D88+D141+D176</f>
        <v>90000000</v>
      </c>
      <c r="E3" s="9">
        <f t="shared" si="0"/>
        <v>8092000</v>
      </c>
      <c r="F3" s="9">
        <f t="shared" si="0"/>
        <v>16760000</v>
      </c>
      <c r="G3" s="9">
        <f t="shared" si="0"/>
        <v>5200000</v>
      </c>
      <c r="H3" s="9">
        <f t="shared" si="0"/>
        <v>55038000</v>
      </c>
      <c r="I3" s="9">
        <f t="shared" si="0"/>
        <v>4910000</v>
      </c>
      <c r="J3" s="9">
        <f>SUM(E3:I3)</f>
        <v>90000000</v>
      </c>
    </row>
    <row r="4" spans="1:129" s="157" customFormat="1" ht="15.75" x14ac:dyDescent="0.2">
      <c r="A4" s="155"/>
      <c r="B4" s="156">
        <v>1</v>
      </c>
      <c r="C4" s="10" t="s">
        <v>9</v>
      </c>
      <c r="D4" s="11">
        <f t="shared" ref="D4:J4" si="1">D5+D19+D24+D27+D38+D42+D44</f>
        <v>49160000</v>
      </c>
      <c r="E4" s="11">
        <f t="shared" si="1"/>
        <v>1012000</v>
      </c>
      <c r="F4" s="11">
        <f t="shared" si="1"/>
        <v>2320000</v>
      </c>
      <c r="G4" s="11">
        <f t="shared" si="1"/>
        <v>4200000</v>
      </c>
      <c r="H4" s="11">
        <f t="shared" si="1"/>
        <v>38318000</v>
      </c>
      <c r="I4" s="11">
        <f t="shared" si="1"/>
        <v>3310000</v>
      </c>
      <c r="J4" s="11">
        <f t="shared" si="1"/>
        <v>49160000</v>
      </c>
    </row>
    <row r="5" spans="1:129" s="157" customFormat="1" ht="58.5" customHeight="1" x14ac:dyDescent="0.2">
      <c r="A5" s="155" t="s">
        <v>10</v>
      </c>
      <c r="B5" s="35">
        <v>1.1000000000000001</v>
      </c>
      <c r="C5" s="35" t="s">
        <v>11</v>
      </c>
      <c r="D5" s="36">
        <f t="shared" ref="D5:I5" si="2">SUM(D6:D18)</f>
        <v>24814000</v>
      </c>
      <c r="E5" s="36">
        <f t="shared" si="2"/>
        <v>504000</v>
      </c>
      <c r="F5" s="36">
        <f t="shared" si="2"/>
        <v>1410000</v>
      </c>
      <c r="G5" s="36">
        <f t="shared" si="2"/>
        <v>0</v>
      </c>
      <c r="H5" s="36">
        <f t="shared" si="2"/>
        <v>22150000</v>
      </c>
      <c r="I5" s="36">
        <f t="shared" si="2"/>
        <v>750000</v>
      </c>
      <c r="J5" s="36">
        <f>SUM(E5:I5)</f>
        <v>24814000</v>
      </c>
    </row>
    <row r="6" spans="1:129" s="2" customFormat="1" ht="31.5" customHeight="1" x14ac:dyDescent="0.2">
      <c r="A6" s="155"/>
      <c r="B6" s="158" t="s">
        <v>12</v>
      </c>
      <c r="C6" s="31" t="s">
        <v>13</v>
      </c>
      <c r="D6" s="33">
        <v>100000</v>
      </c>
      <c r="E6" s="1"/>
      <c r="F6" s="13">
        <f>D6</f>
        <v>100000</v>
      </c>
      <c r="G6" s="13"/>
      <c r="H6" s="1"/>
      <c r="I6" s="1"/>
    </row>
    <row r="7" spans="1:129" s="2" customFormat="1" ht="30.95" customHeight="1" x14ac:dyDescent="0.2">
      <c r="A7" s="155"/>
      <c r="B7" s="158" t="s">
        <v>14</v>
      </c>
      <c r="C7" s="26" t="s">
        <v>15</v>
      </c>
      <c r="D7" s="33">
        <v>100000</v>
      </c>
      <c r="E7" s="13"/>
      <c r="F7" s="13">
        <f>D7</f>
        <v>100000</v>
      </c>
      <c r="G7" s="13"/>
      <c r="H7" s="1"/>
      <c r="I7" s="1"/>
    </row>
    <row r="8" spans="1:129" s="2" customFormat="1" ht="29.25" x14ac:dyDescent="0.2">
      <c r="A8" s="155"/>
      <c r="B8" s="158" t="s">
        <v>16</v>
      </c>
      <c r="C8" s="31" t="s">
        <v>17</v>
      </c>
      <c r="D8" s="33">
        <v>375000</v>
      </c>
      <c r="E8" s="1"/>
      <c r="F8" s="13">
        <f>D8</f>
        <v>375000</v>
      </c>
      <c r="G8" s="1"/>
      <c r="H8" s="1"/>
      <c r="I8" s="1"/>
    </row>
    <row r="9" spans="1:129" s="2" customFormat="1" ht="92.25" customHeight="1" x14ac:dyDescent="0.2">
      <c r="A9" s="155"/>
      <c r="B9" s="158" t="s">
        <v>18</v>
      </c>
      <c r="C9" s="32" t="s">
        <v>19</v>
      </c>
      <c r="D9" s="33">
        <v>550000</v>
      </c>
      <c r="E9" s="1"/>
      <c r="F9" s="13">
        <f>D9</f>
        <v>550000</v>
      </c>
      <c r="G9" s="13"/>
      <c r="H9" s="1"/>
      <c r="I9" s="1"/>
      <c r="K9" s="159"/>
    </row>
    <row r="10" spans="1:129" s="160" customFormat="1" ht="29.25" x14ac:dyDescent="0.2">
      <c r="A10" s="155"/>
      <c r="B10" s="158" t="s">
        <v>20</v>
      </c>
      <c r="C10" s="26" t="s">
        <v>21</v>
      </c>
      <c r="D10" s="33">
        <v>30000</v>
      </c>
      <c r="E10" s="1"/>
      <c r="F10" s="13">
        <f t="shared" ref="F10" si="3">D10</f>
        <v>30000</v>
      </c>
      <c r="G10" s="13"/>
      <c r="H10" s="1"/>
      <c r="I10" s="1"/>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row>
    <row r="11" spans="1:129" s="14" customFormat="1" ht="68.25" customHeight="1" x14ac:dyDescent="0.2">
      <c r="A11" s="155"/>
      <c r="B11" s="158" t="s">
        <v>22</v>
      </c>
      <c r="C11" s="15" t="s">
        <v>23</v>
      </c>
      <c r="D11" s="37">
        <v>3500000</v>
      </c>
      <c r="E11" s="1"/>
      <c r="F11" s="1"/>
      <c r="G11" s="1"/>
      <c r="H11" s="13">
        <f>D11</f>
        <v>3500000</v>
      </c>
      <c r="I11" s="13"/>
    </row>
    <row r="12" spans="1:129" s="14" customFormat="1" ht="75" customHeight="1" x14ac:dyDescent="0.2">
      <c r="A12" s="155"/>
      <c r="B12" s="158" t="s">
        <v>24</v>
      </c>
      <c r="C12" s="15" t="s">
        <v>25</v>
      </c>
      <c r="D12" s="37">
        <v>5300000</v>
      </c>
      <c r="E12" s="1"/>
      <c r="F12" s="1"/>
      <c r="G12" s="1"/>
      <c r="H12" s="13">
        <f t="shared" ref="H12:H14" si="4">D12</f>
        <v>5300000</v>
      </c>
      <c r="I12" s="13"/>
    </row>
    <row r="13" spans="1:129" s="14" customFormat="1" ht="57.75" x14ac:dyDescent="0.2">
      <c r="A13" s="155"/>
      <c r="B13" s="158" t="s">
        <v>26</v>
      </c>
      <c r="C13" s="15" t="s">
        <v>27</v>
      </c>
      <c r="D13" s="37">
        <v>4850000</v>
      </c>
      <c r="E13" s="1"/>
      <c r="F13" s="1"/>
      <c r="G13" s="1"/>
      <c r="H13" s="13">
        <f t="shared" si="4"/>
        <v>4850000</v>
      </c>
      <c r="I13" s="13"/>
      <c r="K13" s="161"/>
    </row>
    <row r="14" spans="1:129" s="14" customFormat="1" ht="47.1" customHeight="1" x14ac:dyDescent="0.2">
      <c r="A14" s="155"/>
      <c r="B14" s="158" t="s">
        <v>28</v>
      </c>
      <c r="C14" s="15" t="s">
        <v>29</v>
      </c>
      <c r="D14" s="37">
        <v>8500000</v>
      </c>
      <c r="E14" s="1"/>
      <c r="F14" s="1"/>
      <c r="G14" s="1"/>
      <c r="H14" s="13">
        <f t="shared" si="4"/>
        <v>8500000</v>
      </c>
      <c r="I14" s="13"/>
    </row>
    <row r="15" spans="1:129" s="14" customFormat="1" x14ac:dyDescent="0.2">
      <c r="A15" s="155"/>
      <c r="B15" s="158" t="s">
        <v>30</v>
      </c>
      <c r="C15" s="12" t="s">
        <v>31</v>
      </c>
      <c r="D15" s="37">
        <f>D14*3%</f>
        <v>255000</v>
      </c>
      <c r="E15" s="1"/>
      <c r="F15" s="13">
        <f>D15</f>
        <v>255000</v>
      </c>
      <c r="G15" s="1"/>
      <c r="H15" s="1"/>
      <c r="I15" s="1"/>
    </row>
    <row r="16" spans="1:129" s="2" customFormat="1" ht="59.25" customHeight="1" x14ac:dyDescent="0.2">
      <c r="A16" s="155"/>
      <c r="B16" s="158" t="s">
        <v>32</v>
      </c>
      <c r="C16" s="38" t="s">
        <v>33</v>
      </c>
      <c r="D16" s="37">
        <v>750000</v>
      </c>
      <c r="E16" s="1"/>
      <c r="G16" s="1"/>
      <c r="H16" s="1"/>
      <c r="I16" s="13">
        <f>D16</f>
        <v>750000</v>
      </c>
    </row>
    <row r="17" spans="1:10" x14ac:dyDescent="0.2">
      <c r="B17" s="158" t="s">
        <v>34</v>
      </c>
      <c r="C17" s="38" t="s">
        <v>35</v>
      </c>
      <c r="D17" s="37">
        <v>252000</v>
      </c>
      <c r="E17" s="13">
        <v>252000</v>
      </c>
    </row>
    <row r="18" spans="1:10" x14ac:dyDescent="0.2">
      <c r="B18" s="158" t="s">
        <v>36</v>
      </c>
      <c r="C18" s="38" t="s">
        <v>37</v>
      </c>
      <c r="D18" s="37">
        <v>252000</v>
      </c>
      <c r="E18" s="13">
        <v>252000</v>
      </c>
    </row>
    <row r="19" spans="1:10" s="157" customFormat="1" ht="60.75" customHeight="1" x14ac:dyDescent="0.2">
      <c r="A19" s="155" t="s">
        <v>38</v>
      </c>
      <c r="B19" s="35">
        <v>1.2</v>
      </c>
      <c r="C19" s="35" t="s">
        <v>39</v>
      </c>
      <c r="D19" s="39">
        <f>SUM(D20:D23)</f>
        <v>9586000</v>
      </c>
      <c r="E19" s="39">
        <f t="shared" ref="E19:I19" si="5">SUM(E20:E23)</f>
        <v>216000</v>
      </c>
      <c r="F19" s="39">
        <f t="shared" si="5"/>
        <v>550000</v>
      </c>
      <c r="G19" s="39">
        <f t="shared" si="5"/>
        <v>0</v>
      </c>
      <c r="H19" s="39">
        <f t="shared" si="5"/>
        <v>8820000</v>
      </c>
      <c r="I19" s="39">
        <f t="shared" si="5"/>
        <v>0</v>
      </c>
      <c r="J19" s="36">
        <f>SUM(E19:I19)</f>
        <v>9586000</v>
      </c>
    </row>
    <row r="20" spans="1:10" s="43" customFormat="1" ht="33.75" customHeight="1" x14ac:dyDescent="0.2">
      <c r="A20" s="42"/>
      <c r="B20" s="158" t="s">
        <v>40</v>
      </c>
      <c r="C20" s="16" t="s">
        <v>41</v>
      </c>
      <c r="D20" s="34">
        <f>5900000+1220000-620000</f>
        <v>6500000</v>
      </c>
      <c r="E20" s="3"/>
      <c r="F20" s="3"/>
      <c r="G20" s="3"/>
      <c r="H20" s="4">
        <f>D20</f>
        <v>6500000</v>
      </c>
      <c r="I20" s="4"/>
    </row>
    <row r="21" spans="1:10" s="43" customFormat="1" ht="72" customHeight="1" x14ac:dyDescent="0.2">
      <c r="A21" s="42"/>
      <c r="B21" s="158" t="s">
        <v>42</v>
      </c>
      <c r="C21" s="15" t="s">
        <v>43</v>
      </c>
      <c r="D21" s="34">
        <f>2000000+620000+200000-500000</f>
        <v>2320000</v>
      </c>
      <c r="E21" s="3"/>
      <c r="F21" s="3"/>
      <c r="G21" s="3"/>
      <c r="H21" s="4">
        <f>D21</f>
        <v>2320000</v>
      </c>
      <c r="I21" s="4"/>
    </row>
    <row r="22" spans="1:10" s="43" customFormat="1" x14ac:dyDescent="0.2">
      <c r="A22" s="42"/>
      <c r="B22" s="158" t="s">
        <v>44</v>
      </c>
      <c r="C22" s="15" t="s">
        <v>45</v>
      </c>
      <c r="D22" s="34">
        <v>550000</v>
      </c>
      <c r="E22" s="3"/>
      <c r="F22" s="4">
        <f>D22</f>
        <v>550000</v>
      </c>
      <c r="G22" s="3"/>
      <c r="H22" s="3"/>
      <c r="I22" s="3"/>
    </row>
    <row r="23" spans="1:10" x14ac:dyDescent="0.2">
      <c r="B23" s="158" t="s">
        <v>46</v>
      </c>
      <c r="C23" s="15" t="s">
        <v>47</v>
      </c>
      <c r="D23" s="37">
        <f>3000*72</f>
        <v>216000</v>
      </c>
      <c r="E23" s="13">
        <f>D23</f>
        <v>216000</v>
      </c>
    </row>
    <row r="24" spans="1:10" s="43" customFormat="1" ht="46.5" customHeight="1" x14ac:dyDescent="0.2">
      <c r="A24" s="42" t="s">
        <v>48</v>
      </c>
      <c r="B24" s="35">
        <v>1.3</v>
      </c>
      <c r="C24" s="35" t="s">
        <v>49</v>
      </c>
      <c r="D24" s="36">
        <f>SUM(D25:D26)</f>
        <v>1830000</v>
      </c>
      <c r="E24" s="36">
        <f t="shared" ref="E24:I24" si="6">SUM(E25:E26)</f>
        <v>0</v>
      </c>
      <c r="F24" s="36">
        <f t="shared" si="6"/>
        <v>180000</v>
      </c>
      <c r="G24" s="36">
        <f t="shared" si="6"/>
        <v>0</v>
      </c>
      <c r="H24" s="36">
        <f t="shared" si="6"/>
        <v>1650000</v>
      </c>
      <c r="I24" s="36">
        <f t="shared" si="6"/>
        <v>0</v>
      </c>
      <c r="J24" s="36">
        <f>SUM(E24:I24)</f>
        <v>1830000</v>
      </c>
    </row>
    <row r="25" spans="1:10" s="43" customFormat="1" ht="42" customHeight="1" x14ac:dyDescent="0.2">
      <c r="A25" s="42"/>
      <c r="B25" s="158" t="s">
        <v>50</v>
      </c>
      <c r="C25" s="16" t="s">
        <v>51</v>
      </c>
      <c r="D25" s="37">
        <v>180000</v>
      </c>
      <c r="E25" s="3"/>
      <c r="F25" s="4">
        <f>D25</f>
        <v>180000</v>
      </c>
      <c r="G25" s="3"/>
      <c r="H25" s="3"/>
      <c r="I25" s="3"/>
      <c r="J25" s="3"/>
    </row>
    <row r="26" spans="1:10" s="43" customFormat="1" ht="30" customHeight="1" x14ac:dyDescent="0.2">
      <c r="A26" s="42"/>
      <c r="B26" s="158" t="s">
        <v>52</v>
      </c>
      <c r="C26" s="17" t="s">
        <v>53</v>
      </c>
      <c r="D26" s="34">
        <v>1650000</v>
      </c>
      <c r="E26" s="3"/>
      <c r="F26" s="3"/>
      <c r="G26" s="3"/>
      <c r="H26" s="4">
        <f>D26</f>
        <v>1650000</v>
      </c>
      <c r="I26" s="4"/>
      <c r="J26" s="3"/>
    </row>
    <row r="27" spans="1:10" s="157" customFormat="1" ht="45" customHeight="1" x14ac:dyDescent="0.2">
      <c r="A27" s="155" t="s">
        <v>54</v>
      </c>
      <c r="B27" s="35">
        <v>1.4</v>
      </c>
      <c r="C27" s="35" t="s">
        <v>55</v>
      </c>
      <c r="D27" s="36">
        <f>SUM(D28:D37)</f>
        <v>6022000</v>
      </c>
      <c r="E27" s="36">
        <f t="shared" ref="E27:I27" si="7">SUM(E28:E37)</f>
        <v>292000</v>
      </c>
      <c r="F27" s="36">
        <f t="shared" si="7"/>
        <v>120000</v>
      </c>
      <c r="G27" s="36">
        <f t="shared" si="7"/>
        <v>0</v>
      </c>
      <c r="H27" s="36">
        <f t="shared" si="7"/>
        <v>3050000</v>
      </c>
      <c r="I27" s="36">
        <f t="shared" si="7"/>
        <v>2560000</v>
      </c>
      <c r="J27" s="36">
        <f>SUM(E27:I27)</f>
        <v>6022000</v>
      </c>
    </row>
    <row r="28" spans="1:10" s="2" customFormat="1" ht="33" customHeight="1" x14ac:dyDescent="0.2">
      <c r="A28" s="155"/>
      <c r="B28" s="158" t="s">
        <v>56</v>
      </c>
      <c r="C28" s="38" t="s">
        <v>57</v>
      </c>
      <c r="D28" s="37">
        <v>350000</v>
      </c>
      <c r="E28" s="1"/>
      <c r="F28" s="1"/>
      <c r="G28" s="1"/>
      <c r="H28" s="13">
        <f>D28</f>
        <v>350000</v>
      </c>
      <c r="I28" s="13"/>
      <c r="J28" s="1"/>
    </row>
    <row r="29" spans="1:10" s="2" customFormat="1" ht="15" x14ac:dyDescent="0.2">
      <c r="A29" s="155"/>
      <c r="B29" s="158" t="s">
        <v>58</v>
      </c>
      <c r="C29" s="18" t="s">
        <v>59</v>
      </c>
      <c r="D29" s="37">
        <v>40000</v>
      </c>
      <c r="E29" s="13">
        <f>D29</f>
        <v>40000</v>
      </c>
      <c r="F29" s="1"/>
      <c r="G29" s="1"/>
      <c r="H29" s="1"/>
      <c r="I29" s="1"/>
      <c r="J29" s="1"/>
    </row>
    <row r="30" spans="1:10" s="2" customFormat="1" ht="14.45" customHeight="1" x14ac:dyDescent="0.2">
      <c r="A30" s="155"/>
      <c r="B30" s="158" t="s">
        <v>60</v>
      </c>
      <c r="C30" s="18" t="s">
        <v>61</v>
      </c>
      <c r="D30" s="37">
        <v>400000</v>
      </c>
      <c r="E30" s="1"/>
      <c r="G30" s="1"/>
      <c r="H30" s="1"/>
      <c r="I30" s="13">
        <f>D30</f>
        <v>400000</v>
      </c>
      <c r="J30" s="1"/>
    </row>
    <row r="31" spans="1:10" s="2" customFormat="1" ht="29.25" x14ac:dyDescent="0.2">
      <c r="A31" s="155"/>
      <c r="B31" s="158" t="s">
        <v>62</v>
      </c>
      <c r="C31" s="38" t="s">
        <v>63</v>
      </c>
      <c r="D31" s="37">
        <v>2000000</v>
      </c>
      <c r="E31" s="1"/>
      <c r="F31" s="1"/>
      <c r="G31" s="1"/>
      <c r="H31" s="13">
        <f>D31</f>
        <v>2000000</v>
      </c>
      <c r="J31" s="1"/>
    </row>
    <row r="32" spans="1:10" s="2" customFormat="1" ht="54" customHeight="1" x14ac:dyDescent="0.2">
      <c r="A32" s="155"/>
      <c r="B32" s="158" t="s">
        <v>64</v>
      </c>
      <c r="C32" s="38" t="s">
        <v>65</v>
      </c>
      <c r="D32" s="37">
        <v>700000</v>
      </c>
      <c r="E32" s="1"/>
      <c r="F32" s="1"/>
      <c r="G32" s="1"/>
      <c r="H32" s="13">
        <f>D32</f>
        <v>700000</v>
      </c>
      <c r="I32" s="13"/>
      <c r="J32" s="1"/>
    </row>
    <row r="33" spans="1:10" s="2" customFormat="1" ht="29.25" x14ac:dyDescent="0.2">
      <c r="A33" s="155"/>
      <c r="B33" s="158" t="s">
        <v>66</v>
      </c>
      <c r="C33" s="18" t="s">
        <v>67</v>
      </c>
      <c r="D33" s="37">
        <v>120000</v>
      </c>
      <c r="E33" s="1"/>
      <c r="F33" s="13">
        <f>D33</f>
        <v>120000</v>
      </c>
      <c r="G33" s="1"/>
      <c r="H33" s="1"/>
      <c r="I33" s="1"/>
      <c r="J33" s="1"/>
    </row>
    <row r="34" spans="1:10" s="2" customFormat="1" ht="13.5" customHeight="1" x14ac:dyDescent="0.2">
      <c r="A34" s="155"/>
      <c r="B34" s="158" t="s">
        <v>68</v>
      </c>
      <c r="C34" s="18" t="s">
        <v>69</v>
      </c>
      <c r="D34" s="37">
        <v>1000000</v>
      </c>
      <c r="E34" s="1"/>
      <c r="F34" s="1"/>
      <c r="G34" s="1"/>
      <c r="I34" s="13">
        <f>D34</f>
        <v>1000000</v>
      </c>
      <c r="J34" s="1"/>
    </row>
    <row r="35" spans="1:10" s="2" customFormat="1" ht="15" customHeight="1" x14ac:dyDescent="0.2">
      <c r="A35" s="155"/>
      <c r="B35" s="158" t="s">
        <v>70</v>
      </c>
      <c r="C35" s="18" t="s">
        <v>71</v>
      </c>
      <c r="D35" s="37">
        <v>660000</v>
      </c>
      <c r="E35" s="1"/>
      <c r="F35" s="1"/>
      <c r="G35" s="1"/>
      <c r="I35" s="13">
        <f>D35</f>
        <v>660000</v>
      </c>
      <c r="J35" s="1"/>
    </row>
    <row r="36" spans="1:10" s="2" customFormat="1" ht="15" customHeight="1" x14ac:dyDescent="0.2">
      <c r="A36" s="155"/>
      <c r="B36" s="158" t="s">
        <v>72</v>
      </c>
      <c r="C36" s="18" t="s">
        <v>73</v>
      </c>
      <c r="D36" s="37">
        <v>500000</v>
      </c>
      <c r="E36" s="1"/>
      <c r="F36" s="1"/>
      <c r="G36" s="1"/>
      <c r="I36" s="13">
        <f>D36</f>
        <v>500000</v>
      </c>
      <c r="J36" s="1"/>
    </row>
    <row r="37" spans="1:10" ht="15" x14ac:dyDescent="0.2">
      <c r="B37" s="158" t="s">
        <v>74</v>
      </c>
      <c r="C37" s="18" t="s">
        <v>75</v>
      </c>
      <c r="D37" s="37">
        <f>3500*72</f>
        <v>252000</v>
      </c>
      <c r="E37" s="13">
        <f>D37</f>
        <v>252000</v>
      </c>
    </row>
    <row r="38" spans="1:10" s="157" customFormat="1" ht="46.5" customHeight="1" x14ac:dyDescent="0.2">
      <c r="A38" s="155" t="s">
        <v>76</v>
      </c>
      <c r="B38" s="35">
        <v>1.5</v>
      </c>
      <c r="C38" s="35" t="s">
        <v>77</v>
      </c>
      <c r="D38" s="36">
        <f>SUM(D39:D41)</f>
        <v>2678000</v>
      </c>
      <c r="E38" s="36">
        <f t="shared" ref="E38:I38" si="8">SUM(E39:E41)</f>
        <v>0</v>
      </c>
      <c r="F38" s="36">
        <f t="shared" si="8"/>
        <v>30000</v>
      </c>
      <c r="G38" s="36">
        <f t="shared" si="8"/>
        <v>0</v>
      </c>
      <c r="H38" s="36">
        <f t="shared" si="8"/>
        <v>2648000</v>
      </c>
      <c r="I38" s="36">
        <f t="shared" si="8"/>
        <v>0</v>
      </c>
      <c r="J38" s="36">
        <f>SUM(E38:I38)</f>
        <v>2678000</v>
      </c>
    </row>
    <row r="39" spans="1:10" s="2" customFormat="1" ht="17.45" customHeight="1" x14ac:dyDescent="0.2">
      <c r="A39" s="155"/>
      <c r="B39" s="158" t="s">
        <v>78</v>
      </c>
      <c r="C39" s="19" t="s">
        <v>79</v>
      </c>
      <c r="D39" s="37">
        <v>30000</v>
      </c>
      <c r="E39" s="1"/>
      <c r="F39" s="13">
        <f>D39</f>
        <v>30000</v>
      </c>
      <c r="G39" s="1"/>
      <c r="H39" s="1"/>
      <c r="I39" s="1"/>
    </row>
    <row r="40" spans="1:10" s="2" customFormat="1" ht="46.5" customHeight="1" x14ac:dyDescent="0.2">
      <c r="A40" s="155"/>
      <c r="B40" s="158" t="s">
        <v>80</v>
      </c>
      <c r="C40" s="19" t="s">
        <v>81</v>
      </c>
      <c r="D40" s="37">
        <v>340000</v>
      </c>
      <c r="E40" s="1"/>
      <c r="F40" s="1"/>
      <c r="G40" s="1"/>
      <c r="H40" s="13">
        <f>D40</f>
        <v>340000</v>
      </c>
      <c r="I40" s="13"/>
    </row>
    <row r="41" spans="1:10" s="2" customFormat="1" ht="30.75" customHeight="1" x14ac:dyDescent="0.2">
      <c r="A41" s="155"/>
      <c r="B41" s="158" t="s">
        <v>82</v>
      </c>
      <c r="C41" s="19" t="s">
        <v>83</v>
      </c>
      <c r="D41" s="37">
        <v>2308000</v>
      </c>
      <c r="E41" s="1"/>
      <c r="F41" s="1"/>
      <c r="G41" s="1"/>
      <c r="H41" s="13">
        <f>D41</f>
        <v>2308000</v>
      </c>
      <c r="I41" s="13"/>
    </row>
    <row r="42" spans="1:10" s="157" customFormat="1" ht="43.5" customHeight="1" x14ac:dyDescent="0.2">
      <c r="A42" s="155" t="s">
        <v>84</v>
      </c>
      <c r="B42" s="35">
        <v>1.6</v>
      </c>
      <c r="C42" s="35" t="s">
        <v>85</v>
      </c>
      <c r="D42" s="36">
        <f>SUM(D43)</f>
        <v>3000000</v>
      </c>
      <c r="E42" s="36">
        <f t="shared" ref="E42:I42" si="9">SUM(E43)</f>
        <v>0</v>
      </c>
      <c r="F42" s="36">
        <f t="shared" si="9"/>
        <v>0</v>
      </c>
      <c r="G42" s="36">
        <f t="shared" si="9"/>
        <v>3000000</v>
      </c>
      <c r="H42" s="36">
        <f t="shared" si="9"/>
        <v>0</v>
      </c>
      <c r="I42" s="36">
        <f t="shared" si="9"/>
        <v>0</v>
      </c>
      <c r="J42" s="36">
        <f>SUM(E42:I42)</f>
        <v>3000000</v>
      </c>
    </row>
    <row r="43" spans="1:10" s="2" customFormat="1" ht="33.75" customHeight="1" x14ac:dyDescent="0.2">
      <c r="A43" s="155"/>
      <c r="B43" s="158" t="s">
        <v>86</v>
      </c>
      <c r="C43" s="19" t="s">
        <v>87</v>
      </c>
      <c r="D43" s="37">
        <v>3000000</v>
      </c>
      <c r="E43" s="1"/>
      <c r="G43" s="13">
        <f>D43</f>
        <v>3000000</v>
      </c>
      <c r="I43" s="1"/>
    </row>
    <row r="44" spans="1:10" s="157" customFormat="1" ht="102.75" customHeight="1" x14ac:dyDescent="0.2">
      <c r="A44" s="155" t="s">
        <v>88</v>
      </c>
      <c r="B44" s="35">
        <v>1.7</v>
      </c>
      <c r="C44" s="35" t="s">
        <v>89</v>
      </c>
      <c r="D44" s="36">
        <f>SUM(D45:D47)</f>
        <v>1230000</v>
      </c>
      <c r="E44" s="36">
        <f t="shared" ref="E44" si="10">SUM(E45:E47)</f>
        <v>0</v>
      </c>
      <c r="F44" s="36">
        <f>SUM(F45:F47)</f>
        <v>30000</v>
      </c>
      <c r="G44" s="36">
        <f>SUM(G45:G47)</f>
        <v>1200000</v>
      </c>
      <c r="H44" s="36">
        <f t="shared" ref="H44:I44" si="11">SUM(H45:H47)</f>
        <v>0</v>
      </c>
      <c r="I44" s="36">
        <f t="shared" si="11"/>
        <v>0</v>
      </c>
      <c r="J44" s="36">
        <f>SUM(E44:I44)</f>
        <v>1230000</v>
      </c>
    </row>
    <row r="45" spans="1:10" s="2" customFormat="1" ht="15" x14ac:dyDescent="0.2">
      <c r="A45" s="155"/>
      <c r="B45" s="158" t="s">
        <v>90</v>
      </c>
      <c r="C45" s="38" t="s">
        <v>91</v>
      </c>
      <c r="D45" s="37">
        <v>300000</v>
      </c>
      <c r="E45" s="1"/>
      <c r="G45" s="13">
        <f>D45</f>
        <v>300000</v>
      </c>
      <c r="H45" s="1"/>
      <c r="I45" s="1"/>
    </row>
    <row r="46" spans="1:10" s="2" customFormat="1" ht="15" x14ac:dyDescent="0.2">
      <c r="A46" s="155"/>
      <c r="B46" s="158" t="s">
        <v>92</v>
      </c>
      <c r="C46" s="19" t="s">
        <v>93</v>
      </c>
      <c r="D46" s="37">
        <v>30000</v>
      </c>
      <c r="E46" s="1"/>
      <c r="F46" s="13">
        <f>D46</f>
        <v>30000</v>
      </c>
      <c r="G46" s="1"/>
      <c r="H46" s="1"/>
      <c r="I46" s="1"/>
    </row>
    <row r="47" spans="1:10" s="2" customFormat="1" ht="30" customHeight="1" x14ac:dyDescent="0.2">
      <c r="A47" s="155"/>
      <c r="B47" s="158" t="s">
        <v>94</v>
      </c>
      <c r="C47" s="19" t="s">
        <v>95</v>
      </c>
      <c r="D47" s="37">
        <v>900000</v>
      </c>
      <c r="E47" s="1"/>
      <c r="G47" s="13">
        <f>D47</f>
        <v>900000</v>
      </c>
      <c r="H47" s="1"/>
      <c r="I47" s="1"/>
    </row>
    <row r="48" spans="1:10" ht="15.75" x14ac:dyDescent="0.2">
      <c r="B48" s="156">
        <v>2</v>
      </c>
      <c r="C48" s="20" t="s">
        <v>96</v>
      </c>
      <c r="D48" s="21">
        <f>D49+D57+D65</f>
        <v>11692000</v>
      </c>
      <c r="E48" s="21">
        <f t="shared" ref="E48:I48" si="12">E49+E57+E65</f>
        <v>387000</v>
      </c>
      <c r="F48" s="21">
        <f t="shared" si="12"/>
        <v>2165000</v>
      </c>
      <c r="G48" s="21">
        <f t="shared" si="12"/>
        <v>0</v>
      </c>
      <c r="H48" s="21">
        <f t="shared" si="12"/>
        <v>9140000</v>
      </c>
      <c r="I48" s="21">
        <f t="shared" si="12"/>
        <v>0</v>
      </c>
      <c r="J48" s="21">
        <f>SUM(E48:H48)</f>
        <v>11692000</v>
      </c>
    </row>
    <row r="49" spans="1:10" s="2" customFormat="1" ht="111" customHeight="1" x14ac:dyDescent="0.2">
      <c r="A49" s="155" t="s">
        <v>10</v>
      </c>
      <c r="B49" s="35">
        <v>2.1</v>
      </c>
      <c r="C49" s="35" t="s">
        <v>97</v>
      </c>
      <c r="D49" s="36">
        <f>SUM(D50:D56)</f>
        <v>2527000</v>
      </c>
      <c r="E49" s="36">
        <f t="shared" ref="E49:I49" si="13">SUM(E50:E56)</f>
        <v>362000</v>
      </c>
      <c r="F49" s="36">
        <f t="shared" si="13"/>
        <v>865000</v>
      </c>
      <c r="G49" s="36">
        <f t="shared" si="13"/>
        <v>0</v>
      </c>
      <c r="H49" s="36">
        <f t="shared" si="13"/>
        <v>1300000</v>
      </c>
      <c r="I49" s="36">
        <f t="shared" si="13"/>
        <v>0</v>
      </c>
      <c r="J49" s="36">
        <f>SUM(E49:I49)</f>
        <v>2527000</v>
      </c>
    </row>
    <row r="50" spans="1:10" s="2" customFormat="1" ht="60.75" customHeight="1" x14ac:dyDescent="0.2">
      <c r="A50" s="155"/>
      <c r="B50" s="158" t="s">
        <v>98</v>
      </c>
      <c r="C50" s="38" t="s">
        <v>99</v>
      </c>
      <c r="D50" s="37">
        <v>25000</v>
      </c>
      <c r="E50" s="1"/>
      <c r="F50" s="13">
        <f>D50</f>
        <v>25000</v>
      </c>
      <c r="G50" s="1"/>
      <c r="H50" s="1"/>
      <c r="I50" s="1"/>
    </row>
    <row r="51" spans="1:10" ht="114" x14ac:dyDescent="0.2">
      <c r="B51" s="158" t="s">
        <v>100</v>
      </c>
      <c r="C51" s="38" t="s">
        <v>101</v>
      </c>
      <c r="D51" s="37">
        <v>500000</v>
      </c>
      <c r="F51" s="13">
        <f>D51</f>
        <v>500000</v>
      </c>
    </row>
    <row r="52" spans="1:10" ht="30" customHeight="1" x14ac:dyDescent="0.2">
      <c r="B52" s="158" t="s">
        <v>102</v>
      </c>
      <c r="C52" s="38" t="s">
        <v>103</v>
      </c>
      <c r="D52" s="37">
        <v>50000</v>
      </c>
      <c r="E52" s="13">
        <f>D52</f>
        <v>50000</v>
      </c>
    </row>
    <row r="53" spans="1:10" ht="35.25" customHeight="1" x14ac:dyDescent="0.2">
      <c r="B53" s="158" t="s">
        <v>104</v>
      </c>
      <c r="C53" s="38" t="s">
        <v>105</v>
      </c>
      <c r="D53" s="37">
        <v>340000</v>
      </c>
      <c r="F53" s="13">
        <f>D53</f>
        <v>340000</v>
      </c>
    </row>
    <row r="54" spans="1:10" ht="33.75" customHeight="1" x14ac:dyDescent="0.2">
      <c r="B54" s="158" t="s">
        <v>106</v>
      </c>
      <c r="C54" s="38" t="s">
        <v>107</v>
      </c>
      <c r="D54" s="37">
        <v>1300000</v>
      </c>
      <c r="H54" s="13">
        <f>D54</f>
        <v>1300000</v>
      </c>
      <c r="I54" s="13"/>
    </row>
    <row r="55" spans="1:10" ht="31.5" customHeight="1" x14ac:dyDescent="0.2">
      <c r="B55" s="158" t="s">
        <v>108</v>
      </c>
      <c r="C55" s="38" t="s">
        <v>109</v>
      </c>
      <c r="D55" s="37">
        <v>60000</v>
      </c>
      <c r="E55" s="13">
        <f>D55</f>
        <v>60000</v>
      </c>
    </row>
    <row r="56" spans="1:10" x14ac:dyDescent="0.2">
      <c r="B56" s="158" t="s">
        <v>110</v>
      </c>
      <c r="C56" s="38" t="s">
        <v>111</v>
      </c>
      <c r="D56" s="37">
        <f>3500*72</f>
        <v>252000</v>
      </c>
      <c r="E56" s="13">
        <f>D56</f>
        <v>252000</v>
      </c>
    </row>
    <row r="57" spans="1:10" ht="90" x14ac:dyDescent="0.2">
      <c r="A57" s="155" t="s">
        <v>38</v>
      </c>
      <c r="B57" s="35">
        <v>2.2000000000000002</v>
      </c>
      <c r="C57" s="35" t="s">
        <v>112</v>
      </c>
      <c r="D57" s="36">
        <f>SUM(D58:D64)</f>
        <v>2275000</v>
      </c>
      <c r="E57" s="36">
        <f t="shared" ref="E57:H57" si="14">SUM(E58:E64)</f>
        <v>25000</v>
      </c>
      <c r="F57" s="36">
        <f t="shared" si="14"/>
        <v>750000</v>
      </c>
      <c r="G57" s="36">
        <f t="shared" si="14"/>
        <v>0</v>
      </c>
      <c r="H57" s="36">
        <f t="shared" si="14"/>
        <v>1500000</v>
      </c>
      <c r="I57" s="36"/>
      <c r="J57" s="36">
        <f>SUM(E57:I57)</f>
        <v>2275000</v>
      </c>
    </row>
    <row r="58" spans="1:10" ht="75" customHeight="1" x14ac:dyDescent="0.2">
      <c r="B58" s="158" t="s">
        <v>113</v>
      </c>
      <c r="C58" s="38" t="s">
        <v>114</v>
      </c>
      <c r="D58" s="37">
        <v>25000</v>
      </c>
      <c r="E58" s="13">
        <f>D58</f>
        <v>25000</v>
      </c>
    </row>
    <row r="59" spans="1:10" ht="28.5" x14ac:dyDescent="0.2">
      <c r="B59" s="158" t="s">
        <v>115</v>
      </c>
      <c r="C59" s="38" t="s">
        <v>116</v>
      </c>
      <c r="D59" s="37">
        <v>250000</v>
      </c>
      <c r="F59" s="13">
        <f>D59</f>
        <v>250000</v>
      </c>
    </row>
    <row r="60" spans="1:10" ht="28.5" x14ac:dyDescent="0.2">
      <c r="B60" s="158" t="s">
        <v>117</v>
      </c>
      <c r="C60" s="38" t="s">
        <v>118</v>
      </c>
      <c r="D60" s="37">
        <v>1500000</v>
      </c>
      <c r="H60" s="13">
        <f>D60</f>
        <v>1500000</v>
      </c>
      <c r="I60" s="13"/>
    </row>
    <row r="61" spans="1:10" ht="28.5" x14ac:dyDescent="0.2">
      <c r="B61" s="158" t="s">
        <v>119</v>
      </c>
      <c r="C61" s="38" t="s">
        <v>120</v>
      </c>
      <c r="D61" s="37">
        <v>150000</v>
      </c>
      <c r="F61" s="13">
        <f>D61</f>
        <v>150000</v>
      </c>
    </row>
    <row r="62" spans="1:10" ht="46.5" customHeight="1" x14ac:dyDescent="0.2">
      <c r="B62" s="158" t="s">
        <v>121</v>
      </c>
      <c r="C62" s="38" t="s">
        <v>122</v>
      </c>
      <c r="D62" s="37">
        <v>100000</v>
      </c>
      <c r="F62" s="13">
        <f t="shared" ref="F62:F63" si="15">D62</f>
        <v>100000</v>
      </c>
    </row>
    <row r="63" spans="1:10" ht="42.75" x14ac:dyDescent="0.2">
      <c r="B63" s="158" t="s">
        <v>123</v>
      </c>
      <c r="C63" s="38" t="s">
        <v>124</v>
      </c>
      <c r="D63" s="37">
        <v>250000</v>
      </c>
      <c r="F63" s="13">
        <f t="shared" si="15"/>
        <v>250000</v>
      </c>
    </row>
    <row r="64" spans="1:10" ht="7.5" customHeight="1" x14ac:dyDescent="0.2">
      <c r="B64" s="158"/>
      <c r="C64" s="38"/>
      <c r="D64" s="37"/>
      <c r="F64" s="13"/>
    </row>
    <row r="65" spans="1:10" ht="93.75" customHeight="1" x14ac:dyDescent="0.2">
      <c r="A65" s="155" t="s">
        <v>76</v>
      </c>
      <c r="B65" s="35">
        <v>2.2999999999999998</v>
      </c>
      <c r="C65" s="22" t="s">
        <v>125</v>
      </c>
      <c r="D65" s="36">
        <f>SUM(D66:D69)</f>
        <v>6890000</v>
      </c>
      <c r="E65" s="36">
        <f t="shared" ref="E65:I65" si="16">SUM(E66:E69)</f>
        <v>0</v>
      </c>
      <c r="F65" s="36">
        <f t="shared" si="16"/>
        <v>550000</v>
      </c>
      <c r="G65" s="36">
        <f t="shared" si="16"/>
        <v>0</v>
      </c>
      <c r="H65" s="36">
        <f t="shared" si="16"/>
        <v>6340000</v>
      </c>
      <c r="I65" s="36">
        <f t="shared" si="16"/>
        <v>0</v>
      </c>
      <c r="J65" s="36">
        <f>SUM(E65:I65)</f>
        <v>6890000</v>
      </c>
    </row>
    <row r="66" spans="1:10" ht="35.25" customHeight="1" x14ac:dyDescent="0.2">
      <c r="B66" s="158" t="s">
        <v>126</v>
      </c>
      <c r="C66" s="23" t="s">
        <v>127</v>
      </c>
      <c r="D66" s="37">
        <v>250000</v>
      </c>
      <c r="F66" s="13">
        <f>D66</f>
        <v>250000</v>
      </c>
    </row>
    <row r="67" spans="1:10" ht="36" customHeight="1" x14ac:dyDescent="0.2">
      <c r="B67" s="158" t="s">
        <v>128</v>
      </c>
      <c r="C67" s="38" t="s">
        <v>129</v>
      </c>
      <c r="D67" s="37">
        <v>1500000</v>
      </c>
      <c r="H67" s="13">
        <f>D67</f>
        <v>1500000</v>
      </c>
      <c r="I67" s="13"/>
    </row>
    <row r="68" spans="1:10" s="2" customFormat="1" x14ac:dyDescent="0.2">
      <c r="A68" s="155"/>
      <c r="B68" s="158" t="s">
        <v>130</v>
      </c>
      <c r="C68" s="38" t="s">
        <v>131</v>
      </c>
      <c r="D68" s="37">
        <v>300000</v>
      </c>
      <c r="E68" s="1"/>
      <c r="F68" s="13">
        <f>D68</f>
        <v>300000</v>
      </c>
      <c r="G68" s="1"/>
      <c r="H68" s="1"/>
      <c r="I68" s="1"/>
    </row>
    <row r="69" spans="1:10" ht="66" customHeight="1" x14ac:dyDescent="0.2">
      <c r="B69" s="158" t="s">
        <v>132</v>
      </c>
      <c r="C69" s="38" t="s">
        <v>133</v>
      </c>
      <c r="D69" s="34">
        <f>6050000-460000-300000-250000-200000</f>
        <v>4840000</v>
      </c>
      <c r="H69" s="13">
        <f>D69</f>
        <v>4840000</v>
      </c>
      <c r="I69" s="13"/>
    </row>
    <row r="70" spans="1:10" ht="20.25" customHeight="1" x14ac:dyDescent="0.2">
      <c r="B70" s="156">
        <v>3</v>
      </c>
      <c r="C70" s="20" t="s">
        <v>134</v>
      </c>
      <c r="D70" s="21">
        <f>D71+D75+D80+D83</f>
        <v>10046000</v>
      </c>
      <c r="E70" s="21">
        <f t="shared" ref="E70:I70" si="17">E71+E75+E80+E83</f>
        <v>216000</v>
      </c>
      <c r="F70" s="21">
        <f t="shared" si="17"/>
        <v>3350000</v>
      </c>
      <c r="G70" s="21">
        <f t="shared" si="17"/>
        <v>400000</v>
      </c>
      <c r="H70" s="21">
        <f t="shared" si="17"/>
        <v>4980000</v>
      </c>
      <c r="I70" s="21">
        <f t="shared" si="17"/>
        <v>1100000</v>
      </c>
      <c r="J70" s="21">
        <f>SUM(E70:H70)</f>
        <v>8946000</v>
      </c>
    </row>
    <row r="71" spans="1:10" ht="105.75" customHeight="1" x14ac:dyDescent="0.2">
      <c r="A71" s="155" t="s">
        <v>10</v>
      </c>
      <c r="B71" s="35">
        <v>3.1</v>
      </c>
      <c r="C71" s="35" t="s">
        <v>135</v>
      </c>
      <c r="D71" s="36">
        <f>SUM(D72:D74)</f>
        <v>4850000</v>
      </c>
      <c r="E71" s="36">
        <f>SUM(E72:E74)</f>
        <v>0</v>
      </c>
      <c r="F71" s="36">
        <f>SUM(F72:F74)</f>
        <v>850000</v>
      </c>
      <c r="G71" s="36">
        <f t="shared" ref="G71:I71" si="18">SUM(G72:G74)</f>
        <v>0</v>
      </c>
      <c r="H71" s="36">
        <f t="shared" si="18"/>
        <v>4000000</v>
      </c>
      <c r="I71" s="36">
        <f t="shared" si="18"/>
        <v>0</v>
      </c>
      <c r="J71" s="36">
        <f>SUM(E71:I71)</f>
        <v>4850000</v>
      </c>
    </row>
    <row r="72" spans="1:10" ht="28.5" x14ac:dyDescent="0.2">
      <c r="B72" s="158" t="s">
        <v>136</v>
      </c>
      <c r="C72" s="38" t="s">
        <v>137</v>
      </c>
      <c r="D72" s="37">
        <v>350000</v>
      </c>
      <c r="F72" s="13">
        <f>D72</f>
        <v>350000</v>
      </c>
    </row>
    <row r="73" spans="1:10" ht="14.1" customHeight="1" x14ac:dyDescent="0.2">
      <c r="B73" s="158" t="s">
        <v>138</v>
      </c>
      <c r="C73" s="38" t="s">
        <v>139</v>
      </c>
      <c r="D73" s="37">
        <f>3000000+500000+300000+200000</f>
        <v>4000000</v>
      </c>
      <c r="H73" s="13">
        <f>D73</f>
        <v>4000000</v>
      </c>
      <c r="I73" s="13"/>
    </row>
    <row r="74" spans="1:10" ht="42.75" x14ac:dyDescent="0.2">
      <c r="B74" s="158" t="s">
        <v>140</v>
      </c>
      <c r="C74" s="38" t="s">
        <v>141</v>
      </c>
      <c r="D74" s="37">
        <v>500000</v>
      </c>
      <c r="F74" s="13">
        <f>D74</f>
        <v>500000</v>
      </c>
    </row>
    <row r="75" spans="1:10" ht="150.75" customHeight="1" x14ac:dyDescent="0.2">
      <c r="A75" s="155" t="s">
        <v>38</v>
      </c>
      <c r="B75" s="35">
        <v>3.2</v>
      </c>
      <c r="C75" s="35" t="s">
        <v>142</v>
      </c>
      <c r="D75" s="36">
        <f>SUM(D76:D79)</f>
        <v>3180000</v>
      </c>
      <c r="E75" s="36">
        <f t="shared" ref="E75:I75" si="19">SUM(E76:E79)</f>
        <v>0</v>
      </c>
      <c r="F75" s="36">
        <f t="shared" si="19"/>
        <v>1800000</v>
      </c>
      <c r="G75" s="36">
        <f t="shared" si="19"/>
        <v>400000</v>
      </c>
      <c r="H75" s="36">
        <f t="shared" si="19"/>
        <v>980000</v>
      </c>
      <c r="I75" s="36">
        <f t="shared" si="19"/>
        <v>0</v>
      </c>
      <c r="J75" s="36">
        <f>SUM(E75:I75)</f>
        <v>3180000</v>
      </c>
    </row>
    <row r="76" spans="1:10" s="2" customFormat="1" x14ac:dyDescent="0.2">
      <c r="A76" s="155"/>
      <c r="B76" s="158" t="s">
        <v>143</v>
      </c>
      <c r="C76" s="38" t="s">
        <v>144</v>
      </c>
      <c r="D76" s="37">
        <v>200000</v>
      </c>
      <c r="E76" s="1"/>
      <c r="F76" s="13">
        <f>D76</f>
        <v>200000</v>
      </c>
      <c r="G76" s="1"/>
      <c r="H76" s="1"/>
      <c r="I76" s="1"/>
    </row>
    <row r="77" spans="1:10" s="2" customFormat="1" ht="32.25" customHeight="1" x14ac:dyDescent="0.2">
      <c r="A77" s="155"/>
      <c r="B77" s="158" t="s">
        <v>145</v>
      </c>
      <c r="C77" s="38" t="s">
        <v>146</v>
      </c>
      <c r="D77" s="37">
        <v>980000</v>
      </c>
      <c r="E77" s="1"/>
      <c r="F77" s="1"/>
      <c r="G77" s="1"/>
      <c r="H77" s="13">
        <f>D77</f>
        <v>980000</v>
      </c>
      <c r="I77" s="13"/>
    </row>
    <row r="78" spans="1:10" s="2" customFormat="1" ht="28.5" customHeight="1" x14ac:dyDescent="0.2">
      <c r="A78" s="155"/>
      <c r="B78" s="158" t="s">
        <v>147</v>
      </c>
      <c r="C78" s="38" t="s">
        <v>148</v>
      </c>
      <c r="D78" s="37">
        <v>400000</v>
      </c>
      <c r="E78" s="1"/>
      <c r="F78" s="1"/>
      <c r="G78" s="13">
        <f>D78</f>
        <v>400000</v>
      </c>
      <c r="H78" s="1"/>
      <c r="I78" s="1"/>
    </row>
    <row r="79" spans="1:10" ht="44.1" customHeight="1" x14ac:dyDescent="0.2">
      <c r="B79" s="158" t="s">
        <v>149</v>
      </c>
      <c r="C79" s="38" t="s">
        <v>150</v>
      </c>
      <c r="D79" s="37">
        <v>1600000</v>
      </c>
      <c r="F79" s="13">
        <f>D79</f>
        <v>1600000</v>
      </c>
      <c r="H79" s="13"/>
      <c r="I79" s="13"/>
    </row>
    <row r="80" spans="1:10" ht="58.5" customHeight="1" x14ac:dyDescent="0.2">
      <c r="A80" s="155" t="s">
        <v>76</v>
      </c>
      <c r="B80" s="35">
        <v>3.3</v>
      </c>
      <c r="C80" s="35" t="s">
        <v>151</v>
      </c>
      <c r="D80" s="36">
        <f>SUM(D81:D82)</f>
        <v>550000</v>
      </c>
      <c r="E80" s="36">
        <f t="shared" ref="E80:I80" si="20">SUM(E81:E82)</f>
        <v>0</v>
      </c>
      <c r="F80" s="36">
        <f t="shared" si="20"/>
        <v>550000</v>
      </c>
      <c r="G80" s="36">
        <f t="shared" si="20"/>
        <v>0</v>
      </c>
      <c r="H80" s="36">
        <f t="shared" si="20"/>
        <v>0</v>
      </c>
      <c r="I80" s="36">
        <f t="shared" si="20"/>
        <v>0</v>
      </c>
      <c r="J80" s="36">
        <f>SUM(E80:I80)</f>
        <v>550000</v>
      </c>
    </row>
    <row r="81" spans="1:10" s="2" customFormat="1" ht="18.75" customHeight="1" x14ac:dyDescent="0.2">
      <c r="A81" s="155"/>
      <c r="B81" s="158" t="s">
        <v>152</v>
      </c>
      <c r="C81" s="38" t="s">
        <v>153</v>
      </c>
      <c r="D81" s="37">
        <v>200000</v>
      </c>
      <c r="E81" s="1"/>
      <c r="F81" s="13">
        <f>D81</f>
        <v>200000</v>
      </c>
      <c r="G81" s="1"/>
      <c r="H81" s="1"/>
      <c r="I81" s="1"/>
    </row>
    <row r="82" spans="1:10" s="2" customFormat="1" ht="47.1" customHeight="1" x14ac:dyDescent="0.2">
      <c r="A82" s="155"/>
      <c r="B82" s="158" t="s">
        <v>154</v>
      </c>
      <c r="C82" s="24" t="s">
        <v>155</v>
      </c>
      <c r="D82" s="37">
        <v>350000</v>
      </c>
      <c r="E82" s="1"/>
      <c r="F82" s="13">
        <f>D82</f>
        <v>350000</v>
      </c>
      <c r="G82" s="1"/>
      <c r="H82" s="1"/>
      <c r="I82" s="1"/>
    </row>
    <row r="83" spans="1:10" ht="76.5" customHeight="1" x14ac:dyDescent="0.2">
      <c r="A83" s="155" t="s">
        <v>54</v>
      </c>
      <c r="B83" s="35">
        <v>3.4</v>
      </c>
      <c r="C83" s="35" t="s">
        <v>156</v>
      </c>
      <c r="D83" s="36">
        <f>SUM(D84:D87)</f>
        <v>1466000</v>
      </c>
      <c r="E83" s="36">
        <f t="shared" ref="E83:I83" si="21">SUM(E84:E87)</f>
        <v>216000</v>
      </c>
      <c r="F83" s="36">
        <f t="shared" si="21"/>
        <v>150000</v>
      </c>
      <c r="G83" s="36">
        <f t="shared" si="21"/>
        <v>0</v>
      </c>
      <c r="H83" s="36">
        <f t="shared" si="21"/>
        <v>0</v>
      </c>
      <c r="I83" s="36">
        <f t="shared" si="21"/>
        <v>1100000</v>
      </c>
      <c r="J83" s="36">
        <f>SUM(E83:I83)</f>
        <v>1466000</v>
      </c>
    </row>
    <row r="84" spans="1:10" ht="30.75" customHeight="1" x14ac:dyDescent="0.2">
      <c r="B84" s="158" t="s">
        <v>157</v>
      </c>
      <c r="C84" s="38" t="s">
        <v>158</v>
      </c>
      <c r="D84" s="37">
        <v>600000</v>
      </c>
      <c r="I84" s="13">
        <f>D84</f>
        <v>600000</v>
      </c>
    </row>
    <row r="85" spans="1:10" ht="30" customHeight="1" x14ac:dyDescent="0.2">
      <c r="B85" s="158" t="s">
        <v>159</v>
      </c>
      <c r="C85" s="38" t="s">
        <v>160</v>
      </c>
      <c r="D85" s="37">
        <v>150000</v>
      </c>
      <c r="F85" s="13">
        <f t="shared" ref="F85" si="22">D85</f>
        <v>150000</v>
      </c>
    </row>
    <row r="86" spans="1:10" x14ac:dyDescent="0.2">
      <c r="B86" s="158" t="s">
        <v>161</v>
      </c>
      <c r="C86" s="38" t="s">
        <v>162</v>
      </c>
      <c r="D86" s="37">
        <v>500000</v>
      </c>
      <c r="I86" s="13">
        <f>D86</f>
        <v>500000</v>
      </c>
    </row>
    <row r="87" spans="1:10" x14ac:dyDescent="0.2">
      <c r="B87" s="158" t="s">
        <v>163</v>
      </c>
      <c r="C87" s="38" t="s">
        <v>164</v>
      </c>
      <c r="D87" s="37">
        <f>3000*72</f>
        <v>216000</v>
      </c>
      <c r="E87" s="13">
        <f>D87</f>
        <v>216000</v>
      </c>
    </row>
    <row r="88" spans="1:10" ht="15.75" x14ac:dyDescent="0.2">
      <c r="B88" s="156">
        <v>4</v>
      </c>
      <c r="C88" s="20" t="s">
        <v>165</v>
      </c>
      <c r="D88" s="21">
        <f>D89+D94+D96+D98+D102+D107+D111+D116+D123+D135+D139</f>
        <v>10818000</v>
      </c>
      <c r="E88" s="21">
        <f t="shared" ref="E88:I88" si="23">E89+E94+E96+E98+E102+E107+E111+E116+E123+E135+E139</f>
        <v>1643000</v>
      </c>
      <c r="F88" s="21">
        <f t="shared" si="23"/>
        <v>8675000</v>
      </c>
      <c r="G88" s="21">
        <f t="shared" si="23"/>
        <v>0</v>
      </c>
      <c r="H88" s="21">
        <f t="shared" si="23"/>
        <v>0</v>
      </c>
      <c r="I88" s="21">
        <f t="shared" si="23"/>
        <v>500000</v>
      </c>
      <c r="J88" s="21">
        <f>J89+J94+J96+J98+J102+J107+J111+J116+J123+J135+J139</f>
        <v>10818000</v>
      </c>
    </row>
    <row r="89" spans="1:10" ht="108" customHeight="1" x14ac:dyDescent="0.2">
      <c r="A89" s="155" t="s">
        <v>10</v>
      </c>
      <c r="B89" s="35">
        <v>4.0999999999999996</v>
      </c>
      <c r="C89" s="35" t="s">
        <v>166</v>
      </c>
      <c r="D89" s="25">
        <f>SUM(D90:D93)</f>
        <v>700000</v>
      </c>
      <c r="E89" s="25">
        <f t="shared" ref="E89:I89" si="24">SUM(E90:E93)</f>
        <v>0</v>
      </c>
      <c r="F89" s="25">
        <f t="shared" si="24"/>
        <v>700000</v>
      </c>
      <c r="G89" s="25">
        <f t="shared" si="24"/>
        <v>0</v>
      </c>
      <c r="H89" s="25">
        <f t="shared" si="24"/>
        <v>0</v>
      </c>
      <c r="I89" s="25">
        <f t="shared" si="24"/>
        <v>0</v>
      </c>
      <c r="J89" s="36">
        <f>SUM(E89:I89)</f>
        <v>700000</v>
      </c>
    </row>
    <row r="90" spans="1:10" ht="28.5" x14ac:dyDescent="0.2">
      <c r="B90" s="158" t="s">
        <v>167</v>
      </c>
      <c r="C90" s="38" t="s">
        <v>168</v>
      </c>
      <c r="D90" s="37">
        <v>250000</v>
      </c>
      <c r="F90" s="13">
        <f>D90</f>
        <v>250000</v>
      </c>
    </row>
    <row r="91" spans="1:10" ht="28.5" x14ac:dyDescent="0.2">
      <c r="B91" s="158" t="s">
        <v>169</v>
      </c>
      <c r="C91" s="38" t="s">
        <v>170</v>
      </c>
      <c r="D91" s="37">
        <v>100000</v>
      </c>
      <c r="F91" s="13">
        <f t="shared" ref="F91:F92" si="25">D91</f>
        <v>100000</v>
      </c>
    </row>
    <row r="92" spans="1:10" s="2" customFormat="1" ht="18" customHeight="1" x14ac:dyDescent="0.2">
      <c r="A92" s="155"/>
      <c r="B92" s="158" t="s">
        <v>171</v>
      </c>
      <c r="C92" s="38" t="s">
        <v>172</v>
      </c>
      <c r="D92" s="37">
        <v>200000</v>
      </c>
      <c r="E92" s="1"/>
      <c r="F92" s="13">
        <f t="shared" si="25"/>
        <v>200000</v>
      </c>
      <c r="G92" s="1"/>
      <c r="H92" s="1"/>
      <c r="I92" s="1"/>
    </row>
    <row r="93" spans="1:10" s="2" customFormat="1" ht="22.5" customHeight="1" x14ac:dyDescent="0.2">
      <c r="A93" s="155"/>
      <c r="B93" s="158" t="s">
        <v>173</v>
      </c>
      <c r="C93" s="38" t="s">
        <v>174</v>
      </c>
      <c r="D93" s="37">
        <v>150000</v>
      </c>
      <c r="E93" s="1"/>
      <c r="F93" s="13">
        <v>150000</v>
      </c>
      <c r="G93" s="1"/>
      <c r="H93" s="1"/>
      <c r="I93" s="1"/>
    </row>
    <row r="94" spans="1:10" ht="100.5" customHeight="1" x14ac:dyDescent="0.2">
      <c r="A94" s="155" t="s">
        <v>38</v>
      </c>
      <c r="B94" s="35">
        <v>4.2</v>
      </c>
      <c r="C94" s="22" t="s">
        <v>175</v>
      </c>
      <c r="D94" s="25">
        <f>D95</f>
        <v>500000</v>
      </c>
      <c r="E94" s="25">
        <f t="shared" ref="E94:I94" si="26">E95</f>
        <v>0</v>
      </c>
      <c r="F94" s="25">
        <f t="shared" si="26"/>
        <v>500000</v>
      </c>
      <c r="G94" s="25">
        <f t="shared" si="26"/>
        <v>0</v>
      </c>
      <c r="H94" s="25">
        <f t="shared" si="26"/>
        <v>0</v>
      </c>
      <c r="I94" s="25">
        <f t="shared" si="26"/>
        <v>0</v>
      </c>
      <c r="J94" s="36">
        <f>SUM(E94:I94)</f>
        <v>500000</v>
      </c>
    </row>
    <row r="95" spans="1:10" ht="60" customHeight="1" x14ac:dyDescent="0.2">
      <c r="B95" s="158" t="s">
        <v>176</v>
      </c>
      <c r="C95" s="38" t="s">
        <v>177</v>
      </c>
      <c r="D95" s="37">
        <v>500000</v>
      </c>
      <c r="F95" s="13">
        <f>D95</f>
        <v>500000</v>
      </c>
    </row>
    <row r="96" spans="1:10" ht="78.75" customHeight="1" x14ac:dyDescent="0.2">
      <c r="A96" s="155" t="s">
        <v>76</v>
      </c>
      <c r="B96" s="35">
        <v>4.3</v>
      </c>
      <c r="C96" s="22" t="s">
        <v>178</v>
      </c>
      <c r="D96" s="25">
        <f>SUM(D97:D97)</f>
        <v>700000</v>
      </c>
      <c r="E96" s="25">
        <f>SUM(E97:E97)</f>
        <v>0</v>
      </c>
      <c r="F96" s="25">
        <f>SUM(F97:F97)</f>
        <v>700000</v>
      </c>
      <c r="G96" s="25">
        <f t="shared" ref="G96:I96" si="27">SUM(G97:G97)</f>
        <v>0</v>
      </c>
      <c r="H96" s="25">
        <f t="shared" si="27"/>
        <v>0</v>
      </c>
      <c r="I96" s="25">
        <f t="shared" si="27"/>
        <v>0</v>
      </c>
      <c r="J96" s="36">
        <f>SUM(E96:I96)</f>
        <v>700000</v>
      </c>
    </row>
    <row r="97" spans="1:10" ht="57.6" customHeight="1" x14ac:dyDescent="0.2">
      <c r="B97" s="158" t="s">
        <v>179</v>
      </c>
      <c r="C97" s="38" t="s">
        <v>180</v>
      </c>
      <c r="D97" s="37">
        <v>700000</v>
      </c>
      <c r="F97" s="13">
        <f>D97</f>
        <v>700000</v>
      </c>
    </row>
    <row r="98" spans="1:10" ht="120.75" customHeight="1" x14ac:dyDescent="0.2">
      <c r="A98" s="155" t="s">
        <v>48</v>
      </c>
      <c r="B98" s="35">
        <v>4.4000000000000004</v>
      </c>
      <c r="C98" s="22" t="s">
        <v>181</v>
      </c>
      <c r="D98" s="25">
        <f>SUM(D99:D101)</f>
        <v>752000</v>
      </c>
      <c r="E98" s="25">
        <f t="shared" ref="E98:I98" si="28">SUM(E99:E101)</f>
        <v>252000</v>
      </c>
      <c r="F98" s="25">
        <f t="shared" si="28"/>
        <v>500000</v>
      </c>
      <c r="G98" s="25">
        <f t="shared" si="28"/>
        <v>0</v>
      </c>
      <c r="H98" s="25">
        <f t="shared" si="28"/>
        <v>0</v>
      </c>
      <c r="I98" s="25">
        <f t="shared" si="28"/>
        <v>0</v>
      </c>
      <c r="J98" s="36">
        <f>SUM(E98:I98)</f>
        <v>752000</v>
      </c>
    </row>
    <row r="99" spans="1:10" s="2" customFormat="1" ht="102" customHeight="1" x14ac:dyDescent="0.2">
      <c r="A99" s="155"/>
      <c r="B99" s="158" t="s">
        <v>182</v>
      </c>
      <c r="C99" s="24" t="s">
        <v>183</v>
      </c>
      <c r="D99" s="37">
        <f>500000-100000</f>
        <v>400000</v>
      </c>
      <c r="E99" s="1"/>
      <c r="F99" s="13">
        <f>D99</f>
        <v>400000</v>
      </c>
      <c r="G99" s="1"/>
      <c r="H99" s="1"/>
      <c r="I99" s="1"/>
    </row>
    <row r="100" spans="1:10" ht="33" customHeight="1" x14ac:dyDescent="0.2">
      <c r="B100" s="158" t="s">
        <v>184</v>
      </c>
      <c r="C100" s="24" t="s">
        <v>185</v>
      </c>
      <c r="D100" s="37">
        <f>200000-100000</f>
        <v>100000</v>
      </c>
      <c r="F100" s="13">
        <f>D100</f>
        <v>100000</v>
      </c>
    </row>
    <row r="101" spans="1:10" x14ac:dyDescent="0.2">
      <c r="B101" s="158" t="s">
        <v>186</v>
      </c>
      <c r="C101" s="24" t="s">
        <v>187</v>
      </c>
      <c r="D101" s="37">
        <f>3500*72</f>
        <v>252000</v>
      </c>
      <c r="E101" s="13">
        <f>D101</f>
        <v>252000</v>
      </c>
    </row>
    <row r="102" spans="1:10" s="2" customFormat="1" ht="47.1" customHeight="1" x14ac:dyDescent="0.2">
      <c r="A102" s="155" t="s">
        <v>54</v>
      </c>
      <c r="B102" s="35">
        <v>4.5</v>
      </c>
      <c r="C102" s="35" t="s">
        <v>188</v>
      </c>
      <c r="D102" s="36">
        <f>SUM(D103:D106)</f>
        <v>766000</v>
      </c>
      <c r="E102" s="36">
        <f t="shared" ref="E102:I102" si="29">SUM(E103:E106)</f>
        <v>216000</v>
      </c>
      <c r="F102" s="36">
        <f t="shared" si="29"/>
        <v>550000</v>
      </c>
      <c r="G102" s="36">
        <f t="shared" si="29"/>
        <v>0</v>
      </c>
      <c r="H102" s="36">
        <f t="shared" si="29"/>
        <v>0</v>
      </c>
      <c r="I102" s="36">
        <f t="shared" si="29"/>
        <v>0</v>
      </c>
      <c r="J102" s="36">
        <f>SUM(E102:I102)</f>
        <v>766000</v>
      </c>
    </row>
    <row r="103" spans="1:10" ht="45" customHeight="1" x14ac:dyDescent="0.2">
      <c r="B103" s="158" t="s">
        <v>189</v>
      </c>
      <c r="C103" s="38" t="s">
        <v>190</v>
      </c>
      <c r="D103" s="37">
        <v>200000</v>
      </c>
      <c r="F103" s="13">
        <f>D103</f>
        <v>200000</v>
      </c>
    </row>
    <row r="104" spans="1:10" ht="32.1" customHeight="1" x14ac:dyDescent="0.2">
      <c r="B104" s="158" t="s">
        <v>191</v>
      </c>
      <c r="C104" s="38" t="s">
        <v>192</v>
      </c>
      <c r="D104" s="37">
        <v>150000</v>
      </c>
      <c r="F104" s="13">
        <f t="shared" ref="F104:F105" si="30">D104</f>
        <v>150000</v>
      </c>
    </row>
    <row r="105" spans="1:10" ht="42.75" x14ac:dyDescent="0.2">
      <c r="B105" s="158" t="s">
        <v>193</v>
      </c>
      <c r="C105" s="38" t="s">
        <v>194</v>
      </c>
      <c r="D105" s="37">
        <v>200000</v>
      </c>
      <c r="F105" s="13">
        <f t="shared" si="30"/>
        <v>200000</v>
      </c>
    </row>
    <row r="106" spans="1:10" x14ac:dyDescent="0.2">
      <c r="B106" s="158" t="s">
        <v>195</v>
      </c>
      <c r="C106" s="38" t="s">
        <v>196</v>
      </c>
      <c r="D106" s="37">
        <f>3000*72</f>
        <v>216000</v>
      </c>
      <c r="E106" s="13">
        <f>D106</f>
        <v>216000</v>
      </c>
    </row>
    <row r="107" spans="1:10" ht="58.5" customHeight="1" x14ac:dyDescent="0.2">
      <c r="A107" s="155" t="s">
        <v>84</v>
      </c>
      <c r="B107" s="35">
        <v>4.5999999999999996</v>
      </c>
      <c r="C107" s="35" t="s">
        <v>197</v>
      </c>
      <c r="D107" s="36">
        <f>SUM(D108:D110)</f>
        <v>950000</v>
      </c>
      <c r="E107" s="36">
        <f t="shared" ref="E107:I107" si="31">SUM(E108:E110)</f>
        <v>250000</v>
      </c>
      <c r="F107" s="36">
        <f t="shared" si="31"/>
        <v>200000</v>
      </c>
      <c r="G107" s="36">
        <f t="shared" si="31"/>
        <v>0</v>
      </c>
      <c r="H107" s="36">
        <f t="shared" si="31"/>
        <v>0</v>
      </c>
      <c r="I107" s="36">
        <f t="shared" si="31"/>
        <v>500000</v>
      </c>
      <c r="J107" s="36">
        <f>SUM(E107:I107)</f>
        <v>950000</v>
      </c>
    </row>
    <row r="108" spans="1:10" ht="30.6" customHeight="1" x14ac:dyDescent="0.2">
      <c r="B108" s="158" t="s">
        <v>198</v>
      </c>
      <c r="C108" s="38" t="s">
        <v>199</v>
      </c>
      <c r="D108" s="37">
        <v>250000</v>
      </c>
      <c r="E108" s="13">
        <f>D108</f>
        <v>250000</v>
      </c>
    </row>
    <row r="109" spans="1:10" ht="18" customHeight="1" x14ac:dyDescent="0.2">
      <c r="B109" s="158" t="s">
        <v>200</v>
      </c>
      <c r="C109" s="38" t="s">
        <v>201</v>
      </c>
      <c r="D109" s="37">
        <v>200000</v>
      </c>
      <c r="F109" s="13">
        <f>D109</f>
        <v>200000</v>
      </c>
    </row>
    <row r="110" spans="1:10" ht="33" customHeight="1" x14ac:dyDescent="0.2">
      <c r="B110" s="158" t="s">
        <v>202</v>
      </c>
      <c r="C110" s="38" t="s">
        <v>203</v>
      </c>
      <c r="D110" s="37">
        <v>500000</v>
      </c>
      <c r="I110" s="13">
        <f>D110</f>
        <v>500000</v>
      </c>
    </row>
    <row r="111" spans="1:10" s="2" customFormat="1" ht="121.5" customHeight="1" x14ac:dyDescent="0.2">
      <c r="A111" s="155" t="s">
        <v>88</v>
      </c>
      <c r="B111" s="35">
        <v>4.7</v>
      </c>
      <c r="C111" s="35" t="s">
        <v>204</v>
      </c>
      <c r="D111" s="36">
        <f>SUM(D112:D115)</f>
        <v>900000</v>
      </c>
      <c r="E111" s="36">
        <f t="shared" ref="E111:I111" si="32">SUM(E112:E115)</f>
        <v>0</v>
      </c>
      <c r="F111" s="36">
        <f t="shared" si="32"/>
        <v>900000</v>
      </c>
      <c r="G111" s="36">
        <f t="shared" si="32"/>
        <v>0</v>
      </c>
      <c r="H111" s="36">
        <f t="shared" si="32"/>
        <v>0</v>
      </c>
      <c r="I111" s="36">
        <f t="shared" si="32"/>
        <v>0</v>
      </c>
      <c r="J111" s="36">
        <f>SUM(E111:I111)</f>
        <v>900000</v>
      </c>
    </row>
    <row r="112" spans="1:10" s="2" customFormat="1" ht="30.75" customHeight="1" x14ac:dyDescent="0.2">
      <c r="A112" s="155"/>
      <c r="B112" s="158" t="s">
        <v>205</v>
      </c>
      <c r="C112" s="38" t="s">
        <v>206</v>
      </c>
      <c r="D112" s="37">
        <v>300000</v>
      </c>
      <c r="E112" s="1"/>
      <c r="F112" s="13">
        <f>D112</f>
        <v>300000</v>
      </c>
      <c r="G112" s="1"/>
      <c r="H112" s="1"/>
      <c r="I112" s="1"/>
    </row>
    <row r="113" spans="1:10" s="2" customFormat="1" x14ac:dyDescent="0.2">
      <c r="A113" s="155"/>
      <c r="B113" s="158" t="s">
        <v>207</v>
      </c>
      <c r="C113" s="38" t="s">
        <v>208</v>
      </c>
      <c r="D113" s="37">
        <v>200000</v>
      </c>
      <c r="E113" s="1"/>
      <c r="F113" s="13">
        <f t="shared" ref="F113:F115" si="33">D113</f>
        <v>200000</v>
      </c>
      <c r="G113" s="1"/>
      <c r="H113" s="1"/>
      <c r="I113" s="1"/>
    </row>
    <row r="114" spans="1:10" s="2" customFormat="1" ht="30.95" customHeight="1" x14ac:dyDescent="0.2">
      <c r="A114" s="155"/>
      <c r="B114" s="158" t="s">
        <v>209</v>
      </c>
      <c r="C114" s="38" t="s">
        <v>210</v>
      </c>
      <c r="D114" s="37">
        <v>200000</v>
      </c>
      <c r="E114" s="1"/>
      <c r="F114" s="13">
        <f t="shared" si="33"/>
        <v>200000</v>
      </c>
      <c r="G114" s="1"/>
      <c r="H114" s="1"/>
      <c r="I114" s="1"/>
    </row>
    <row r="115" spans="1:10" s="2" customFormat="1" ht="34.5" customHeight="1" x14ac:dyDescent="0.2">
      <c r="A115" s="155"/>
      <c r="B115" s="158" t="s">
        <v>211</v>
      </c>
      <c r="C115" s="38" t="s">
        <v>212</v>
      </c>
      <c r="D115" s="37">
        <v>200000</v>
      </c>
      <c r="E115" s="1"/>
      <c r="F115" s="13">
        <f t="shared" si="33"/>
        <v>200000</v>
      </c>
      <c r="G115" s="1"/>
      <c r="H115" s="1"/>
      <c r="I115" s="1"/>
    </row>
    <row r="116" spans="1:10" ht="134.25" customHeight="1" x14ac:dyDescent="0.2">
      <c r="A116" s="155" t="s">
        <v>213</v>
      </c>
      <c r="B116" s="35">
        <v>4.8</v>
      </c>
      <c r="C116" s="22" t="s">
        <v>214</v>
      </c>
      <c r="D116" s="25">
        <f>SUM(D117:D122)</f>
        <v>1600000</v>
      </c>
      <c r="E116" s="25">
        <f t="shared" ref="E116:I116" si="34">SUM(E117:E122)</f>
        <v>550000</v>
      </c>
      <c r="F116" s="25">
        <f t="shared" si="34"/>
        <v>1050000</v>
      </c>
      <c r="G116" s="25">
        <f t="shared" si="34"/>
        <v>0</v>
      </c>
      <c r="H116" s="25">
        <f t="shared" si="34"/>
        <v>0</v>
      </c>
      <c r="I116" s="25">
        <f t="shared" si="34"/>
        <v>0</v>
      </c>
      <c r="J116" s="36">
        <f>SUM(E116:I116)</f>
        <v>1600000</v>
      </c>
    </row>
    <row r="117" spans="1:10" ht="57.75" customHeight="1" x14ac:dyDescent="0.2">
      <c r="B117" s="158" t="s">
        <v>215</v>
      </c>
      <c r="C117" s="38" t="s">
        <v>216</v>
      </c>
      <c r="D117" s="37">
        <v>100000</v>
      </c>
      <c r="E117" s="13">
        <f>D117</f>
        <v>100000</v>
      </c>
    </row>
    <row r="118" spans="1:10" ht="33.75" customHeight="1" x14ac:dyDescent="0.2">
      <c r="B118" s="158" t="s">
        <v>217</v>
      </c>
      <c r="C118" s="38" t="s">
        <v>218</v>
      </c>
      <c r="D118" s="37">
        <v>450000</v>
      </c>
      <c r="E118" s="13">
        <f>D118</f>
        <v>450000</v>
      </c>
    </row>
    <row r="119" spans="1:10" ht="35.1" customHeight="1" x14ac:dyDescent="0.2">
      <c r="B119" s="158" t="s">
        <v>219</v>
      </c>
      <c r="C119" s="38" t="s">
        <v>220</v>
      </c>
      <c r="D119" s="37">
        <v>500000</v>
      </c>
      <c r="F119" s="13">
        <f>D119</f>
        <v>500000</v>
      </c>
    </row>
    <row r="120" spans="1:10" ht="47.25" customHeight="1" x14ac:dyDescent="0.2">
      <c r="B120" s="158" t="s">
        <v>221</v>
      </c>
      <c r="C120" s="38" t="s">
        <v>222</v>
      </c>
      <c r="D120" s="37">
        <v>150000</v>
      </c>
      <c r="F120" s="13">
        <f>D120</f>
        <v>150000</v>
      </c>
    </row>
    <row r="121" spans="1:10" ht="33" customHeight="1" x14ac:dyDescent="0.2">
      <c r="B121" s="158" t="s">
        <v>223</v>
      </c>
      <c r="C121" s="19" t="s">
        <v>224</v>
      </c>
      <c r="D121" s="37">
        <v>200000</v>
      </c>
      <c r="F121" s="13">
        <f>D121</f>
        <v>200000</v>
      </c>
      <c r="H121" s="13"/>
      <c r="I121" s="13"/>
      <c r="J121" s="2"/>
    </row>
    <row r="122" spans="1:10" ht="15.75" customHeight="1" x14ac:dyDescent="0.2">
      <c r="B122" s="158" t="s">
        <v>225</v>
      </c>
      <c r="C122" s="38" t="s">
        <v>226</v>
      </c>
      <c r="D122" s="37">
        <v>200000</v>
      </c>
      <c r="F122" s="13">
        <f>D122</f>
        <v>200000</v>
      </c>
    </row>
    <row r="123" spans="1:10" ht="105.75" customHeight="1" x14ac:dyDescent="0.2">
      <c r="A123" s="155" t="s">
        <v>227</v>
      </c>
      <c r="B123" s="35">
        <v>4.9000000000000004</v>
      </c>
      <c r="C123" s="22" t="s">
        <v>228</v>
      </c>
      <c r="D123" s="25">
        <f t="shared" ref="D123:I123" si="35">D124+D129+D131+D133</f>
        <v>1700000</v>
      </c>
      <c r="E123" s="25">
        <f t="shared" si="35"/>
        <v>375000</v>
      </c>
      <c r="F123" s="25">
        <f t="shared" si="35"/>
        <v>1325000</v>
      </c>
      <c r="G123" s="25">
        <f t="shared" si="35"/>
        <v>0</v>
      </c>
      <c r="H123" s="25">
        <f t="shared" si="35"/>
        <v>0</v>
      </c>
      <c r="I123" s="25">
        <f t="shared" si="35"/>
        <v>0</v>
      </c>
      <c r="J123" s="36">
        <f>SUM(E123:I123)</f>
        <v>1700000</v>
      </c>
    </row>
    <row r="124" spans="1:10" ht="15" customHeight="1" x14ac:dyDescent="0.2">
      <c r="B124" s="26" t="s">
        <v>229</v>
      </c>
      <c r="C124" s="26" t="s">
        <v>230</v>
      </c>
      <c r="D124" s="25">
        <f>SUM(D125:D128)</f>
        <v>1100000</v>
      </c>
      <c r="E124" s="25">
        <f t="shared" ref="E124:H124" si="36">SUM(E125:E128)</f>
        <v>375000</v>
      </c>
      <c r="F124" s="25">
        <f t="shared" si="36"/>
        <v>725000</v>
      </c>
      <c r="G124" s="25">
        <f t="shared" si="36"/>
        <v>0</v>
      </c>
      <c r="H124" s="25">
        <f t="shared" si="36"/>
        <v>0</v>
      </c>
      <c r="I124" s="25">
        <f t="shared" ref="I124" si="37">SUM(I125:I128)</f>
        <v>0</v>
      </c>
      <c r="J124" s="36">
        <f>SUM(E124:I124)</f>
        <v>1100000</v>
      </c>
    </row>
    <row r="125" spans="1:10" x14ac:dyDescent="0.2">
      <c r="B125" s="158" t="s">
        <v>231</v>
      </c>
      <c r="C125" s="38" t="s">
        <v>232</v>
      </c>
      <c r="D125" s="37">
        <v>265000</v>
      </c>
      <c r="F125" s="13">
        <f>D125</f>
        <v>265000</v>
      </c>
    </row>
    <row r="126" spans="1:10" x14ac:dyDescent="0.2">
      <c r="B126" s="158" t="s">
        <v>233</v>
      </c>
      <c r="C126" s="38" t="s">
        <v>234</v>
      </c>
      <c r="D126" s="37">
        <v>350000</v>
      </c>
      <c r="F126" s="13">
        <f t="shared" ref="F126" si="38">D126</f>
        <v>350000</v>
      </c>
    </row>
    <row r="127" spans="1:10" ht="15" customHeight="1" x14ac:dyDescent="0.2">
      <c r="B127" s="158" t="s">
        <v>235</v>
      </c>
      <c r="C127" s="38" t="s">
        <v>236</v>
      </c>
      <c r="D127" s="37">
        <v>375000</v>
      </c>
      <c r="E127" s="13">
        <f>D127</f>
        <v>375000</v>
      </c>
    </row>
    <row r="128" spans="1:10" ht="17.25" customHeight="1" x14ac:dyDescent="0.2">
      <c r="B128" s="158" t="s">
        <v>237</v>
      </c>
      <c r="C128" s="38" t="s">
        <v>238</v>
      </c>
      <c r="D128" s="37">
        <v>110000</v>
      </c>
      <c r="F128" s="13">
        <f>D128</f>
        <v>110000</v>
      </c>
    </row>
    <row r="129" spans="1:12" ht="13.5" customHeight="1" x14ac:dyDescent="0.2">
      <c r="B129" s="26" t="s">
        <v>239</v>
      </c>
      <c r="C129" s="26" t="s">
        <v>240</v>
      </c>
      <c r="D129" s="25">
        <f>D130</f>
        <v>200000</v>
      </c>
      <c r="E129" s="25">
        <f t="shared" ref="E129:I129" si="39">E130</f>
        <v>0</v>
      </c>
      <c r="F129" s="25">
        <f t="shared" si="39"/>
        <v>200000</v>
      </c>
      <c r="G129" s="25">
        <f t="shared" si="39"/>
        <v>0</v>
      </c>
      <c r="H129" s="25">
        <f t="shared" si="39"/>
        <v>0</v>
      </c>
      <c r="I129" s="25">
        <f t="shared" si="39"/>
        <v>0</v>
      </c>
      <c r="J129" s="36">
        <f>SUM(E129:H129)</f>
        <v>200000</v>
      </c>
    </row>
    <row r="130" spans="1:12" ht="13.5" customHeight="1" x14ac:dyDescent="0.2">
      <c r="B130" s="158" t="s">
        <v>241</v>
      </c>
      <c r="C130" s="38" t="s">
        <v>242</v>
      </c>
      <c r="D130" s="37">
        <v>200000</v>
      </c>
      <c r="E130" s="13"/>
      <c r="F130" s="13">
        <f>D130</f>
        <v>200000</v>
      </c>
    </row>
    <row r="131" spans="1:12" ht="13.5" customHeight="1" x14ac:dyDescent="0.2">
      <c r="B131" s="26" t="s">
        <v>243</v>
      </c>
      <c r="C131" s="26" t="s">
        <v>244</v>
      </c>
      <c r="D131" s="25">
        <f>D132</f>
        <v>200000</v>
      </c>
      <c r="E131" s="25">
        <f t="shared" ref="E131:I131" si="40">E132</f>
        <v>0</v>
      </c>
      <c r="F131" s="25">
        <f t="shared" si="40"/>
        <v>200000</v>
      </c>
      <c r="G131" s="25">
        <f t="shared" si="40"/>
        <v>0</v>
      </c>
      <c r="H131" s="25">
        <f t="shared" si="40"/>
        <v>0</v>
      </c>
      <c r="I131" s="25">
        <f t="shared" si="40"/>
        <v>0</v>
      </c>
      <c r="J131" s="36">
        <f>SUM(E131:H131)</f>
        <v>200000</v>
      </c>
    </row>
    <row r="132" spans="1:12" ht="28.5" x14ac:dyDescent="0.2">
      <c r="B132" s="158" t="s">
        <v>245</v>
      </c>
      <c r="C132" s="38" t="s">
        <v>246</v>
      </c>
      <c r="D132" s="37">
        <v>200000</v>
      </c>
      <c r="E132" s="13"/>
      <c r="F132" s="13">
        <f>D132</f>
        <v>200000</v>
      </c>
    </row>
    <row r="133" spans="1:12" ht="13.5" customHeight="1" x14ac:dyDescent="0.2">
      <c r="B133" s="26" t="s">
        <v>247</v>
      </c>
      <c r="C133" s="26" t="s">
        <v>248</v>
      </c>
      <c r="D133" s="25">
        <f>D134</f>
        <v>200000</v>
      </c>
      <c r="E133" s="25">
        <f t="shared" ref="E133:I133" si="41">E134</f>
        <v>0</v>
      </c>
      <c r="F133" s="25">
        <f t="shared" si="41"/>
        <v>200000</v>
      </c>
      <c r="G133" s="25">
        <f t="shared" si="41"/>
        <v>0</v>
      </c>
      <c r="H133" s="25">
        <f t="shared" si="41"/>
        <v>0</v>
      </c>
      <c r="I133" s="25">
        <f t="shared" si="41"/>
        <v>0</v>
      </c>
      <c r="J133" s="36">
        <f>SUM(E133:H133)</f>
        <v>200000</v>
      </c>
    </row>
    <row r="134" spans="1:12" x14ac:dyDescent="0.2">
      <c r="B134" s="158" t="s">
        <v>249</v>
      </c>
      <c r="C134" s="38" t="s">
        <v>250</v>
      </c>
      <c r="D134" s="37">
        <v>200000</v>
      </c>
      <c r="E134" s="13"/>
      <c r="F134" s="13">
        <f>D134</f>
        <v>200000</v>
      </c>
    </row>
    <row r="135" spans="1:12" ht="108" customHeight="1" x14ac:dyDescent="0.2">
      <c r="A135" s="155" t="s">
        <v>251</v>
      </c>
      <c r="B135" s="40">
        <v>4.0999999999999996</v>
      </c>
      <c r="C135" s="22" t="s">
        <v>252</v>
      </c>
      <c r="D135" s="25">
        <f>SUM(D136:D138)</f>
        <v>1550000</v>
      </c>
      <c r="E135" s="25">
        <f t="shared" ref="E135:H135" si="42">SUM(E136:E138)</f>
        <v>0</v>
      </c>
      <c r="F135" s="25">
        <f t="shared" si="42"/>
        <v>1550000</v>
      </c>
      <c r="G135" s="25">
        <f t="shared" si="42"/>
        <v>0</v>
      </c>
      <c r="H135" s="25">
        <f t="shared" si="42"/>
        <v>0</v>
      </c>
      <c r="I135" s="25">
        <f t="shared" ref="I135" si="43">SUM(I136:I138)</f>
        <v>0</v>
      </c>
      <c r="J135" s="36">
        <f>SUM(E135:I135)</f>
        <v>1550000</v>
      </c>
    </row>
    <row r="136" spans="1:12" s="2" customFormat="1" ht="36" customHeight="1" x14ac:dyDescent="0.2">
      <c r="A136" s="155"/>
      <c r="B136" s="158" t="s">
        <v>253</v>
      </c>
      <c r="C136" s="38" t="s">
        <v>254</v>
      </c>
      <c r="D136" s="37">
        <v>250000</v>
      </c>
      <c r="E136" s="1"/>
      <c r="F136" s="13">
        <f>D136</f>
        <v>250000</v>
      </c>
      <c r="G136" s="1"/>
      <c r="H136" s="1"/>
      <c r="I136" s="1"/>
    </row>
    <row r="137" spans="1:12" s="2" customFormat="1" ht="28.5" x14ac:dyDescent="0.2">
      <c r="A137" s="155"/>
      <c r="B137" s="158" t="s">
        <v>255</v>
      </c>
      <c r="C137" s="38" t="s">
        <v>256</v>
      </c>
      <c r="D137" s="37">
        <v>1100000</v>
      </c>
      <c r="E137" s="1"/>
      <c r="F137" s="13">
        <f>D137</f>
        <v>1100000</v>
      </c>
      <c r="G137" s="1"/>
      <c r="H137" s="1"/>
      <c r="I137" s="1"/>
    </row>
    <row r="138" spans="1:12" s="2" customFormat="1" ht="15.95" customHeight="1" x14ac:dyDescent="0.2">
      <c r="A138" s="155"/>
      <c r="B138" s="158" t="s">
        <v>257</v>
      </c>
      <c r="C138" s="38" t="s">
        <v>258</v>
      </c>
      <c r="D138" s="37">
        <v>200000</v>
      </c>
      <c r="E138" s="1"/>
      <c r="F138" s="13">
        <f>D138</f>
        <v>200000</v>
      </c>
      <c r="G138" s="1"/>
      <c r="H138" s="1"/>
      <c r="I138" s="1"/>
    </row>
    <row r="139" spans="1:12" ht="137.25" customHeight="1" x14ac:dyDescent="0.2">
      <c r="B139" s="35">
        <v>4.1100000000000003</v>
      </c>
      <c r="C139" s="22" t="s">
        <v>259</v>
      </c>
      <c r="D139" s="36">
        <f t="shared" ref="D139:I139" si="44">SUM(D140:D140)</f>
        <v>700000</v>
      </c>
      <c r="E139" s="25">
        <f t="shared" si="44"/>
        <v>0</v>
      </c>
      <c r="F139" s="25">
        <f t="shared" si="44"/>
        <v>700000</v>
      </c>
      <c r="G139" s="25">
        <f t="shared" si="44"/>
        <v>0</v>
      </c>
      <c r="H139" s="25">
        <f t="shared" si="44"/>
        <v>0</v>
      </c>
      <c r="I139" s="25">
        <f t="shared" si="44"/>
        <v>0</v>
      </c>
      <c r="J139" s="36">
        <f>SUM(E139:I139)</f>
        <v>700000</v>
      </c>
    </row>
    <row r="140" spans="1:12" s="2" customFormat="1" ht="28.5" x14ac:dyDescent="0.2">
      <c r="A140" s="155"/>
      <c r="B140" s="158" t="s">
        <v>260</v>
      </c>
      <c r="C140" s="38" t="s">
        <v>261</v>
      </c>
      <c r="D140" s="37">
        <v>700000</v>
      </c>
      <c r="E140" s="1"/>
      <c r="F140" s="13">
        <f>D140</f>
        <v>700000</v>
      </c>
      <c r="G140" s="1"/>
      <c r="H140" s="1"/>
      <c r="I140" s="1"/>
    </row>
    <row r="141" spans="1:12" ht="15.75" x14ac:dyDescent="0.2">
      <c r="B141" s="156">
        <v>5</v>
      </c>
      <c r="C141" s="20" t="s">
        <v>262</v>
      </c>
      <c r="D141" s="21">
        <f>SUM(D142,D171:D175)</f>
        <v>5684000</v>
      </c>
      <c r="E141" s="21">
        <f t="shared" ref="E141:I141" si="45">SUM(E142,E171:E175)</f>
        <v>4834000</v>
      </c>
      <c r="F141" s="21">
        <f t="shared" si="45"/>
        <v>250000</v>
      </c>
      <c r="G141" s="21">
        <f t="shared" si="45"/>
        <v>600000</v>
      </c>
      <c r="H141" s="21">
        <f t="shared" si="45"/>
        <v>0</v>
      </c>
      <c r="I141" s="21">
        <f t="shared" si="45"/>
        <v>0</v>
      </c>
      <c r="J141" s="21">
        <f>SUM(E141:H141)</f>
        <v>5684000</v>
      </c>
      <c r="L141" s="162"/>
    </row>
    <row r="142" spans="1:12" ht="15" x14ac:dyDescent="0.2">
      <c r="B142" s="163">
        <v>5.0999999999999996</v>
      </c>
      <c r="C142" s="27" t="s">
        <v>263</v>
      </c>
      <c r="D142" s="28">
        <f t="shared" ref="D142:J142" si="46">D143+D148+D152+D154+D156+D159+D163+D167</f>
        <v>4484000</v>
      </c>
      <c r="E142" s="28">
        <f t="shared" si="46"/>
        <v>4484000</v>
      </c>
      <c r="F142" s="28">
        <f t="shared" si="46"/>
        <v>0</v>
      </c>
      <c r="G142" s="28">
        <f t="shared" si="46"/>
        <v>0</v>
      </c>
      <c r="H142" s="28">
        <f t="shared" si="46"/>
        <v>0</v>
      </c>
      <c r="I142" s="28">
        <f t="shared" ref="I142" si="47">I143+I148+I152+I154+I156+I159+I163+I167</f>
        <v>0</v>
      </c>
      <c r="J142" s="28">
        <f t="shared" si="46"/>
        <v>4484000</v>
      </c>
    </row>
    <row r="143" spans="1:12" ht="15" x14ac:dyDescent="0.2">
      <c r="B143" s="164" t="s">
        <v>264</v>
      </c>
      <c r="C143" s="22" t="s">
        <v>265</v>
      </c>
      <c r="D143" s="25">
        <f>SUM(D144:D147)</f>
        <v>1172000</v>
      </c>
      <c r="E143" s="25">
        <f>SUM(E144:E147)</f>
        <v>1172000</v>
      </c>
      <c r="F143" s="25">
        <f t="shared" ref="F143:H143" si="48">SUM(F144:F146)</f>
        <v>0</v>
      </c>
      <c r="G143" s="25">
        <f t="shared" si="48"/>
        <v>0</v>
      </c>
      <c r="H143" s="25">
        <f t="shared" si="48"/>
        <v>0</v>
      </c>
      <c r="I143" s="25">
        <f t="shared" ref="I143" si="49">SUM(I144:I146)</f>
        <v>0</v>
      </c>
      <c r="J143" s="25">
        <f t="shared" ref="J143" si="50">SUM(E143:H143)</f>
        <v>1172000</v>
      </c>
    </row>
    <row r="144" spans="1:12" ht="12.75" customHeight="1" x14ac:dyDescent="0.2">
      <c r="B144" s="158" t="s">
        <v>266</v>
      </c>
      <c r="C144" s="38" t="s">
        <v>267</v>
      </c>
      <c r="D144" s="37">
        <f>6000*72</f>
        <v>432000</v>
      </c>
      <c r="E144" s="13">
        <f>D144</f>
        <v>432000</v>
      </c>
      <c r="K144" s="1">
        <v>6000</v>
      </c>
    </row>
    <row r="145" spans="2:11" x14ac:dyDescent="0.2">
      <c r="B145" s="158" t="s">
        <v>268</v>
      </c>
      <c r="C145" s="38" t="s">
        <v>269</v>
      </c>
      <c r="D145" s="37">
        <f>4500*72</f>
        <v>324000</v>
      </c>
      <c r="E145" s="13">
        <f>D145</f>
        <v>324000</v>
      </c>
      <c r="K145" s="1">
        <v>4500</v>
      </c>
    </row>
    <row r="146" spans="2:11" x14ac:dyDescent="0.2">
      <c r="B146" s="158" t="s">
        <v>270</v>
      </c>
      <c r="C146" s="38" t="s">
        <v>271</v>
      </c>
      <c r="D146" s="37">
        <f>3000*72</f>
        <v>216000</v>
      </c>
      <c r="E146" s="13">
        <f>D146</f>
        <v>216000</v>
      </c>
      <c r="K146" s="1">
        <v>3000</v>
      </c>
    </row>
    <row r="147" spans="2:11" x14ac:dyDescent="0.2">
      <c r="B147" s="158" t="s">
        <v>272</v>
      </c>
      <c r="C147" s="38" t="s">
        <v>273</v>
      </c>
      <c r="D147" s="37">
        <v>200000</v>
      </c>
      <c r="E147" s="13">
        <v>200000</v>
      </c>
      <c r="K147" s="165">
        <f>+D147/72</f>
        <v>2777.7777777777778</v>
      </c>
    </row>
    <row r="148" spans="2:11" ht="15" x14ac:dyDescent="0.2">
      <c r="B148" s="164" t="s">
        <v>274</v>
      </c>
      <c r="C148" s="22" t="s">
        <v>275</v>
      </c>
      <c r="D148" s="25">
        <f t="shared" ref="D148:I148" si="51">SUM(D149:D151)</f>
        <v>756000</v>
      </c>
      <c r="E148" s="25">
        <f t="shared" si="51"/>
        <v>756000</v>
      </c>
      <c r="F148" s="25">
        <f t="shared" si="51"/>
        <v>0</v>
      </c>
      <c r="G148" s="25">
        <f t="shared" si="51"/>
        <v>0</v>
      </c>
      <c r="H148" s="25">
        <f t="shared" si="51"/>
        <v>0</v>
      </c>
      <c r="I148" s="25">
        <f t="shared" si="51"/>
        <v>0</v>
      </c>
      <c r="J148" s="25">
        <f t="shared" ref="J148" si="52">SUM(E148:H148)</f>
        <v>756000</v>
      </c>
    </row>
    <row r="149" spans="2:11" x14ac:dyDescent="0.2">
      <c r="B149" s="158" t="s">
        <v>276</v>
      </c>
      <c r="C149" s="38" t="s">
        <v>277</v>
      </c>
      <c r="D149" s="37">
        <f>4500*72</f>
        <v>324000</v>
      </c>
      <c r="E149" s="13">
        <f>D149</f>
        <v>324000</v>
      </c>
      <c r="K149" s="1">
        <v>4500</v>
      </c>
    </row>
    <row r="150" spans="2:11" x14ac:dyDescent="0.2">
      <c r="B150" s="158" t="s">
        <v>278</v>
      </c>
      <c r="C150" s="38" t="s">
        <v>279</v>
      </c>
      <c r="D150" s="37">
        <f>3000*72</f>
        <v>216000</v>
      </c>
      <c r="E150" s="13">
        <f t="shared" ref="E150:E151" si="53">D150</f>
        <v>216000</v>
      </c>
      <c r="K150" s="1">
        <v>3000</v>
      </c>
    </row>
    <row r="151" spans="2:11" x14ac:dyDescent="0.2">
      <c r="B151" s="158" t="s">
        <v>280</v>
      </c>
      <c r="C151" s="38" t="s">
        <v>281</v>
      </c>
      <c r="D151" s="37">
        <f>3000*72</f>
        <v>216000</v>
      </c>
      <c r="E151" s="13">
        <f t="shared" si="53"/>
        <v>216000</v>
      </c>
      <c r="K151" s="1">
        <v>3000</v>
      </c>
    </row>
    <row r="152" spans="2:11" ht="15" x14ac:dyDescent="0.2">
      <c r="B152" s="164" t="s">
        <v>282</v>
      </c>
      <c r="C152" s="22" t="s">
        <v>283</v>
      </c>
      <c r="D152" s="25">
        <f t="shared" ref="D152:I152" si="54">SUM(D153:D153)</f>
        <v>324000</v>
      </c>
      <c r="E152" s="25">
        <f t="shared" si="54"/>
        <v>324000</v>
      </c>
      <c r="F152" s="25">
        <f t="shared" si="54"/>
        <v>0</v>
      </c>
      <c r="G152" s="25">
        <f t="shared" si="54"/>
        <v>0</v>
      </c>
      <c r="H152" s="25">
        <f t="shared" si="54"/>
        <v>0</v>
      </c>
      <c r="I152" s="25">
        <f t="shared" si="54"/>
        <v>0</v>
      </c>
      <c r="J152" s="25">
        <f t="shared" ref="J152" si="55">SUM(E152:H152)</f>
        <v>324000</v>
      </c>
    </row>
    <row r="153" spans="2:11" x14ac:dyDescent="0.2">
      <c r="B153" s="158" t="s">
        <v>284</v>
      </c>
      <c r="C153" s="38" t="s">
        <v>285</v>
      </c>
      <c r="D153" s="37">
        <f>4500*72</f>
        <v>324000</v>
      </c>
      <c r="E153" s="13">
        <f>D153</f>
        <v>324000</v>
      </c>
      <c r="K153" s="1">
        <v>4500</v>
      </c>
    </row>
    <row r="154" spans="2:11" ht="15" x14ac:dyDescent="0.2">
      <c r="B154" s="164" t="s">
        <v>286</v>
      </c>
      <c r="C154" s="22" t="s">
        <v>287</v>
      </c>
      <c r="D154" s="25">
        <f t="shared" ref="D154:I154" si="56">SUM(D155:D155)</f>
        <v>216000</v>
      </c>
      <c r="E154" s="25">
        <f t="shared" si="56"/>
        <v>216000</v>
      </c>
      <c r="F154" s="25">
        <f t="shared" si="56"/>
        <v>0</v>
      </c>
      <c r="G154" s="25">
        <f t="shared" si="56"/>
        <v>0</v>
      </c>
      <c r="H154" s="25">
        <f t="shared" si="56"/>
        <v>0</v>
      </c>
      <c r="I154" s="25">
        <f t="shared" si="56"/>
        <v>0</v>
      </c>
      <c r="J154" s="25">
        <f t="shared" ref="J154" si="57">SUM(E154:H154)</f>
        <v>216000</v>
      </c>
    </row>
    <row r="155" spans="2:11" x14ac:dyDescent="0.2">
      <c r="B155" s="158" t="s">
        <v>288</v>
      </c>
      <c r="C155" s="38" t="s">
        <v>285</v>
      </c>
      <c r="D155" s="37">
        <f>3000*72</f>
        <v>216000</v>
      </c>
      <c r="E155" s="13">
        <f t="shared" ref="E155" si="58">D155</f>
        <v>216000</v>
      </c>
      <c r="K155" s="1">
        <v>3000</v>
      </c>
    </row>
    <row r="156" spans="2:11" ht="15" x14ac:dyDescent="0.2">
      <c r="B156" s="164" t="s">
        <v>289</v>
      </c>
      <c r="C156" s="22" t="s">
        <v>290</v>
      </c>
      <c r="D156" s="25">
        <f t="shared" ref="D156:I156" si="59">SUM(D157:D158)</f>
        <v>540000</v>
      </c>
      <c r="E156" s="25">
        <f t="shared" si="59"/>
        <v>540000</v>
      </c>
      <c r="F156" s="25">
        <f t="shared" si="59"/>
        <v>0</v>
      </c>
      <c r="G156" s="25">
        <f t="shared" si="59"/>
        <v>0</v>
      </c>
      <c r="H156" s="25">
        <f t="shared" si="59"/>
        <v>0</v>
      </c>
      <c r="I156" s="25">
        <f t="shared" si="59"/>
        <v>0</v>
      </c>
      <c r="J156" s="25">
        <f t="shared" ref="J156" si="60">SUM(E156:H156)</f>
        <v>540000</v>
      </c>
    </row>
    <row r="157" spans="2:11" x14ac:dyDescent="0.2">
      <c r="B157" s="158" t="s">
        <v>291</v>
      </c>
      <c r="C157" s="38" t="s">
        <v>277</v>
      </c>
      <c r="D157" s="37">
        <f>4500*72</f>
        <v>324000</v>
      </c>
      <c r="E157" s="13">
        <f>D157</f>
        <v>324000</v>
      </c>
      <c r="K157" s="1">
        <v>4500</v>
      </c>
    </row>
    <row r="158" spans="2:11" x14ac:dyDescent="0.2">
      <c r="B158" s="158" t="s">
        <v>292</v>
      </c>
      <c r="C158" s="38" t="s">
        <v>196</v>
      </c>
      <c r="D158" s="37">
        <f>3000*72</f>
        <v>216000</v>
      </c>
      <c r="E158" s="13">
        <f t="shared" ref="E158" si="61">D158</f>
        <v>216000</v>
      </c>
      <c r="K158" s="1">
        <v>3000</v>
      </c>
    </row>
    <row r="159" spans="2:11" ht="15" x14ac:dyDescent="0.2">
      <c r="B159" s="164" t="s">
        <v>293</v>
      </c>
      <c r="C159" s="22" t="s">
        <v>294</v>
      </c>
      <c r="D159" s="25">
        <f>SUM(D160:D162)</f>
        <v>756000</v>
      </c>
      <c r="E159" s="25">
        <f t="shared" ref="E159:H159" si="62">SUM(E160:E162)</f>
        <v>756000</v>
      </c>
      <c r="F159" s="25">
        <f t="shared" si="62"/>
        <v>0</v>
      </c>
      <c r="G159" s="25">
        <f t="shared" si="62"/>
        <v>0</v>
      </c>
      <c r="H159" s="25">
        <f t="shared" si="62"/>
        <v>0</v>
      </c>
      <c r="I159" s="25">
        <f t="shared" ref="I159" si="63">SUM(I160:I162)</f>
        <v>0</v>
      </c>
      <c r="J159" s="25">
        <f t="shared" ref="J159" si="64">SUM(E159:H159)</f>
        <v>756000</v>
      </c>
    </row>
    <row r="160" spans="2:11" x14ac:dyDescent="0.2">
      <c r="B160" s="158" t="s">
        <v>295</v>
      </c>
      <c r="C160" s="38" t="s">
        <v>296</v>
      </c>
      <c r="D160" s="37">
        <f>4500*72</f>
        <v>324000</v>
      </c>
      <c r="E160" s="13">
        <f>D160</f>
        <v>324000</v>
      </c>
      <c r="K160" s="1">
        <v>4500</v>
      </c>
    </row>
    <row r="161" spans="1:12" x14ac:dyDescent="0.2">
      <c r="B161" s="158" t="s">
        <v>297</v>
      </c>
      <c r="C161" s="38" t="s">
        <v>298</v>
      </c>
      <c r="D161" s="37">
        <f>3500*72</f>
        <v>252000</v>
      </c>
      <c r="E161" s="13">
        <f t="shared" ref="E161:E162" si="65">D161</f>
        <v>252000</v>
      </c>
      <c r="K161" s="1">
        <v>3500</v>
      </c>
    </row>
    <row r="162" spans="1:12" x14ac:dyDescent="0.2">
      <c r="B162" s="158" t="s">
        <v>299</v>
      </c>
      <c r="C162" s="38" t="s">
        <v>300</v>
      </c>
      <c r="D162" s="37">
        <f>2500*72</f>
        <v>180000</v>
      </c>
      <c r="E162" s="13">
        <f t="shared" si="65"/>
        <v>180000</v>
      </c>
      <c r="K162" s="1">
        <v>2500</v>
      </c>
    </row>
    <row r="163" spans="1:12" ht="15" x14ac:dyDescent="0.2">
      <c r="B163" s="164" t="s">
        <v>301</v>
      </c>
      <c r="C163" s="22" t="s">
        <v>302</v>
      </c>
      <c r="D163" s="25">
        <f>SUM(D164:D166)</f>
        <v>720000</v>
      </c>
      <c r="E163" s="25">
        <f t="shared" ref="E163:H163" si="66">SUM(E164:E166)</f>
        <v>720000</v>
      </c>
      <c r="F163" s="25">
        <f t="shared" si="66"/>
        <v>0</v>
      </c>
      <c r="G163" s="25">
        <f t="shared" si="66"/>
        <v>0</v>
      </c>
      <c r="H163" s="25">
        <f t="shared" si="66"/>
        <v>0</v>
      </c>
      <c r="I163" s="25">
        <f t="shared" ref="I163" si="67">SUM(I164:I166)</f>
        <v>0</v>
      </c>
      <c r="J163" s="25">
        <f t="shared" ref="J163" si="68">SUM(E163:H163)</f>
        <v>720000</v>
      </c>
      <c r="L163" s="1">
        <f>+K163*72*17</f>
        <v>0</v>
      </c>
    </row>
    <row r="164" spans="1:12" x14ac:dyDescent="0.2">
      <c r="B164" s="158" t="s">
        <v>303</v>
      </c>
      <c r="C164" s="38" t="s">
        <v>304</v>
      </c>
      <c r="D164" s="37">
        <f>4500*72</f>
        <v>324000</v>
      </c>
      <c r="E164" s="13">
        <f>D164</f>
        <v>324000</v>
      </c>
      <c r="K164" s="1">
        <v>4500</v>
      </c>
    </row>
    <row r="165" spans="1:12" x14ac:dyDescent="0.2">
      <c r="B165" s="158" t="s">
        <v>305</v>
      </c>
      <c r="C165" s="38" t="s">
        <v>306</v>
      </c>
      <c r="D165" s="37">
        <f>3000*72</f>
        <v>216000</v>
      </c>
      <c r="E165" s="13">
        <f t="shared" ref="E165:E166" si="69">D165</f>
        <v>216000</v>
      </c>
      <c r="K165" s="1">
        <v>3000</v>
      </c>
    </row>
    <row r="166" spans="1:12" x14ac:dyDescent="0.2">
      <c r="B166" s="158" t="s">
        <v>307</v>
      </c>
      <c r="C166" s="38" t="s">
        <v>308</v>
      </c>
      <c r="D166" s="37">
        <f>2500*72</f>
        <v>180000</v>
      </c>
      <c r="E166" s="13">
        <f t="shared" si="69"/>
        <v>180000</v>
      </c>
      <c r="K166" s="1">
        <v>2500</v>
      </c>
    </row>
    <row r="167" spans="1:12" ht="15" x14ac:dyDescent="0.2">
      <c r="B167" s="164" t="s">
        <v>309</v>
      </c>
      <c r="C167" s="22" t="s">
        <v>310</v>
      </c>
      <c r="D167" s="25">
        <f>SUM(D168:D170)</f>
        <v>0</v>
      </c>
      <c r="E167" s="25">
        <f t="shared" ref="E167:H167" si="70">SUM(E168:E170)</f>
        <v>0</v>
      </c>
      <c r="F167" s="25">
        <f t="shared" si="70"/>
        <v>0</v>
      </c>
      <c r="G167" s="25">
        <f t="shared" si="70"/>
        <v>0</v>
      </c>
      <c r="H167" s="25">
        <f t="shared" si="70"/>
        <v>0</v>
      </c>
      <c r="I167" s="25">
        <f t="shared" ref="I167" si="71">SUM(I168:I170)</f>
        <v>0</v>
      </c>
      <c r="J167" s="25">
        <f t="shared" ref="J167" si="72">SUM(E167:H167)</f>
        <v>0</v>
      </c>
      <c r="K167" s="165">
        <f>SUM(K144:K166)</f>
        <v>62277.777777777781</v>
      </c>
      <c r="L167" s="165">
        <f>+K167/17</f>
        <v>3663.3986928104578</v>
      </c>
    </row>
    <row r="168" spans="1:12" x14ac:dyDescent="0.2">
      <c r="B168" s="158" t="s">
        <v>311</v>
      </c>
      <c r="C168" s="38" t="s">
        <v>312</v>
      </c>
      <c r="D168" s="37">
        <v>0</v>
      </c>
      <c r="E168" s="13">
        <f>D168</f>
        <v>0</v>
      </c>
      <c r="L168" s="166">
        <f>+L167*72*17</f>
        <v>4484000</v>
      </c>
    </row>
    <row r="169" spans="1:12" x14ac:dyDescent="0.2">
      <c r="B169" s="158" t="s">
        <v>313</v>
      </c>
      <c r="C169" s="38" t="s">
        <v>314</v>
      </c>
      <c r="D169" s="37">
        <v>0</v>
      </c>
      <c r="E169" s="13">
        <f t="shared" ref="E169:E170" si="73">D169</f>
        <v>0</v>
      </c>
    </row>
    <row r="170" spans="1:12" x14ac:dyDescent="0.2">
      <c r="B170" s="158" t="s">
        <v>315</v>
      </c>
      <c r="C170" s="38" t="s">
        <v>316</v>
      </c>
      <c r="D170" s="37">
        <v>0</v>
      </c>
      <c r="E170" s="13">
        <f t="shared" si="73"/>
        <v>0</v>
      </c>
    </row>
    <row r="171" spans="1:12" s="29" customFormat="1" ht="15" x14ac:dyDescent="0.2">
      <c r="A171" s="155"/>
      <c r="B171" s="163">
        <v>5.2</v>
      </c>
      <c r="C171" s="27" t="s">
        <v>317</v>
      </c>
      <c r="D171" s="28">
        <v>480000</v>
      </c>
      <c r="F171" s="1"/>
      <c r="G171" s="13">
        <f>D171</f>
        <v>480000</v>
      </c>
      <c r="H171" s="1"/>
      <c r="I171" s="1"/>
    </row>
    <row r="172" spans="1:12" s="29" customFormat="1" ht="15" x14ac:dyDescent="0.2">
      <c r="A172" s="155"/>
      <c r="B172" s="163">
        <v>5.3</v>
      </c>
      <c r="C172" s="27" t="s">
        <v>318</v>
      </c>
      <c r="D172" s="28">
        <v>60000</v>
      </c>
      <c r="E172" s="1"/>
      <c r="F172" s="1"/>
      <c r="G172" s="13">
        <f>D172</f>
        <v>60000</v>
      </c>
      <c r="H172" s="1"/>
      <c r="I172" s="1"/>
    </row>
    <row r="173" spans="1:12" s="29" customFormat="1" ht="15" x14ac:dyDescent="0.2">
      <c r="A173" s="155"/>
      <c r="B173" s="163">
        <v>5.4</v>
      </c>
      <c r="C173" s="27" t="s">
        <v>319</v>
      </c>
      <c r="D173" s="28">
        <v>60000</v>
      </c>
      <c r="E173" s="1"/>
      <c r="F173" s="1"/>
      <c r="G173" s="13">
        <f>D173</f>
        <v>60000</v>
      </c>
      <c r="H173" s="1"/>
      <c r="I173" s="1"/>
    </row>
    <row r="174" spans="1:12" s="29" customFormat="1" ht="15" x14ac:dyDescent="0.2">
      <c r="A174" s="155"/>
      <c r="B174" s="163">
        <v>5.5</v>
      </c>
      <c r="C174" s="27" t="s">
        <v>320</v>
      </c>
      <c r="D174" s="28">
        <v>250000</v>
      </c>
      <c r="E174" s="1"/>
      <c r="F174" s="13">
        <f>D174</f>
        <v>250000</v>
      </c>
      <c r="G174" s="1"/>
      <c r="H174" s="1"/>
      <c r="I174" s="1"/>
    </row>
    <row r="175" spans="1:12" s="29" customFormat="1" ht="15" x14ac:dyDescent="0.2">
      <c r="A175" s="155"/>
      <c r="B175" s="163">
        <v>5.6</v>
      </c>
      <c r="C175" s="27" t="s">
        <v>321</v>
      </c>
      <c r="D175" s="28">
        <v>350000</v>
      </c>
      <c r="E175" s="13">
        <f>D175</f>
        <v>350000</v>
      </c>
      <c r="F175" s="1"/>
      <c r="G175" s="1"/>
      <c r="H175" s="1"/>
      <c r="I175" s="1"/>
    </row>
    <row r="176" spans="1:12" s="30" customFormat="1" ht="19.5" customHeight="1" x14ac:dyDescent="0.2">
      <c r="A176" s="167"/>
      <c r="B176" s="156">
        <v>6</v>
      </c>
      <c r="C176" s="20" t="s">
        <v>322</v>
      </c>
      <c r="D176" s="21">
        <f>1750000+850000</f>
        <v>2600000</v>
      </c>
      <c r="E176" s="21"/>
      <c r="F176" s="21"/>
      <c r="G176" s="21"/>
      <c r="H176" s="21">
        <f>D176</f>
        <v>2600000</v>
      </c>
      <c r="I176" s="21"/>
      <c r="J176" s="21"/>
    </row>
    <row r="179" spans="2:3" ht="15" x14ac:dyDescent="0.2">
      <c r="B179" s="169"/>
      <c r="C179" s="170"/>
    </row>
    <row r="180" spans="2:3" ht="15" x14ac:dyDescent="0.2">
      <c r="B180" s="169"/>
      <c r="C180" s="170"/>
    </row>
    <row r="181" spans="2:3" ht="15" x14ac:dyDescent="0.2">
      <c r="B181" s="169"/>
      <c r="C181" s="170"/>
    </row>
    <row r="182" spans="2:3" ht="15" x14ac:dyDescent="0.2">
      <c r="B182" s="169"/>
      <c r="C182" s="170"/>
    </row>
    <row r="183" spans="2:3" ht="15" x14ac:dyDescent="0.2">
      <c r="B183" s="169"/>
      <c r="C183" s="170"/>
    </row>
    <row r="184" spans="2:3" ht="15" x14ac:dyDescent="0.2">
      <c r="B184" s="169"/>
      <c r="C184" s="170"/>
    </row>
    <row r="185" spans="2:3" ht="15" x14ac:dyDescent="0.2">
      <c r="B185" s="169"/>
      <c r="C185" s="170"/>
    </row>
  </sheetData>
  <printOptions horizontalCentered="1"/>
  <pageMargins left="0.25" right="0.25" top="0.75" bottom="0.75" header="0.3" footer="0.3"/>
  <pageSetup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zoomScale="80" zoomScaleNormal="80" workbookViewId="0">
      <selection activeCell="N10" sqref="N10"/>
    </sheetView>
  </sheetViews>
  <sheetFormatPr defaultRowHeight="14.25" x14ac:dyDescent="0.2"/>
  <cols>
    <col min="1" max="1" width="66.140625" style="87" customWidth="1"/>
    <col min="2" max="2" width="14.140625" style="85" customWidth="1"/>
    <col min="3" max="3" width="9.42578125" style="85" bestFit="1" customWidth="1"/>
    <col min="4" max="4" width="13" style="85" bestFit="1" customWidth="1"/>
    <col min="5" max="5" width="9.42578125" style="85" bestFit="1" customWidth="1"/>
    <col min="6" max="6" width="12.42578125" style="85" bestFit="1" customWidth="1"/>
    <col min="7" max="7" width="9.42578125" style="85" bestFit="1" customWidth="1"/>
    <col min="8" max="8" width="12.42578125" style="85" bestFit="1" customWidth="1"/>
    <col min="9" max="9" width="9.42578125" style="85" bestFit="1" customWidth="1"/>
    <col min="10" max="10" width="12.42578125" style="85" bestFit="1" customWidth="1"/>
    <col min="11" max="11" width="9.42578125" style="85" bestFit="1" customWidth="1"/>
    <col min="12" max="12" width="12.42578125" style="85" bestFit="1" customWidth="1"/>
    <col min="13" max="13" width="9.42578125" style="85" bestFit="1" customWidth="1"/>
    <col min="14" max="14" width="12.42578125" style="85" bestFit="1" customWidth="1"/>
    <col min="15" max="15" width="15.5703125" style="178" bestFit="1" customWidth="1"/>
    <col min="16" max="16" width="10" style="85" bestFit="1" customWidth="1"/>
    <col min="17" max="16384" width="9.140625" style="85"/>
  </cols>
  <sheetData>
    <row r="1" spans="1:16" ht="15" x14ac:dyDescent="0.25">
      <c r="A1" s="234" t="s">
        <v>323</v>
      </c>
      <c r="B1" s="234"/>
      <c r="C1" s="234"/>
      <c r="D1" s="234"/>
      <c r="E1" s="234"/>
      <c r="F1" s="234"/>
      <c r="G1" s="234"/>
      <c r="H1" s="234"/>
      <c r="I1" s="234"/>
      <c r="J1" s="234"/>
      <c r="K1" s="234"/>
      <c r="L1" s="234"/>
      <c r="M1" s="84"/>
      <c r="N1" s="84"/>
    </row>
    <row r="2" spans="1:16" ht="15" x14ac:dyDescent="0.2">
      <c r="A2" s="86" t="s">
        <v>324</v>
      </c>
      <c r="B2" s="71">
        <f>B4+B14+B20+B27+B40+B48</f>
        <v>90000000</v>
      </c>
      <c r="C2" s="72">
        <f>D2/$B2*100</f>
        <v>4.9473851851851851</v>
      </c>
      <c r="D2" s="71">
        <f>D4+D14+D20+D27+D40+D48</f>
        <v>4452646.666666667</v>
      </c>
      <c r="E2" s="72">
        <f>F2/$B$2*100</f>
        <v>9.8785185185185185</v>
      </c>
      <c r="F2" s="71">
        <f>F4+F14+F20+F27+F40+F48</f>
        <v>8890666.666666666</v>
      </c>
      <c r="G2" s="72">
        <f>H2/$B$2*100</f>
        <v>13.719518518518518</v>
      </c>
      <c r="H2" s="71">
        <f>H4+H14+H20+H27+H40+H48</f>
        <v>12347566.666666666</v>
      </c>
      <c r="I2" s="72">
        <f>J2/$B$2*100</f>
        <v>18.720185185185187</v>
      </c>
      <c r="J2" s="71">
        <f>J4+J14+J20+J27+J40+J48</f>
        <v>16848166.666666668</v>
      </c>
      <c r="K2" s="72">
        <f>L2/$B$2*100</f>
        <v>26.368574074074075</v>
      </c>
      <c r="L2" s="71">
        <f>L4+L14+L20+L27+L40+L48</f>
        <v>23731716.666666668</v>
      </c>
      <c r="M2" s="72">
        <f>N2/$B$2*100</f>
        <v>26.36581851851852</v>
      </c>
      <c r="N2" s="71">
        <f>N4+N14+N20+N27+N40+N48</f>
        <v>23729236.666666668</v>
      </c>
      <c r="O2" s="179">
        <f>D2+F2+H2+J2+L2+N2</f>
        <v>90000000.000000015</v>
      </c>
    </row>
    <row r="3" spans="1:16" ht="15" x14ac:dyDescent="0.25">
      <c r="A3" s="230" t="str">
        <f>'Presupuesto Detallado'!C4</f>
        <v>Componente I: Consolidación de la Oferta de Turismo Cultural</v>
      </c>
      <c r="B3" s="73" t="s">
        <v>325</v>
      </c>
      <c r="C3" s="74" t="s">
        <v>326</v>
      </c>
      <c r="D3" s="75" t="s">
        <v>327</v>
      </c>
      <c r="E3" s="75" t="s">
        <v>326</v>
      </c>
      <c r="F3" s="75" t="s">
        <v>328</v>
      </c>
      <c r="G3" s="75" t="s">
        <v>326</v>
      </c>
      <c r="H3" s="75" t="s">
        <v>329</v>
      </c>
      <c r="I3" s="75" t="s">
        <v>326</v>
      </c>
      <c r="J3" s="75" t="s">
        <v>330</v>
      </c>
      <c r="K3" s="75" t="s">
        <v>326</v>
      </c>
      <c r="L3" s="75" t="s">
        <v>331</v>
      </c>
      <c r="M3" s="75" t="s">
        <v>326</v>
      </c>
      <c r="N3" s="75" t="s">
        <v>332</v>
      </c>
    </row>
    <row r="4" spans="1:16" ht="16.5" customHeight="1" x14ac:dyDescent="0.25">
      <c r="A4" s="235"/>
      <c r="B4" s="76">
        <f>SUM(B5:B11)</f>
        <v>49160000</v>
      </c>
      <c r="C4" s="72">
        <f>D4/$B4*100</f>
        <v>3.4827095199349065</v>
      </c>
      <c r="D4" s="76">
        <f>SUM(D5:D11)</f>
        <v>1712100</v>
      </c>
      <c r="E4" s="72">
        <f>F4/$B4*100</f>
        <v>7.6261187957689174</v>
      </c>
      <c r="F4" s="76">
        <f>SUM(F5:F11)</f>
        <v>3749000</v>
      </c>
      <c r="G4" s="72">
        <f>H4/$B4*100</f>
        <v>11.372660699755899</v>
      </c>
      <c r="H4" s="76">
        <f>SUM(H5:H11)</f>
        <v>5590800</v>
      </c>
      <c r="I4" s="72">
        <f>J4/$B4*100</f>
        <v>15.160089503661514</v>
      </c>
      <c r="J4" s="76">
        <f>SUM(J5:J11)</f>
        <v>7452700</v>
      </c>
      <c r="K4" s="72">
        <f>L4/$B4*100</f>
        <v>34.025630593978846</v>
      </c>
      <c r="L4" s="76">
        <f>SUM(L5:L11)</f>
        <v>16727000</v>
      </c>
      <c r="M4" s="72">
        <f>N4/$B4*100</f>
        <v>28.332790886899918</v>
      </c>
      <c r="N4" s="76">
        <f>SUM(N5:N11)</f>
        <v>13928400</v>
      </c>
      <c r="O4" s="179">
        <f>D4+F4+H4+J4+L4+N4</f>
        <v>49160000</v>
      </c>
    </row>
    <row r="5" spans="1:16" ht="91.5" customHeight="1" x14ac:dyDescent="0.2">
      <c r="A5" s="175" t="str">
        <f>'Presupuesto Detallado'!C5</f>
        <v xml:space="preserve">PRODUCTO 1.1 - Recuperación integral de espacios públicos en calles priorizadas . Esto incluirá las siguientes intervenciones: (i) la corrección del sistema de suministro de agua, drenaje pluvial, alcantarillas; (ii) obra civil de infraestructura de cableado eléctrico y de telecomunicación; (iii) nueva pavimentación; (iv) iluminación, mobiliario, señalización y arborización. </v>
      </c>
      <c r="B5" s="77">
        <f>'Presupuesto Detallado'!D5</f>
        <v>24814000</v>
      </c>
      <c r="C5" s="72">
        <v>5</v>
      </c>
      <c r="D5" s="77">
        <f>$B5*C5/100</f>
        <v>1240700</v>
      </c>
      <c r="E5" s="72">
        <v>10</v>
      </c>
      <c r="F5" s="77">
        <f t="shared" ref="F5:F11" si="0">$B5*E5/100</f>
        <v>2481400</v>
      </c>
      <c r="G5" s="72">
        <v>15</v>
      </c>
      <c r="H5" s="77">
        <f t="shared" ref="H5:J11" si="1">$B5*G5/100</f>
        <v>3722100</v>
      </c>
      <c r="I5" s="72">
        <v>15</v>
      </c>
      <c r="J5" s="77">
        <f t="shared" si="1"/>
        <v>3722100</v>
      </c>
      <c r="K5" s="72">
        <v>30</v>
      </c>
      <c r="L5" s="77">
        <f t="shared" ref="L5" si="2">$B5*K5/100</f>
        <v>7444200</v>
      </c>
      <c r="M5" s="72">
        <v>25</v>
      </c>
      <c r="N5" s="77">
        <f t="shared" ref="N5:N11" si="3">$B5*M5/100</f>
        <v>6203500</v>
      </c>
      <c r="O5" s="179">
        <f>C5+E5+G5+I5+K5+M5</f>
        <v>100</v>
      </c>
      <c r="P5" s="85">
        <v>1505000</v>
      </c>
    </row>
    <row r="6" spans="1:16" ht="75.75" customHeight="1" x14ac:dyDescent="0.2">
      <c r="A6" s="175" t="str">
        <f>'Presupuesto Detallado'!C19</f>
        <v>PRODUCTO 1.2: Restauración y puesta en valor de ruinas arqueológicas. Esto incluirá obras de construcción de las Ruinas de San Francisco (Capilla de la Tercera Orden, Centro de Interpretación, y Parque Arqueológico). Además, se llevará a cabo restauraciones en las calles adyacentes a las ruinas: Restauración, Juan Isidro Pérez, Tejera y Duarte;</v>
      </c>
      <c r="B6" s="77">
        <f>'Presupuesto Detallado'!D19</f>
        <v>9586000</v>
      </c>
      <c r="C6" s="72">
        <v>0</v>
      </c>
      <c r="D6" s="77">
        <f t="shared" ref="D6:D11" si="4">$B6*C6/100</f>
        <v>0</v>
      </c>
      <c r="E6" s="72">
        <v>5</v>
      </c>
      <c r="F6" s="77">
        <f t="shared" si="0"/>
        <v>479300</v>
      </c>
      <c r="G6" s="72">
        <v>5</v>
      </c>
      <c r="H6" s="77">
        <f t="shared" si="1"/>
        <v>479300</v>
      </c>
      <c r="I6" s="72">
        <v>15</v>
      </c>
      <c r="J6" s="77">
        <f t="shared" si="1"/>
        <v>1437900</v>
      </c>
      <c r="K6" s="72">
        <v>40</v>
      </c>
      <c r="L6" s="77">
        <f t="shared" ref="L6" si="5">$B6*K6/100</f>
        <v>3834400</v>
      </c>
      <c r="M6" s="72">
        <v>35</v>
      </c>
      <c r="N6" s="77">
        <f t="shared" si="3"/>
        <v>3355100</v>
      </c>
      <c r="O6" s="179">
        <f t="shared" ref="O6:O46" si="6">C6+E6+G6+I6+K6+M6</f>
        <v>100</v>
      </c>
      <c r="P6" s="85">
        <f>P5/B5</f>
        <v>6.0651245264769886E-2</v>
      </c>
    </row>
    <row r="7" spans="1:16" ht="78" customHeight="1" x14ac:dyDescent="0.2">
      <c r="A7" s="175" t="str">
        <f>'Presupuesto Detallado'!C24</f>
        <v>PRODUCTO 1.3: Recuperación de la Ribera del Ozama. La realización del Proyecto Ejecutivo Parque Lineal de la Ribera y supervisión de la obra incluirá: (i) conectividad y vínculos entre la ribera este y oeste de la ría; (ii) accesos priorizados para cruceristas; (iii) estacionamientos y movilidad; y (iv) paisajismo.</v>
      </c>
      <c r="B7" s="77">
        <f>'Presupuesto Detallado'!D38</f>
        <v>2678000</v>
      </c>
      <c r="C7" s="72">
        <v>5</v>
      </c>
      <c r="D7" s="77">
        <f>$B7*C7/100</f>
        <v>133900</v>
      </c>
      <c r="E7" s="72">
        <v>10</v>
      </c>
      <c r="F7" s="77">
        <f>$B7*E7/100</f>
        <v>267800</v>
      </c>
      <c r="G7" s="72">
        <v>10</v>
      </c>
      <c r="H7" s="77">
        <f>$B7*G7/100</f>
        <v>267800</v>
      </c>
      <c r="I7" s="72">
        <v>10</v>
      </c>
      <c r="J7" s="77">
        <f>$B7*I7/100</f>
        <v>267800</v>
      </c>
      <c r="K7" s="72">
        <v>40</v>
      </c>
      <c r="L7" s="77">
        <f>$B7*K7/100</f>
        <v>1071200</v>
      </c>
      <c r="M7" s="72">
        <v>25</v>
      </c>
      <c r="N7" s="77">
        <f>$B7*M7/100</f>
        <v>669500</v>
      </c>
      <c r="O7" s="179">
        <f t="shared" si="6"/>
        <v>100</v>
      </c>
    </row>
    <row r="8" spans="1:16" ht="62.25" customHeight="1" x14ac:dyDescent="0.2">
      <c r="A8" s="175" t="str">
        <f>'Presupuesto Detallado'!C27</f>
        <v>PRODUCTO 1.4: Recuperación de Museos. Esto incluirá: (i) Obras de Adecuación y Mantenimiento Planta Física del museo Alcázar de Colón; (ii) Obras de adecuación y mantenimiento de la planta física del Museo Casas Reales; y (iii) museografía de Fortaleza y Museo de la Catedral.</v>
      </c>
      <c r="B8" s="77">
        <f>'Presupuesto Detallado'!D24</f>
        <v>1830000</v>
      </c>
      <c r="C8" s="72">
        <v>5</v>
      </c>
      <c r="D8" s="77">
        <f t="shared" si="4"/>
        <v>91500</v>
      </c>
      <c r="E8" s="72">
        <v>15</v>
      </c>
      <c r="F8" s="77">
        <f t="shared" si="0"/>
        <v>274500</v>
      </c>
      <c r="G8" s="72">
        <v>15</v>
      </c>
      <c r="H8" s="77">
        <f t="shared" si="1"/>
        <v>274500</v>
      </c>
      <c r="I8" s="72">
        <v>15</v>
      </c>
      <c r="J8" s="77">
        <f t="shared" si="1"/>
        <v>274500</v>
      </c>
      <c r="K8" s="72">
        <v>45</v>
      </c>
      <c r="L8" s="77">
        <f t="shared" ref="L8" si="7">$B8*K8/100</f>
        <v>823500</v>
      </c>
      <c r="M8" s="72">
        <v>5</v>
      </c>
      <c r="N8" s="77">
        <f t="shared" si="3"/>
        <v>91500</v>
      </c>
      <c r="O8" s="179">
        <f t="shared" si="6"/>
        <v>100</v>
      </c>
    </row>
    <row r="9" spans="1:16" ht="44.1" customHeight="1" x14ac:dyDescent="0.2">
      <c r="A9" s="175" t="str">
        <f>'Presupuesto Detallado'!C38</f>
        <v xml:space="preserve">PRODUCTO 1.5: Implementación del Plan de Movilidad Urbana (PMUS). Esto incluirá el diseño y la ejecución de las obras, suministro y colocación de señalética, marcas, carteles, elementos urbanos de tráfico correspondientes al PMUS y diseño, ejecución y supervisión de un estacionamiento; </v>
      </c>
      <c r="B9" s="77">
        <f>'Presupuesto Detallado'!D27</f>
        <v>6022000</v>
      </c>
      <c r="C9" s="72">
        <v>0</v>
      </c>
      <c r="D9" s="77">
        <f t="shared" si="4"/>
        <v>0</v>
      </c>
      <c r="E9" s="72">
        <v>0</v>
      </c>
      <c r="F9" s="77">
        <f t="shared" si="0"/>
        <v>0</v>
      </c>
      <c r="G9" s="72">
        <v>5</v>
      </c>
      <c r="H9" s="77">
        <f t="shared" si="1"/>
        <v>301100</v>
      </c>
      <c r="I9" s="72">
        <v>20</v>
      </c>
      <c r="J9" s="77">
        <f t="shared" si="1"/>
        <v>1204400</v>
      </c>
      <c r="K9" s="72">
        <v>35</v>
      </c>
      <c r="L9" s="77">
        <f t="shared" ref="L9" si="8">$B9*K9/100</f>
        <v>2107700</v>
      </c>
      <c r="M9" s="72">
        <v>40</v>
      </c>
      <c r="N9" s="77">
        <f t="shared" si="3"/>
        <v>2408800</v>
      </c>
      <c r="O9" s="179">
        <f t="shared" si="6"/>
        <v>100</v>
      </c>
    </row>
    <row r="10" spans="1:16" ht="75" customHeight="1" x14ac:dyDescent="0.2">
      <c r="A10" s="175" t="str">
        <f>'Presupuesto Detallado'!C42</f>
        <v>PRODUCTO 1.6: Mejora del Manejo y recolección de residuos sólidos. Consiste en el diseño e implementación de un sistema mejorado de recolección de residuos y limpieza urbana en la CCSD que incluye el esquema de gestión y la inversión en equipos, contenedores, obras y camiones y campañas de concientización</v>
      </c>
      <c r="B10" s="77">
        <f>'Presupuesto Detallado'!D42</f>
        <v>3000000</v>
      </c>
      <c r="C10" s="72">
        <v>0</v>
      </c>
      <c r="D10" s="77">
        <f t="shared" si="4"/>
        <v>0</v>
      </c>
      <c r="E10" s="72">
        <v>0</v>
      </c>
      <c r="F10" s="77">
        <f t="shared" si="0"/>
        <v>0</v>
      </c>
      <c r="G10" s="72">
        <v>10</v>
      </c>
      <c r="H10" s="77">
        <f t="shared" ref="H10" si="9">$B10*G10/100</f>
        <v>300000</v>
      </c>
      <c r="I10" s="72">
        <v>10</v>
      </c>
      <c r="J10" s="77">
        <f t="shared" ref="J10" si="10">$B10*I10/100</f>
        <v>300000</v>
      </c>
      <c r="K10" s="72">
        <v>40</v>
      </c>
      <c r="L10" s="77">
        <f t="shared" ref="L10" si="11">$B10*K10/100</f>
        <v>1200000</v>
      </c>
      <c r="M10" s="72">
        <v>40</v>
      </c>
      <c r="N10" s="77">
        <f t="shared" si="3"/>
        <v>1200000</v>
      </c>
      <c r="O10" s="179">
        <f t="shared" si="6"/>
        <v>100</v>
      </c>
    </row>
    <row r="11" spans="1:16" ht="150" customHeight="1" x14ac:dyDescent="0.2">
      <c r="A11" s="175" t="str">
        <f>'Presupuesto Detallado'!C44</f>
        <v xml:space="preserve">PRODUCTO 1.7: Consolidación del Sistema de Video vigilancia e iluminación de la CCSD. Esto incluirá la ampliación de la red de seguridad con instalación de nuevas cámaras de vigilancia, la adecuación técnica para su funcionamiento ininterrumpido, la capacitación de personal para el monitoreo, el ajuste de protocolos y el cambio y modernización de luminarias, garantizando plena interconectividad con el Sistema de Monitoreo del 911. Adicionalmente, se apoyara el diseño de un mecanismo de coordinación de los diferentes organismos para la efectiva implementación de un plan unificado de prevención y control de violencias y delitos en el territorio. </v>
      </c>
      <c r="B11" s="77">
        <f>'Presupuesto Detallado'!D44</f>
        <v>1230000</v>
      </c>
      <c r="C11" s="72">
        <v>20</v>
      </c>
      <c r="D11" s="77">
        <f t="shared" si="4"/>
        <v>246000</v>
      </c>
      <c r="E11" s="72">
        <v>20</v>
      </c>
      <c r="F11" s="77">
        <f t="shared" si="0"/>
        <v>246000</v>
      </c>
      <c r="G11" s="72">
        <v>20</v>
      </c>
      <c r="H11" s="77">
        <f t="shared" si="1"/>
        <v>246000</v>
      </c>
      <c r="I11" s="72">
        <v>20</v>
      </c>
      <c r="J11" s="77">
        <f t="shared" si="1"/>
        <v>246000</v>
      </c>
      <c r="K11" s="72">
        <v>20</v>
      </c>
      <c r="L11" s="77">
        <f t="shared" ref="L11" si="12">$B11*K11/100</f>
        <v>246000</v>
      </c>
      <c r="M11" s="72">
        <v>0</v>
      </c>
      <c r="N11" s="77">
        <f t="shared" si="3"/>
        <v>0</v>
      </c>
      <c r="O11" s="179">
        <f t="shared" si="6"/>
        <v>100</v>
      </c>
    </row>
    <row r="12" spans="1:16" x14ac:dyDescent="0.2">
      <c r="A12" s="78"/>
      <c r="B12" s="79"/>
      <c r="C12" s="80"/>
      <c r="D12" s="79"/>
      <c r="E12" s="80"/>
      <c r="F12" s="79"/>
      <c r="G12" s="80"/>
      <c r="H12" s="79"/>
      <c r="I12" s="80"/>
      <c r="J12" s="77">
        <f t="shared" ref="J12:J15" si="13">$B12*I12/100</f>
        <v>0</v>
      </c>
      <c r="K12" s="80"/>
      <c r="L12" s="79"/>
      <c r="M12" s="80"/>
      <c r="N12" s="79"/>
      <c r="O12" s="179">
        <f t="shared" si="6"/>
        <v>0</v>
      </c>
    </row>
    <row r="13" spans="1:16" ht="15" x14ac:dyDescent="0.25">
      <c r="A13" s="230" t="str">
        <f>'Presupuesto Detallado'!C48</f>
        <v>Componente II. Mejora de las condiciones de habitabilidad para los residentes de la CCSD</v>
      </c>
      <c r="B13" s="73" t="s">
        <v>325</v>
      </c>
      <c r="C13" s="74" t="s">
        <v>326</v>
      </c>
      <c r="D13" s="75" t="s">
        <v>327</v>
      </c>
      <c r="E13" s="75" t="s">
        <v>326</v>
      </c>
      <c r="F13" s="75" t="s">
        <v>328</v>
      </c>
      <c r="G13" s="75" t="s">
        <v>326</v>
      </c>
      <c r="H13" s="75" t="s">
        <v>329</v>
      </c>
      <c r="I13" s="75" t="s">
        <v>326</v>
      </c>
      <c r="J13" s="75" t="s">
        <v>330</v>
      </c>
      <c r="K13" s="75" t="s">
        <v>326</v>
      </c>
      <c r="L13" s="75" t="s">
        <v>331</v>
      </c>
      <c r="M13" s="75" t="s">
        <v>326</v>
      </c>
      <c r="N13" s="75" t="s">
        <v>331</v>
      </c>
      <c r="O13" s="179" t="e">
        <f t="shared" si="6"/>
        <v>#VALUE!</v>
      </c>
    </row>
    <row r="14" spans="1:16" ht="15" x14ac:dyDescent="0.25">
      <c r="A14" s="235"/>
      <c r="B14" s="76">
        <f>SUM(B15:B17)</f>
        <v>11692000</v>
      </c>
      <c r="C14" s="72">
        <f>D14/$B14*100</f>
        <v>7.9464591173451931</v>
      </c>
      <c r="D14" s="76">
        <f>SUM(D15:D17)</f>
        <v>929100</v>
      </c>
      <c r="E14" s="72">
        <f>F14/$B14*100</f>
        <v>14.322613752993499</v>
      </c>
      <c r="F14" s="76">
        <f>SUM(F15:F17)</f>
        <v>1674600</v>
      </c>
      <c r="G14" s="72">
        <f>H14/$B14*100</f>
        <v>14.322613752993499</v>
      </c>
      <c r="H14" s="76">
        <f>SUM(H15:H17)</f>
        <v>1674600</v>
      </c>
      <c r="I14" s="72">
        <f>J14/$B14*100</f>
        <v>26.108450222374273</v>
      </c>
      <c r="J14" s="76">
        <f>SUM(J15:J17)</f>
        <v>3052600</v>
      </c>
      <c r="K14" s="72">
        <f>L14/$B14*100</f>
        <v>20.649589462880602</v>
      </c>
      <c r="L14" s="76">
        <f>SUM(L15:L17)</f>
        <v>2414350</v>
      </c>
      <c r="M14" s="72">
        <f>N14/$B14*100</f>
        <v>16.650273691412931</v>
      </c>
      <c r="N14" s="76">
        <f>SUM(N15:N17)</f>
        <v>1946750</v>
      </c>
      <c r="O14" s="179">
        <f t="shared" si="6"/>
        <v>100</v>
      </c>
    </row>
    <row r="15" spans="1:16" ht="137.25" customHeight="1" x14ac:dyDescent="0.2">
      <c r="A15" s="175" t="str">
        <f>'Presupuesto Detallado'!C49</f>
        <v xml:space="preserve">PRODUCTO 2.1: Programa de mejoramiento de vivienda. Consiste en la mejora y rehabilitación de 200 viviendas de familias de bajos ingresos Esto incluye: (i) diseño del reglamento operativo; (ii) trabajo social para la selección de beneficiarios, el levantamiento de información y la elaboración de planes de remodelación física de la vivienda; (iii) estudios históricos del entorno; (iv) gestión del programa para la ejecución del programa de mejoramiento de vivienda; (v) obras de mejoramiento de vivienda y asistencia técnica para la regularización de títulos de vivienda;  y (vi) capacitación de familias en educación financiera y construcción. </v>
      </c>
      <c r="B15" s="77">
        <f>'Presupuesto Detallado'!D49</f>
        <v>2527000</v>
      </c>
      <c r="C15" s="72">
        <v>5</v>
      </c>
      <c r="D15" s="77">
        <f>$B15*C15/100</f>
        <v>126350</v>
      </c>
      <c r="E15" s="72">
        <v>30</v>
      </c>
      <c r="F15" s="77">
        <f t="shared" ref="F15:J17" si="14">$B15*E15/100</f>
        <v>758100</v>
      </c>
      <c r="G15" s="72">
        <v>30</v>
      </c>
      <c r="H15" s="77">
        <f t="shared" si="14"/>
        <v>758100</v>
      </c>
      <c r="I15" s="72">
        <v>30</v>
      </c>
      <c r="J15" s="77">
        <f t="shared" si="13"/>
        <v>758100</v>
      </c>
      <c r="K15" s="72">
        <v>5</v>
      </c>
      <c r="L15" s="77">
        <f>$B15*K15/100</f>
        <v>126350</v>
      </c>
      <c r="M15" s="72">
        <v>0</v>
      </c>
      <c r="N15" s="77">
        <f>$B15*M15/100</f>
        <v>0</v>
      </c>
      <c r="O15" s="179">
        <f t="shared" si="6"/>
        <v>100</v>
      </c>
    </row>
    <row r="16" spans="1:16" ht="133.5" customHeight="1" x14ac:dyDescent="0.2">
      <c r="A16" s="175" t="str">
        <f>'Presupuesto Detallado'!C57</f>
        <v xml:space="preserve">PRODUCTO 2.2: Programa de recuperación de fachadas y esquema de incentivos indirectos a la oferta de vivienda asequible. Incluirá: (i) actualización del reglamento operativo del programa; (ii) obras de embellecimiento de 120 fachadas; (iii) la gestión y supervisión de las obras; (iv) la identificación de propiedades potenciales para el desarrollo de vivienda asequible; (v) la propuesta de modelos de negocio rentables para proveer vivienda asequible; (vi) desarrollo de diseños arquitectónicos y ferias de constructores; y (vii) sistema georreferenciado de información de títulos. </v>
      </c>
      <c r="B16" s="77">
        <f>'Presupuesto Detallado'!D57</f>
        <v>2275000</v>
      </c>
      <c r="C16" s="72">
        <v>5</v>
      </c>
      <c r="D16" s="77">
        <f>$B16*C16/100</f>
        <v>113750</v>
      </c>
      <c r="E16" s="72">
        <v>10</v>
      </c>
      <c r="F16" s="77">
        <f t="shared" si="14"/>
        <v>227500</v>
      </c>
      <c r="G16" s="72">
        <v>10</v>
      </c>
      <c r="H16" s="77">
        <f t="shared" si="14"/>
        <v>227500</v>
      </c>
      <c r="I16" s="72">
        <v>10</v>
      </c>
      <c r="J16" s="77">
        <f t="shared" si="14"/>
        <v>227500</v>
      </c>
      <c r="K16" s="72">
        <v>40</v>
      </c>
      <c r="L16" s="77">
        <f>$B16*K16/100</f>
        <v>910000</v>
      </c>
      <c r="M16" s="72">
        <v>25</v>
      </c>
      <c r="N16" s="77">
        <f>$B16*M16/100</f>
        <v>568750</v>
      </c>
      <c r="O16" s="179">
        <f t="shared" si="6"/>
        <v>100</v>
      </c>
    </row>
    <row r="17" spans="1:15" ht="133.5" customHeight="1" x14ac:dyDescent="0.2">
      <c r="A17" s="175" t="str">
        <f>'Presupuesto Detallado'!C65</f>
        <v xml:space="preserve">PRODUCTO 2.3: Recuperación de Espacios públicos comunitarios. Consiste en el diseño y supervisión de reformas de plazas tradicionales en los barrios populares y su entorno en sector norte de la Ciudad Colonial. Esto incluirá la reintegración de fuertes y ronda de la Muralla incluyendo: (i) consolidación, limpieza y reparación de pavimentos en Fuertes (San Miguel, San Antón y Santa Bárbara); (ii) remozamiento de las puertas de Atarazanas y Don Diego; y (iii) recuperación de la ronda de la muralla desde el Fuerte de San Miguel hasta la Fortaleza de Santo Domingo (Ozama).   </v>
      </c>
      <c r="B17" s="77">
        <f>'Presupuesto Detallado'!D65</f>
        <v>6890000</v>
      </c>
      <c r="C17" s="72">
        <v>10</v>
      </c>
      <c r="D17" s="77">
        <f t="shared" ref="D17" si="15">$B17*C17/100</f>
        <v>689000</v>
      </c>
      <c r="E17" s="72">
        <v>10</v>
      </c>
      <c r="F17" s="77">
        <f t="shared" si="14"/>
        <v>689000</v>
      </c>
      <c r="G17" s="72">
        <v>10</v>
      </c>
      <c r="H17" s="77">
        <f t="shared" si="14"/>
        <v>689000</v>
      </c>
      <c r="I17" s="72">
        <v>30</v>
      </c>
      <c r="J17" s="77">
        <f t="shared" si="14"/>
        <v>2067000</v>
      </c>
      <c r="K17" s="72">
        <v>20</v>
      </c>
      <c r="L17" s="77">
        <f>$B17*K17/100</f>
        <v>1378000</v>
      </c>
      <c r="M17" s="72">
        <v>20</v>
      </c>
      <c r="N17" s="77">
        <f>$B17*M17/100</f>
        <v>1378000</v>
      </c>
      <c r="O17" s="179">
        <f t="shared" si="6"/>
        <v>100</v>
      </c>
    </row>
    <row r="18" spans="1:15" x14ac:dyDescent="0.2">
      <c r="A18" s="78"/>
      <c r="B18" s="79"/>
      <c r="C18" s="80"/>
      <c r="D18" s="79"/>
      <c r="E18" s="80"/>
      <c r="F18" s="79"/>
      <c r="G18" s="80"/>
      <c r="H18" s="79"/>
      <c r="I18" s="80"/>
      <c r="J18" s="79"/>
      <c r="K18" s="80"/>
      <c r="L18" s="79"/>
      <c r="M18" s="80"/>
      <c r="N18" s="79"/>
      <c r="O18" s="179">
        <f t="shared" si="6"/>
        <v>0</v>
      </c>
    </row>
    <row r="19" spans="1:15" ht="15" x14ac:dyDescent="0.25">
      <c r="A19" s="230" t="str">
        <f>'Presupuesto Detallado'!C70</f>
        <v>Componente III. Desarrollo de las Económias Locales</v>
      </c>
      <c r="B19" s="73" t="s">
        <v>325</v>
      </c>
      <c r="C19" s="74" t="s">
        <v>326</v>
      </c>
      <c r="D19" s="75" t="s">
        <v>327</v>
      </c>
      <c r="E19" s="75" t="s">
        <v>326</v>
      </c>
      <c r="F19" s="75" t="s">
        <v>328</v>
      </c>
      <c r="G19" s="75" t="s">
        <v>326</v>
      </c>
      <c r="H19" s="75" t="s">
        <v>329</v>
      </c>
      <c r="I19" s="75" t="s">
        <v>326</v>
      </c>
      <c r="J19" s="75" t="s">
        <v>330</v>
      </c>
      <c r="K19" s="75" t="s">
        <v>326</v>
      </c>
      <c r="L19" s="75" t="s">
        <v>331</v>
      </c>
      <c r="M19" s="75" t="s">
        <v>326</v>
      </c>
      <c r="N19" s="75" t="s">
        <v>332</v>
      </c>
      <c r="O19" s="179" t="e">
        <f t="shared" si="6"/>
        <v>#VALUE!</v>
      </c>
    </row>
    <row r="20" spans="1:15" ht="15" x14ac:dyDescent="0.25">
      <c r="A20" s="231"/>
      <c r="B20" s="76">
        <f>SUM(B21:B24)</f>
        <v>10046000</v>
      </c>
      <c r="C20" s="72">
        <f>D20/$B20*100</f>
        <v>3.0420067688632293</v>
      </c>
      <c r="D20" s="76">
        <f>SUM(D21:D24)</f>
        <v>305600</v>
      </c>
      <c r="E20" s="72">
        <f>F20/$B20*100</f>
        <v>13.589488353573561</v>
      </c>
      <c r="F20" s="76">
        <f>SUM(F21:F24)</f>
        <v>1365200</v>
      </c>
      <c r="G20" s="72">
        <f>H20/$B20*100</f>
        <v>23.974716304997013</v>
      </c>
      <c r="H20" s="76">
        <f>SUM(H21:H24)</f>
        <v>2408500</v>
      </c>
      <c r="I20" s="72">
        <f>J20/$B20*100</f>
        <v>24.827792156082023</v>
      </c>
      <c r="J20" s="76">
        <f>SUM(J21:J24)</f>
        <v>2494200</v>
      </c>
      <c r="K20" s="72">
        <f>L20/$B20*100</f>
        <v>24.098148516822615</v>
      </c>
      <c r="L20" s="76">
        <f>SUM(L21:L24)</f>
        <v>2420900</v>
      </c>
      <c r="M20" s="72">
        <f>N20/$B20*100</f>
        <v>10.467847899661557</v>
      </c>
      <c r="N20" s="76">
        <f>SUM(N21:N24)</f>
        <v>1051600</v>
      </c>
      <c r="O20" s="179">
        <f t="shared" si="6"/>
        <v>100</v>
      </c>
    </row>
    <row r="21" spans="1:15" ht="34.5" customHeight="1" x14ac:dyDescent="0.2">
      <c r="A21" s="175" t="str">
        <f>'Presupuesto Detallado'!C71</f>
        <v xml:space="preserve">PRODUCTO 3.1: Adecuación funcional y física del Mercado Modelo. Esto incluirá: (i) la preparación del modelo de negocio y gestión; (ii) preparación e implantación de un plan para gestión comercial y financiera; (iii) capacitación a las MyPEs en gestión empresarial, comercialización y otros temas; (iv) promoción y desarrollo de acciones conjuntas de nuevos servicios;  (v) remodelación de la infraestructura física del mercado de acuerdo al plan de mejoras y modernización elaborado durante la preparación de este proyecto; y (vi) reasentamiento temporal de los comerciantes, en caso de que las obras de remodelación así lo requieran.
</v>
      </c>
      <c r="B21" s="77">
        <f>'Presupuesto Detallado'!D71</f>
        <v>4850000</v>
      </c>
      <c r="C21" s="72">
        <v>0</v>
      </c>
      <c r="D21" s="77">
        <f t="shared" ref="D21:D23" si="16">$B21*C21/100</f>
        <v>0</v>
      </c>
      <c r="E21" s="72">
        <v>10</v>
      </c>
      <c r="F21" s="77">
        <f t="shared" ref="F21:F23" si="17">$B21*E21/100</f>
        <v>485000</v>
      </c>
      <c r="G21" s="72">
        <v>30</v>
      </c>
      <c r="H21" s="77">
        <f t="shared" ref="H21:H23" si="18">$B21*G21/100</f>
        <v>1455000</v>
      </c>
      <c r="I21" s="72">
        <v>30</v>
      </c>
      <c r="J21" s="77">
        <f t="shared" ref="J21:J23" si="19">$B21*I21/100</f>
        <v>1455000</v>
      </c>
      <c r="K21" s="72">
        <v>30</v>
      </c>
      <c r="L21" s="77">
        <f t="shared" ref="L21:L23" si="20">$B21*K21/100</f>
        <v>1455000</v>
      </c>
      <c r="M21" s="72">
        <v>0</v>
      </c>
      <c r="N21" s="77">
        <f t="shared" ref="N21:N23" si="21">$B21*M21/100</f>
        <v>0</v>
      </c>
      <c r="O21" s="179">
        <f t="shared" si="6"/>
        <v>100</v>
      </c>
    </row>
    <row r="22" spans="1:15" ht="30.75" customHeight="1" x14ac:dyDescent="0.2">
      <c r="A22" s="175" t="str">
        <f>'Presupuesto Detallado'!C75</f>
        <v>PRODUCTO 3.2: Programa de incentivos al sector privado. Esto incluirá el apoyo al desarrollo de una oferta de servicios que responda a la demanda y propuesta de valor de la CCSD mediante: (i) la preparación del modelo de negocio y gestión; y (ii) la adecuación de 120 micros negocios ubicados en las rutas turísticas, lugares tradicionales y calles intervenidas a través de la facilitación del acceso a servicios de apoyo financiero, asistencia técnica y la adecuación física; (iii) implementación de un fondo concursable para la generación de 20 nuevos emprendimientos de servicios para la ciudad o residente, complementarios a la oferta vigente y que respondan a la propuesta de valor de la CCSD como ciudad viva; y (iv) el diseño e implementación de una estrategia para promover proyectos de asociación público privado en la CCSD en el marco de este proyecto tales como: sistema de estacionamientos, vivienda para familias de ingresos medios, centros de eventos, animación urbana, y otros;</v>
      </c>
      <c r="B22" s="77">
        <f>'Presupuesto Detallado'!D75</f>
        <v>3180000</v>
      </c>
      <c r="C22" s="72">
        <v>5</v>
      </c>
      <c r="D22" s="77">
        <f t="shared" si="16"/>
        <v>159000</v>
      </c>
      <c r="E22" s="72">
        <v>15</v>
      </c>
      <c r="F22" s="77">
        <f t="shared" si="17"/>
        <v>477000</v>
      </c>
      <c r="G22" s="72">
        <v>15</v>
      </c>
      <c r="H22" s="77">
        <f t="shared" si="18"/>
        <v>477000</v>
      </c>
      <c r="I22" s="72">
        <v>20</v>
      </c>
      <c r="J22" s="77">
        <f t="shared" si="19"/>
        <v>636000</v>
      </c>
      <c r="K22" s="72">
        <v>20</v>
      </c>
      <c r="L22" s="77">
        <f t="shared" si="20"/>
        <v>636000</v>
      </c>
      <c r="M22" s="72">
        <v>25</v>
      </c>
      <c r="N22" s="77">
        <f t="shared" si="21"/>
        <v>795000</v>
      </c>
      <c r="O22" s="179">
        <f t="shared" si="6"/>
        <v>100</v>
      </c>
    </row>
    <row r="23" spans="1:15" ht="42.95" customHeight="1" x14ac:dyDescent="0.2">
      <c r="A23" s="175" t="str">
        <f>'Presupuesto Detallado'!C80</f>
        <v xml:space="preserve">PRODUCTO 3.3: Programa de capacitación del capital humano de la CCSD. Esto incluirá: (i) plan de Formación en servicios turísticos y conexos; (ii) formación de docentes; bajo estándares de calidad NEO ; y (iii) plan de mejora de las siguientes escuelas técnicas: Escuela Taller del Ministerio de Trabajo, Politécnico que responde al Ministerio de Educación, y Escuelas de Bellas Artes del Ministerio de Cultura ; 
</v>
      </c>
      <c r="B23" s="77">
        <f>'Presupuesto Detallado'!D80</f>
        <v>550000</v>
      </c>
      <c r="C23" s="72">
        <v>0</v>
      </c>
      <c r="D23" s="77">
        <f t="shared" si="16"/>
        <v>0</v>
      </c>
      <c r="E23" s="72">
        <v>20</v>
      </c>
      <c r="F23" s="77">
        <f t="shared" si="17"/>
        <v>110000</v>
      </c>
      <c r="G23" s="72">
        <v>20</v>
      </c>
      <c r="H23" s="77">
        <f t="shared" si="18"/>
        <v>110000</v>
      </c>
      <c r="I23" s="72">
        <v>20</v>
      </c>
      <c r="J23" s="77">
        <f t="shared" si="19"/>
        <v>110000</v>
      </c>
      <c r="K23" s="72">
        <v>20</v>
      </c>
      <c r="L23" s="77">
        <f t="shared" si="20"/>
        <v>110000</v>
      </c>
      <c r="M23" s="72">
        <v>20</v>
      </c>
      <c r="N23" s="77">
        <f t="shared" si="21"/>
        <v>110000</v>
      </c>
      <c r="O23" s="179">
        <f t="shared" si="6"/>
        <v>100</v>
      </c>
    </row>
    <row r="24" spans="1:15" ht="32.450000000000003" customHeight="1" x14ac:dyDescent="0.2">
      <c r="A24" s="175" t="str">
        <f>'Presupuesto Detallado'!C83</f>
        <v xml:space="preserve">PRODUCTO 3.4: Programa de oferta cultural urbana. Consiste en: (i) la elaboración de un plan de animación cultural urbana para la Ciudad e implementación del proyecto de consolidación de la oferta cultural de Ciudad, con la implementación de espectáculos culturales teatralizados en la fortaleza Ozama; y (ii) generación de normas y mecanismos de gestión interinstitucionales , para garantizar la sostenibilidad económica del programa de animación, mediante la co-gestión y el traspaso de las actividades. </v>
      </c>
      <c r="B24" s="77">
        <f>'Presupuesto Detallado'!D83</f>
        <v>1466000</v>
      </c>
      <c r="C24" s="72">
        <v>10</v>
      </c>
      <c r="D24" s="77">
        <f>$B24*C24/100</f>
        <v>146600</v>
      </c>
      <c r="E24" s="72">
        <v>20</v>
      </c>
      <c r="F24" s="77">
        <f>$B24*E24/100</f>
        <v>293200</v>
      </c>
      <c r="G24" s="72">
        <v>25</v>
      </c>
      <c r="H24" s="77">
        <f>$B24*G24/100</f>
        <v>366500</v>
      </c>
      <c r="I24" s="72">
        <v>20</v>
      </c>
      <c r="J24" s="77">
        <f>$B24*I24/100</f>
        <v>293200</v>
      </c>
      <c r="K24" s="72">
        <v>15</v>
      </c>
      <c r="L24" s="77">
        <f>$B24*K24/100</f>
        <v>219900</v>
      </c>
      <c r="M24" s="72">
        <v>10</v>
      </c>
      <c r="N24" s="77">
        <f>$B24*M24/100</f>
        <v>146600</v>
      </c>
      <c r="O24" s="179">
        <f t="shared" si="6"/>
        <v>100</v>
      </c>
    </row>
    <row r="25" spans="1:15" x14ac:dyDescent="0.2">
      <c r="A25" s="78"/>
      <c r="B25" s="79"/>
      <c r="C25" s="80"/>
      <c r="D25" s="79"/>
      <c r="E25" s="80"/>
      <c r="F25" s="79"/>
      <c r="G25" s="80"/>
      <c r="H25" s="79"/>
      <c r="I25" s="80"/>
      <c r="J25" s="79"/>
      <c r="K25" s="80"/>
      <c r="L25" s="79"/>
      <c r="M25" s="80"/>
      <c r="N25" s="79"/>
      <c r="O25" s="179">
        <f t="shared" si="6"/>
        <v>0</v>
      </c>
    </row>
    <row r="26" spans="1:15" ht="15" x14ac:dyDescent="0.25">
      <c r="A26" s="230" t="str">
        <f>'Presupuesto Detallado'!C88</f>
        <v>Componente IV. Fortalecimiento de la Gestión Turística Cultural y Urbana</v>
      </c>
      <c r="B26" s="73" t="s">
        <v>325</v>
      </c>
      <c r="C26" s="74" t="s">
        <v>326</v>
      </c>
      <c r="D26" s="75" t="s">
        <v>327</v>
      </c>
      <c r="E26" s="75" t="s">
        <v>326</v>
      </c>
      <c r="F26" s="75" t="s">
        <v>328</v>
      </c>
      <c r="G26" s="75" t="s">
        <v>326</v>
      </c>
      <c r="H26" s="75" t="s">
        <v>329</v>
      </c>
      <c r="I26" s="75" t="s">
        <v>326</v>
      </c>
      <c r="J26" s="75" t="s">
        <v>330</v>
      </c>
      <c r="K26" s="75" t="s">
        <v>326</v>
      </c>
      <c r="L26" s="75" t="s">
        <v>331</v>
      </c>
      <c r="M26" s="75" t="s">
        <v>326</v>
      </c>
      <c r="N26" s="75" t="s">
        <v>331</v>
      </c>
      <c r="O26" s="179" t="e">
        <f t="shared" si="6"/>
        <v>#VALUE!</v>
      </c>
    </row>
    <row r="27" spans="1:15" ht="15" x14ac:dyDescent="0.25">
      <c r="A27" s="231"/>
      <c r="B27" s="76">
        <f>SUM(B28:B38)</f>
        <v>10818000</v>
      </c>
      <c r="C27" s="72">
        <f>D27/$B27*100</f>
        <v>5.7328526529857644</v>
      </c>
      <c r="D27" s="76">
        <f>SUM(D28:D38)</f>
        <v>620180</v>
      </c>
      <c r="E27" s="72">
        <f>F27/$B27*100</f>
        <v>11.242373821408764</v>
      </c>
      <c r="F27" s="76">
        <f>SUM(F28:F38)</f>
        <v>1216200</v>
      </c>
      <c r="G27" s="72">
        <f>H27/$B27*100</f>
        <v>14.263264928822334</v>
      </c>
      <c r="H27" s="76">
        <f>SUM(H28:H38)</f>
        <v>1543000</v>
      </c>
      <c r="I27" s="72">
        <f>J27/$B27*100</f>
        <v>27.38953595858754</v>
      </c>
      <c r="J27" s="76">
        <f>SUM(J28:J38)</f>
        <v>2963000</v>
      </c>
      <c r="K27" s="72">
        <f>L27/$B27*100</f>
        <v>11.867258273248289</v>
      </c>
      <c r="L27" s="76">
        <f>SUM(L28:L38)</f>
        <v>1283800</v>
      </c>
      <c r="M27" s="72">
        <f>N27/$B27*100</f>
        <v>29.504714364947311</v>
      </c>
      <c r="N27" s="76">
        <f>SUM(N28:N38)</f>
        <v>3191820</v>
      </c>
      <c r="O27" s="179">
        <f t="shared" si="6"/>
        <v>100</v>
      </c>
    </row>
    <row r="28" spans="1:15" ht="32.25" customHeight="1" x14ac:dyDescent="0.2">
      <c r="A28" s="175" t="str">
        <f>'Presupuesto Detallado'!C89</f>
        <v>PRODUCTO 4.1 Mecanismo de Gestión Sostenible de la CCSD. Consiste en: (i) asistencia para la implementación de un mecanismo de gobernanza de la ciudad, el cual será diseñado por los actores locales y acompañamiento de la UNESCO; (ii)  identificación de mecanismos o medidas de política que permitan generar recursos adicionales para financiar los costos de administración y mantenimiento de las inversiones realizadas;  (iii) generación de normas y mecanismos de gestión interinstitucionales  y alianza público-privadas; y (iv) plan de gestión de riesgos de la CCSD (Plan de contigencias contra huracanes, terromotos, inundaciones, para manejo de desperdicios sólidos y enmbarcaciones turísticas)</v>
      </c>
      <c r="B28" s="77">
        <f>'Presupuesto Detallado'!D89</f>
        <v>700000</v>
      </c>
      <c r="C28" s="72">
        <v>0</v>
      </c>
      <c r="D28" s="77">
        <f t="shared" ref="D28:D38" si="22">$B28*C28/100</f>
        <v>0</v>
      </c>
      <c r="E28" s="72">
        <v>10</v>
      </c>
      <c r="F28" s="77">
        <f t="shared" ref="F28:F38" si="23">$B28*E28/100</f>
        <v>70000</v>
      </c>
      <c r="G28" s="72">
        <v>20</v>
      </c>
      <c r="H28" s="77">
        <f t="shared" ref="H28:H38" si="24">$B28*G28/100</f>
        <v>140000</v>
      </c>
      <c r="I28" s="72">
        <v>30</v>
      </c>
      <c r="J28" s="77">
        <f t="shared" ref="J28:J38" si="25">$B28*I28/100</f>
        <v>210000</v>
      </c>
      <c r="K28" s="72">
        <v>10</v>
      </c>
      <c r="L28" s="77">
        <f t="shared" ref="L28:L38" si="26">$B28*K28/100</f>
        <v>70000</v>
      </c>
      <c r="M28" s="72">
        <v>30</v>
      </c>
      <c r="N28" s="77">
        <f t="shared" ref="N28:N38" si="27">$B28*M28/100</f>
        <v>210000</v>
      </c>
      <c r="O28" s="179">
        <f t="shared" si="6"/>
        <v>100</v>
      </c>
    </row>
    <row r="29" spans="1:15" ht="30.75" customHeight="1" x14ac:dyDescent="0.2">
      <c r="A29" s="175" t="str">
        <f>'Presupuesto Detallado'!C94</f>
        <v>PRODUCTO 4.2: Sistema Integrado de Gestión de Servicios de la CCSD (MITUR, ADN, MINCUL, y otras instituciones públicas relevantes). Consiste en la asistencia para el diseño e implementación de un Portal que integre los diversos sistemas de gestión de servicios de las instituciones presentes en la CCSD (plataforma para la gestión de trámites on-line: entrega de permisos para eventos, uso de suelo, uso del espacio público, servicios turísticos, licencias de construcción, usos especiales, etc.), incluyendo equipamiento, software y capacitaciones.</v>
      </c>
      <c r="B29" s="77">
        <f>'Presupuesto Detallado'!D94</f>
        <v>500000</v>
      </c>
      <c r="C29" s="72">
        <v>0</v>
      </c>
      <c r="D29" s="77">
        <f t="shared" si="22"/>
        <v>0</v>
      </c>
      <c r="E29" s="72">
        <v>10</v>
      </c>
      <c r="F29" s="77">
        <f t="shared" si="23"/>
        <v>50000</v>
      </c>
      <c r="G29" s="72">
        <v>14.2</v>
      </c>
      <c r="H29" s="77">
        <f t="shared" si="24"/>
        <v>71000</v>
      </c>
      <c r="I29" s="72">
        <v>10.199999999999999</v>
      </c>
      <c r="J29" s="77">
        <f t="shared" si="25"/>
        <v>51000</v>
      </c>
      <c r="K29" s="72">
        <v>25</v>
      </c>
      <c r="L29" s="77">
        <f t="shared" si="26"/>
        <v>125000</v>
      </c>
      <c r="M29" s="72">
        <v>40.6</v>
      </c>
      <c r="N29" s="77">
        <f t="shared" si="27"/>
        <v>203000</v>
      </c>
      <c r="O29" s="179">
        <f t="shared" si="6"/>
        <v>100</v>
      </c>
    </row>
    <row r="30" spans="1:15" ht="33" customHeight="1" x14ac:dyDescent="0.2">
      <c r="A30" s="175" t="str">
        <f>'Presupuesto Detallado'!C96</f>
        <v>PRODUCTO 4.3: Plan de Marketing de la CCSD. Consiste: la asistencia para la implementación de acciones de marketing turístico de Ciudad Colonial a mercados prioritarios, en base al Plan de Marketing en elaboración con financiamiento de 2587/OC-DR, el cual prioriza el uso de nuevas tecnologías adaptadas a las nuevas formas de consumo turístico (ej. viajes de prensa especializada en turismo, campañas de promoción, redes sociales, aplicaciones inteligentes, etc.);</v>
      </c>
      <c r="B30" s="77">
        <f>'Presupuesto Detallado'!D96</f>
        <v>700000</v>
      </c>
      <c r="C30" s="72">
        <v>4.3</v>
      </c>
      <c r="D30" s="77">
        <f t="shared" si="22"/>
        <v>30100</v>
      </c>
      <c r="E30" s="72">
        <v>8</v>
      </c>
      <c r="F30" s="77">
        <f t="shared" si="23"/>
        <v>56000</v>
      </c>
      <c r="G30" s="72">
        <v>20</v>
      </c>
      <c r="H30" s="77">
        <f t="shared" si="24"/>
        <v>140000</v>
      </c>
      <c r="I30" s="72">
        <v>25</v>
      </c>
      <c r="J30" s="77">
        <f t="shared" si="25"/>
        <v>175000</v>
      </c>
      <c r="K30" s="72">
        <v>17.2</v>
      </c>
      <c r="L30" s="77">
        <f t="shared" si="26"/>
        <v>120400</v>
      </c>
      <c r="M30" s="72">
        <v>25.5</v>
      </c>
      <c r="N30" s="77">
        <f t="shared" si="27"/>
        <v>178500</v>
      </c>
      <c r="O30" s="179">
        <f t="shared" si="6"/>
        <v>100</v>
      </c>
    </row>
    <row r="31" spans="1:15" ht="30" customHeight="1" x14ac:dyDescent="0.2">
      <c r="A31" s="175" t="str">
        <f>'Presupuesto Detallado'!C98</f>
        <v>PRODUCTO 4.4: Observatorio Turístico y Urbano de la CCSD. Esto incluirá asistencia para implantar el observatorio el cual será responsable por: (i) la operación del Sistema de Capacidad de Carga de CC; (ii) el piloto del Sistema de Información Turística Territorial (SITT); (iii) el sistema de información geográfica de calidad turística, inversiones en el territorio, movilidad y animación urbana, y rutas turísticas; (iv) encuestas; (v) publicación de datos de inteligencia turística y actividades de socialización; (vi) medición de las visitaciones turísticas y monitoreo a los umbrales de carga establecidos para los principales monumentos y espacios públicos de la Ciudad Colonial; y (vii) en el diseño e implementación del plan de programación de destino de la CCSD, incluyendo el destino emisor y la incorporación de los atractivos del Gran SD</v>
      </c>
      <c r="B31" s="77">
        <f>'Presupuesto Detallado'!D98</f>
        <v>752000</v>
      </c>
      <c r="C31" s="72">
        <v>4</v>
      </c>
      <c r="D31" s="77">
        <f t="shared" si="22"/>
        <v>30080</v>
      </c>
      <c r="E31" s="72">
        <v>10</v>
      </c>
      <c r="F31" s="77">
        <f t="shared" si="23"/>
        <v>75200</v>
      </c>
      <c r="G31" s="72">
        <v>20</v>
      </c>
      <c r="H31" s="77">
        <f t="shared" si="24"/>
        <v>150400</v>
      </c>
      <c r="I31" s="72">
        <v>30</v>
      </c>
      <c r="J31" s="77">
        <f t="shared" si="25"/>
        <v>225600</v>
      </c>
      <c r="K31" s="72">
        <v>10</v>
      </c>
      <c r="L31" s="77">
        <f t="shared" si="26"/>
        <v>75200</v>
      </c>
      <c r="M31" s="72">
        <v>26</v>
      </c>
      <c r="N31" s="77">
        <f t="shared" si="27"/>
        <v>195520</v>
      </c>
      <c r="O31" s="179">
        <f t="shared" si="6"/>
        <v>100</v>
      </c>
    </row>
    <row r="32" spans="1:15" ht="32.25" customHeight="1" x14ac:dyDescent="0.2">
      <c r="A32" s="175" t="str">
        <f>'Presupuesto Detallado'!C102</f>
        <v>PRODUCTO 4.5: Sistema de Registro, Clasificación y Calidad de Establecimientos Turísticos. Consiste en asistencia para el desarrollo e implementación de un sistema de clasificación de hoteles, restaurantes y establecimientos turísticos en SD y CC;</v>
      </c>
      <c r="B32" s="77">
        <f>'Presupuesto Detallado'!D102</f>
        <v>766000</v>
      </c>
      <c r="C32" s="72">
        <v>0</v>
      </c>
      <c r="D32" s="77">
        <f t="shared" si="22"/>
        <v>0</v>
      </c>
      <c r="E32" s="72">
        <v>0</v>
      </c>
      <c r="F32" s="77">
        <f t="shared" si="23"/>
        <v>0</v>
      </c>
      <c r="G32" s="72">
        <v>10</v>
      </c>
      <c r="H32" s="77">
        <f t="shared" si="24"/>
        <v>76600</v>
      </c>
      <c r="I32" s="72">
        <v>40</v>
      </c>
      <c r="J32" s="77">
        <f t="shared" si="25"/>
        <v>306400</v>
      </c>
      <c r="K32" s="72">
        <v>20</v>
      </c>
      <c r="L32" s="77">
        <f t="shared" si="26"/>
        <v>153200</v>
      </c>
      <c r="M32" s="72">
        <v>30</v>
      </c>
      <c r="N32" s="77">
        <f t="shared" si="27"/>
        <v>229800</v>
      </c>
      <c r="O32" s="179">
        <f t="shared" si="6"/>
        <v>100</v>
      </c>
    </row>
    <row r="33" spans="1:15" ht="32.25" customHeight="1" x14ac:dyDescent="0.2">
      <c r="A33" s="175" t="str">
        <f>'Presupuesto Detallado'!C107</f>
        <v>PRODUCTO 4.6: Implementación del plan de rutas turística. Esto incluirá: (a) talleres, socialización, e implementación de rutas; (b) asistencia para la adecuación de servicios públicos en dependencias del Estado; y (c) diseño, suministro y colocación de señalización turística general y acorde a las nuevas rutas turísticas existentes.</v>
      </c>
      <c r="B33" s="81">
        <f>'Presupuesto Detallado'!D107</f>
        <v>950000</v>
      </c>
      <c r="C33" s="72">
        <v>5</v>
      </c>
      <c r="D33" s="77">
        <f>$B33*C33/100</f>
        <v>47500</v>
      </c>
      <c r="E33" s="72">
        <v>10</v>
      </c>
      <c r="F33" s="77">
        <f>$B33*E33/100</f>
        <v>95000</v>
      </c>
      <c r="G33" s="72">
        <v>10</v>
      </c>
      <c r="H33" s="77">
        <f>$B33*G33/100</f>
        <v>95000</v>
      </c>
      <c r="I33" s="72">
        <v>30</v>
      </c>
      <c r="J33" s="77">
        <f>$B33*I33/100</f>
        <v>285000</v>
      </c>
      <c r="K33" s="72">
        <v>10</v>
      </c>
      <c r="L33" s="77">
        <f>$B33*K33/100</f>
        <v>95000</v>
      </c>
      <c r="M33" s="72">
        <v>35</v>
      </c>
      <c r="N33" s="77">
        <f>$B33*M33/100</f>
        <v>332500</v>
      </c>
      <c r="O33" s="179">
        <f t="shared" si="6"/>
        <v>100</v>
      </c>
    </row>
    <row r="34" spans="1:15" ht="33" customHeight="1" x14ac:dyDescent="0.2">
      <c r="A34" s="175" t="str">
        <f>'Presupuesto Detallado'!C111</f>
        <v>PRODUCTO 4.7: Plan de Fortalecimiento Institucional del MITUR. Esto incluirá asistencia para: (i) la preparación de la estrategia nacional de turismo de la Republica Dominicana, de forma consensuada con los principales actores públicos y privados vinculados al sector, incluyendo la estrategia de turismo para Santo Domingo; (ii) fortalecimiento de la oficina de planificación institucional; (iii) el diseño e implantación de un sistema de tramitación en línea de los servicios turísticos CCSD y SD, para su incorporación al sistema integrado de gestión de los servicios de la CCSD; y (iv) la adecuación del modelo de servicios de guías y taxistas turístico, incluyendo revisión del marco legal, sistema informático de gestión y acompañamiento, capacitación y certificación;</v>
      </c>
      <c r="B34" s="77">
        <f>'Presupuesto Detallado'!D111</f>
        <v>900000</v>
      </c>
      <c r="C34" s="72">
        <v>5</v>
      </c>
      <c r="D34" s="77">
        <f t="shared" si="22"/>
        <v>45000</v>
      </c>
      <c r="E34" s="72">
        <v>10</v>
      </c>
      <c r="F34" s="77">
        <f t="shared" si="23"/>
        <v>90000</v>
      </c>
      <c r="G34" s="72">
        <v>10</v>
      </c>
      <c r="H34" s="77">
        <f t="shared" si="24"/>
        <v>90000</v>
      </c>
      <c r="I34" s="72">
        <v>30</v>
      </c>
      <c r="J34" s="77">
        <f t="shared" si="25"/>
        <v>270000</v>
      </c>
      <c r="K34" s="72">
        <v>10</v>
      </c>
      <c r="L34" s="77">
        <f t="shared" si="26"/>
        <v>90000</v>
      </c>
      <c r="M34" s="72">
        <v>35</v>
      </c>
      <c r="N34" s="77">
        <f t="shared" si="27"/>
        <v>315000</v>
      </c>
      <c r="O34" s="179">
        <f t="shared" si="6"/>
        <v>100</v>
      </c>
    </row>
    <row r="35" spans="1:15" ht="33" customHeight="1" x14ac:dyDescent="0.2">
      <c r="A35" s="175" t="str">
        <f>'Presupuesto Detallado'!C116</f>
        <v>PRODUCTO 4.8: Plan de Fortalecimiento Institucional del ADN. Esto incluirá: (i) desarrollo  de propuesta de actualización del marco normativo del ADN sobre Patrimonio, urbanismo, inversión, movilidad, aseo público y gestión del suelo; (ii) Contratación de consultores y capacitación de personal técnico para apoyar en las funciones de gestión de ADN en CCSD; (iii) implementación de una ventanilla para mejorar los procesos operativos y de gestión de usos de suelos, supervisión y control del territorio; (iv) consolidación de sistemas de información geográfica sobre el uso de suelo, espacio público e intervenciones en la CCSD, para su incorporación al sistema integrado de gestión de los servicios de la CCSD, incluyendo equipos informáticos y de apoyo; (v) implantación de un sistema de gestión de movilidad; y (vi) implantación del modelo de gestión del mercado modelo.</v>
      </c>
      <c r="B35" s="77">
        <f>'Presupuesto Detallado'!D116</f>
        <v>1600000</v>
      </c>
      <c r="C35" s="72">
        <v>5</v>
      </c>
      <c r="D35" s="77">
        <f t="shared" si="22"/>
        <v>80000</v>
      </c>
      <c r="E35" s="72">
        <v>10</v>
      </c>
      <c r="F35" s="77">
        <f t="shared" si="23"/>
        <v>160000</v>
      </c>
      <c r="G35" s="72">
        <v>10</v>
      </c>
      <c r="H35" s="77">
        <f t="shared" si="24"/>
        <v>160000</v>
      </c>
      <c r="I35" s="72">
        <v>30</v>
      </c>
      <c r="J35" s="77">
        <f t="shared" si="25"/>
        <v>480000</v>
      </c>
      <c r="K35" s="72">
        <v>10</v>
      </c>
      <c r="L35" s="77">
        <f t="shared" si="26"/>
        <v>160000</v>
      </c>
      <c r="M35" s="72">
        <v>35</v>
      </c>
      <c r="N35" s="77">
        <f t="shared" si="27"/>
        <v>560000</v>
      </c>
      <c r="O35" s="179">
        <f t="shared" si="6"/>
        <v>100</v>
      </c>
    </row>
    <row r="36" spans="1:15" ht="31.5" customHeight="1" x14ac:dyDescent="0.2">
      <c r="A36" s="175" t="str">
        <f>'Presupuesto Detallado'!C123</f>
        <v>PRODUCTO 4.9: Plan de Fortalecimiento Institucional del MINCUL. Esto incluirá: (i) implementación de mecanismos de sostenibilidad financiera de la DNPM; (ii) 2. implantación de un sistema para el patrimonio inmueble; (III) 3. fortalecimiento del personal para apoyar las funciones de la DNPM; (iv) implantación de un programa de educación y difusión del patrimonio cultural; (v) Diseño e implantación de un sistema de gestión sostenible de museos en la CCSD; (vi) modelo de gestión del patrimonio subacuático en CCSD, incluyendo capacitación para catalogación, conservación, e interpretación; y (vii) desarrollar e implementar un Programa de participación y animación cultural en la CCSD.</v>
      </c>
      <c r="B36" s="77">
        <f>'Presupuesto Detallado'!D123</f>
        <v>1700000</v>
      </c>
      <c r="C36" s="72">
        <v>5</v>
      </c>
      <c r="D36" s="77">
        <f t="shared" si="22"/>
        <v>85000</v>
      </c>
      <c r="E36" s="72">
        <v>10</v>
      </c>
      <c r="F36" s="77">
        <f t="shared" si="23"/>
        <v>170000</v>
      </c>
      <c r="G36" s="72">
        <v>10</v>
      </c>
      <c r="H36" s="77">
        <f t="shared" si="24"/>
        <v>170000</v>
      </c>
      <c r="I36" s="72">
        <v>30</v>
      </c>
      <c r="J36" s="77">
        <f t="shared" si="25"/>
        <v>510000</v>
      </c>
      <c r="K36" s="72">
        <v>10</v>
      </c>
      <c r="L36" s="77">
        <f t="shared" si="26"/>
        <v>170000</v>
      </c>
      <c r="M36" s="72">
        <v>35</v>
      </c>
      <c r="N36" s="77">
        <f t="shared" si="27"/>
        <v>595000</v>
      </c>
      <c r="O36" s="179">
        <f t="shared" si="6"/>
        <v>100</v>
      </c>
    </row>
    <row r="37" spans="1:15" ht="30.75" customHeight="1" x14ac:dyDescent="0.2">
      <c r="A37" s="175" t="str">
        <f>'Presupuesto Detallado'!C135</f>
        <v xml:space="preserve">PRODUCTO 4.10: Plan de Comunicación estratégica del Programa. Con el fin de informar a la opinión pública sobre los objetivos, acciones y logros del programa, se incluirá asistencia para: (i) el diseño del plan de comunicación y sensibilización del Programa (incluye: identificación de público objetivo, diseño y selección de la estrategia y actividades de comunicación más adecuada para cada público objetivo y tipo de intervención); (ii) el diseño y producción de 5 campañas de sensibilización durante la ejecución del proyecto; (iii) diseño y realización de un programa de conocimiento de casos de éxitos; y (iv) asistencia en manejo de crisis y eventos fortuitos. </v>
      </c>
      <c r="B37" s="77">
        <f>'Presupuesto Detallado'!D135</f>
        <v>1550000</v>
      </c>
      <c r="C37" s="72">
        <v>15</v>
      </c>
      <c r="D37" s="77">
        <f t="shared" si="22"/>
        <v>232500</v>
      </c>
      <c r="E37" s="72">
        <v>20</v>
      </c>
      <c r="F37" s="77">
        <f t="shared" si="23"/>
        <v>310000</v>
      </c>
      <c r="G37" s="72">
        <v>20</v>
      </c>
      <c r="H37" s="77">
        <f t="shared" si="24"/>
        <v>310000</v>
      </c>
      <c r="I37" s="72">
        <v>20</v>
      </c>
      <c r="J37" s="77">
        <f t="shared" si="25"/>
        <v>310000</v>
      </c>
      <c r="K37" s="72">
        <v>10</v>
      </c>
      <c r="L37" s="77">
        <f t="shared" si="26"/>
        <v>155000</v>
      </c>
      <c r="M37" s="72">
        <v>15</v>
      </c>
      <c r="N37" s="77">
        <f t="shared" si="27"/>
        <v>232500</v>
      </c>
      <c r="O37" s="179">
        <f t="shared" si="6"/>
        <v>100</v>
      </c>
    </row>
    <row r="38" spans="1:15" ht="34.5" customHeight="1" x14ac:dyDescent="0.2">
      <c r="A38" s="175" t="str">
        <f>'Presupuesto Detallado'!C139</f>
        <v>PRODUCTO 4.11: Plan de participación y relaciones comunitarias. El objetivo es lograr que las comunidades, grupos de interés y actores sociales en general se informen y participen en el marco de la ejecución del programa. Para ello, se incluirá asistencia para: (i) diseño del plan participación y relaciones comunitarias, que será ejecutado por la OASC;  (ii) crear una Oficina de Atención Social Comunitaria (OASC) que permita a la comunidad presentar inquietudes, sugerencias y reclamos; (iii) ejecutar un proceso informativo sobre las intervenciones y su impacto; (iv) realizar acompañamiento social a las obras; (v) diseñar e implementar planes de integración laboral de la comunidad a las obras; (vi) documentar y llevar control de las actas y acuerdos que se realicen con la comunidad; y (viii) ejecutar un plan de formación y capacitación para el mantenimiento y sostenibilidad de las obras</v>
      </c>
      <c r="B38" s="77">
        <f>'Presupuesto Detallado'!D139</f>
        <v>700000</v>
      </c>
      <c r="C38" s="72">
        <v>10</v>
      </c>
      <c r="D38" s="77">
        <f t="shared" si="22"/>
        <v>70000</v>
      </c>
      <c r="E38" s="72">
        <v>20</v>
      </c>
      <c r="F38" s="77">
        <f t="shared" si="23"/>
        <v>140000</v>
      </c>
      <c r="G38" s="72">
        <v>20</v>
      </c>
      <c r="H38" s="77">
        <f t="shared" si="24"/>
        <v>140000</v>
      </c>
      <c r="I38" s="72">
        <v>20</v>
      </c>
      <c r="J38" s="77">
        <f t="shared" si="25"/>
        <v>140000</v>
      </c>
      <c r="K38" s="72">
        <v>10</v>
      </c>
      <c r="L38" s="77">
        <f t="shared" si="26"/>
        <v>70000</v>
      </c>
      <c r="M38" s="72">
        <v>20</v>
      </c>
      <c r="N38" s="77">
        <f t="shared" si="27"/>
        <v>140000</v>
      </c>
      <c r="O38" s="179">
        <f t="shared" si="6"/>
        <v>100</v>
      </c>
    </row>
    <row r="39" spans="1:15" ht="15" x14ac:dyDescent="0.25">
      <c r="A39" s="232" t="str">
        <f>'Presupuesto Detallado'!C141</f>
        <v>Administración del Programa</v>
      </c>
      <c r="B39" s="73" t="s">
        <v>325</v>
      </c>
      <c r="C39" s="74" t="s">
        <v>326</v>
      </c>
      <c r="D39" s="75" t="s">
        <v>327</v>
      </c>
      <c r="E39" s="75" t="s">
        <v>326</v>
      </c>
      <c r="F39" s="75" t="s">
        <v>328</v>
      </c>
      <c r="G39" s="75" t="s">
        <v>326</v>
      </c>
      <c r="H39" s="75" t="s">
        <v>329</v>
      </c>
      <c r="I39" s="75" t="s">
        <v>326</v>
      </c>
      <c r="J39" s="75" t="s">
        <v>330</v>
      </c>
      <c r="K39" s="75" t="s">
        <v>326</v>
      </c>
      <c r="L39" s="75" t="s">
        <v>331</v>
      </c>
      <c r="M39" s="75" t="s">
        <v>326</v>
      </c>
      <c r="N39" s="75" t="s">
        <v>332</v>
      </c>
      <c r="O39" s="179" t="e">
        <f t="shared" si="6"/>
        <v>#VALUE!</v>
      </c>
    </row>
    <row r="40" spans="1:15" ht="15" x14ac:dyDescent="0.25">
      <c r="A40" s="233"/>
      <c r="B40" s="76">
        <f>SUM(B41:B46)</f>
        <v>5684000</v>
      </c>
      <c r="C40" s="72">
        <f>D40/$B40*100</f>
        <v>15.581749941355854</v>
      </c>
      <c r="D40" s="76">
        <f>SUM(D41:D46)</f>
        <v>885666.66666666674</v>
      </c>
      <c r="E40" s="72">
        <f>F40/$B40*100</f>
        <v>15.581749941355854</v>
      </c>
      <c r="F40" s="76">
        <f>SUM(F41:F46)</f>
        <v>885666.66666666674</v>
      </c>
      <c r="G40" s="72">
        <f>H40/$B40*100</f>
        <v>19.892094768942062</v>
      </c>
      <c r="H40" s="76">
        <f>SUM(H41:H46)</f>
        <v>1130666.6666666667</v>
      </c>
      <c r="I40" s="72">
        <f>J40/$B40*100</f>
        <v>15.581749941355854</v>
      </c>
      <c r="J40" s="76">
        <f>SUM(J41:J46)</f>
        <v>885666.66666666674</v>
      </c>
      <c r="K40" s="72">
        <f>L40/$B40*100</f>
        <v>15.581749941355854</v>
      </c>
      <c r="L40" s="76">
        <f>SUM(L41:L46)</f>
        <v>885666.66666666674</v>
      </c>
      <c r="M40" s="72">
        <f>N40/$B40*100</f>
        <v>17.780905465634529</v>
      </c>
      <c r="N40" s="76">
        <f>SUM(N41:N46)</f>
        <v>1010666.6666666667</v>
      </c>
      <c r="O40" s="179">
        <f>C40+E40+G40+I40+K40+M40</f>
        <v>100.00000000000001</v>
      </c>
    </row>
    <row r="41" spans="1:15" ht="28.5" x14ac:dyDescent="0.2">
      <c r="A41" s="82" t="str">
        <f>'Presupuesto Detallado'!C142</f>
        <v>PRODUCTO 5.1: Personal de la Unidad - Honorarios Profesionales 1/</v>
      </c>
      <c r="B41" s="77">
        <f>'Presupuesto Detallado'!D142</f>
        <v>4484000</v>
      </c>
      <c r="C41" s="83">
        <f>100/6</f>
        <v>16.666666666666668</v>
      </c>
      <c r="D41" s="77">
        <f t="shared" ref="D41:N45" si="28">$B41*C41/100</f>
        <v>747333.33333333349</v>
      </c>
      <c r="E41" s="83">
        <f>100/6</f>
        <v>16.666666666666668</v>
      </c>
      <c r="F41" s="77">
        <f t="shared" ref="F41:F45" si="29">$B41*E41/100</f>
        <v>747333.33333333349</v>
      </c>
      <c r="G41" s="83">
        <f>100/6</f>
        <v>16.666666666666668</v>
      </c>
      <c r="H41" s="77">
        <f t="shared" ref="H41:H45" si="30">$B41*G41/100</f>
        <v>747333.33333333349</v>
      </c>
      <c r="I41" s="83">
        <f>100/6</f>
        <v>16.666666666666668</v>
      </c>
      <c r="J41" s="77">
        <f t="shared" ref="J41:J45" si="31">$B41*I41/100</f>
        <v>747333.33333333349</v>
      </c>
      <c r="K41" s="83">
        <f>100/6</f>
        <v>16.666666666666668</v>
      </c>
      <c r="L41" s="77">
        <f t="shared" ref="L41:L45" si="32">$B41*K41/100</f>
        <v>747333.33333333349</v>
      </c>
      <c r="M41" s="83">
        <f>100/6</f>
        <v>16.666666666666668</v>
      </c>
      <c r="N41" s="77">
        <f t="shared" ref="N41:N45" si="33">$B41*M41/100</f>
        <v>747333.33333333349</v>
      </c>
      <c r="O41" s="179">
        <f t="shared" si="6"/>
        <v>100.00000000000001</v>
      </c>
    </row>
    <row r="42" spans="1:15" x14ac:dyDescent="0.2">
      <c r="A42" s="82" t="s">
        <v>333</v>
      </c>
      <c r="B42" s="77">
        <f>'Presupuesto Detallado'!D171</f>
        <v>480000</v>
      </c>
      <c r="C42" s="83">
        <f>100/6</f>
        <v>16.666666666666668</v>
      </c>
      <c r="D42" s="77">
        <f t="shared" si="28"/>
        <v>80000.000000000015</v>
      </c>
      <c r="E42" s="83">
        <f>100/6</f>
        <v>16.666666666666668</v>
      </c>
      <c r="F42" s="77">
        <f t="shared" si="29"/>
        <v>80000.000000000015</v>
      </c>
      <c r="G42" s="83">
        <f>100/6</f>
        <v>16.666666666666668</v>
      </c>
      <c r="H42" s="77">
        <f t="shared" si="30"/>
        <v>80000.000000000015</v>
      </c>
      <c r="I42" s="83">
        <f>100/6</f>
        <v>16.666666666666668</v>
      </c>
      <c r="J42" s="77">
        <f t="shared" si="31"/>
        <v>80000.000000000015</v>
      </c>
      <c r="K42" s="83">
        <f>100/6</f>
        <v>16.666666666666668</v>
      </c>
      <c r="L42" s="77">
        <f t="shared" si="32"/>
        <v>80000.000000000015</v>
      </c>
      <c r="M42" s="83">
        <f>100/6</f>
        <v>16.666666666666668</v>
      </c>
      <c r="N42" s="77">
        <f t="shared" si="33"/>
        <v>80000.000000000015</v>
      </c>
      <c r="O42" s="179">
        <f t="shared" si="6"/>
        <v>100.00000000000001</v>
      </c>
    </row>
    <row r="43" spans="1:15" x14ac:dyDescent="0.2">
      <c r="A43" s="82" t="s">
        <v>334</v>
      </c>
      <c r="B43" s="77">
        <f>+'Presupuesto Detallado'!D172+'Presupuesto Detallado'!D173</f>
        <v>120000</v>
      </c>
      <c r="C43" s="83">
        <v>0</v>
      </c>
      <c r="D43" s="77">
        <f t="shared" si="28"/>
        <v>0</v>
      </c>
      <c r="E43" s="83">
        <v>0</v>
      </c>
      <c r="F43" s="77">
        <f t="shared" si="28"/>
        <v>0</v>
      </c>
      <c r="G43" s="83">
        <v>100</v>
      </c>
      <c r="H43" s="77">
        <f t="shared" si="28"/>
        <v>120000</v>
      </c>
      <c r="I43" s="83">
        <v>0</v>
      </c>
      <c r="J43" s="77">
        <f t="shared" si="28"/>
        <v>0</v>
      </c>
      <c r="K43" s="83">
        <v>0</v>
      </c>
      <c r="L43" s="77">
        <f t="shared" si="28"/>
        <v>0</v>
      </c>
      <c r="M43" s="83">
        <v>0</v>
      </c>
      <c r="N43" s="77">
        <f t="shared" si="28"/>
        <v>0</v>
      </c>
      <c r="O43" s="179">
        <f t="shared" si="6"/>
        <v>100</v>
      </c>
    </row>
    <row r="44" spans="1:15" x14ac:dyDescent="0.2">
      <c r="A44" s="82" t="s">
        <v>335</v>
      </c>
      <c r="B44" s="77">
        <v>100000</v>
      </c>
      <c r="C44" s="83">
        <f>100/6</f>
        <v>16.666666666666668</v>
      </c>
      <c r="D44" s="77">
        <f t="shared" ref="D44" si="34">$B44*C44/100</f>
        <v>16666.666666666668</v>
      </c>
      <c r="E44" s="83">
        <f>100/6</f>
        <v>16.666666666666668</v>
      </c>
      <c r="F44" s="77">
        <f t="shared" si="28"/>
        <v>16666.666666666668</v>
      </c>
      <c r="G44" s="83">
        <f>100/6</f>
        <v>16.666666666666668</v>
      </c>
      <c r="H44" s="77">
        <f t="shared" si="28"/>
        <v>16666.666666666668</v>
      </c>
      <c r="I44" s="83">
        <f>100/6</f>
        <v>16.666666666666668</v>
      </c>
      <c r="J44" s="77">
        <f t="shared" si="28"/>
        <v>16666.666666666668</v>
      </c>
      <c r="K44" s="83">
        <f>100/6</f>
        <v>16.666666666666668</v>
      </c>
      <c r="L44" s="77">
        <f t="shared" si="28"/>
        <v>16666.666666666668</v>
      </c>
      <c r="M44" s="83">
        <f>100/6</f>
        <v>16.666666666666668</v>
      </c>
      <c r="N44" s="77">
        <f t="shared" si="28"/>
        <v>16666.666666666668</v>
      </c>
      <c r="O44" s="179">
        <f t="shared" si="6"/>
        <v>100.00000000000001</v>
      </c>
    </row>
    <row r="45" spans="1:15" x14ac:dyDescent="0.2">
      <c r="A45" s="82" t="s">
        <v>336</v>
      </c>
      <c r="B45" s="77">
        <v>250000</v>
      </c>
      <c r="C45" s="83">
        <v>0</v>
      </c>
      <c r="D45" s="77">
        <f t="shared" si="28"/>
        <v>0</v>
      </c>
      <c r="E45" s="83">
        <v>0</v>
      </c>
      <c r="F45" s="77">
        <f t="shared" si="29"/>
        <v>0</v>
      </c>
      <c r="G45" s="83">
        <v>50</v>
      </c>
      <c r="H45" s="77">
        <f t="shared" si="30"/>
        <v>125000</v>
      </c>
      <c r="I45" s="83">
        <v>0</v>
      </c>
      <c r="J45" s="77">
        <f t="shared" si="31"/>
        <v>0</v>
      </c>
      <c r="K45" s="83">
        <v>0</v>
      </c>
      <c r="L45" s="77">
        <f t="shared" si="32"/>
        <v>0</v>
      </c>
      <c r="M45" s="83">
        <v>50</v>
      </c>
      <c r="N45" s="77">
        <f t="shared" si="33"/>
        <v>125000</v>
      </c>
      <c r="O45" s="179">
        <f t="shared" si="6"/>
        <v>100</v>
      </c>
    </row>
    <row r="46" spans="1:15" x14ac:dyDescent="0.2">
      <c r="A46" s="82" t="s">
        <v>337</v>
      </c>
      <c r="B46" s="77">
        <f>'Presupuesto Detallado'!D174</f>
        <v>250000</v>
      </c>
      <c r="C46" s="83">
        <f>100/6</f>
        <v>16.666666666666668</v>
      </c>
      <c r="D46" s="77">
        <f>$B46*C46/100</f>
        <v>41666.666666666672</v>
      </c>
      <c r="E46" s="83">
        <f>100/6</f>
        <v>16.666666666666668</v>
      </c>
      <c r="F46" s="77">
        <f t="shared" ref="F46" si="35">$B46*E46/100</f>
        <v>41666.666666666672</v>
      </c>
      <c r="G46" s="83">
        <f>100/6</f>
        <v>16.666666666666668</v>
      </c>
      <c r="H46" s="77">
        <f t="shared" ref="H46" si="36">$B46*G46/100</f>
        <v>41666.666666666672</v>
      </c>
      <c r="I46" s="83">
        <f>100/6</f>
        <v>16.666666666666668</v>
      </c>
      <c r="J46" s="77">
        <f t="shared" ref="J46" si="37">$B46*I46/100</f>
        <v>41666.666666666672</v>
      </c>
      <c r="K46" s="83">
        <f>100/6</f>
        <v>16.666666666666668</v>
      </c>
      <c r="L46" s="77">
        <f t="shared" ref="L46:N46" si="38">$B46*K46/100</f>
        <v>41666.666666666672</v>
      </c>
      <c r="M46" s="83">
        <f>100/6</f>
        <v>16.666666666666668</v>
      </c>
      <c r="N46" s="77">
        <f t="shared" si="38"/>
        <v>41666.666666666672</v>
      </c>
      <c r="O46" s="179">
        <f t="shared" si="6"/>
        <v>100.00000000000001</v>
      </c>
    </row>
    <row r="47" spans="1:15" ht="15" x14ac:dyDescent="0.25">
      <c r="A47" s="230" t="s">
        <v>338</v>
      </c>
      <c r="B47" s="73" t="s">
        <v>325</v>
      </c>
      <c r="C47" s="74" t="s">
        <v>326</v>
      </c>
      <c r="D47" s="75" t="s">
        <v>327</v>
      </c>
      <c r="E47" s="75" t="s">
        <v>326</v>
      </c>
      <c r="F47" s="75" t="s">
        <v>328</v>
      </c>
      <c r="G47" s="75" t="s">
        <v>326</v>
      </c>
      <c r="H47" s="75" t="s">
        <v>329</v>
      </c>
      <c r="I47" s="75" t="s">
        <v>326</v>
      </c>
      <c r="J47" s="75" t="s">
        <v>330</v>
      </c>
      <c r="K47" s="75" t="s">
        <v>326</v>
      </c>
      <c r="L47" s="75" t="s">
        <v>331</v>
      </c>
      <c r="M47" s="75" t="s">
        <v>326</v>
      </c>
      <c r="N47" s="75" t="s">
        <v>332</v>
      </c>
      <c r="O47" s="179">
        <f>C48+E48+G48+I48+K48+M48</f>
        <v>100</v>
      </c>
    </row>
    <row r="48" spans="1:15" x14ac:dyDescent="0.2">
      <c r="A48" s="231"/>
      <c r="B48" s="77">
        <f>'Presupuesto Detallado'!D176</f>
        <v>2600000</v>
      </c>
      <c r="C48" s="173">
        <f>+D48/$B$48*100</f>
        <v>0</v>
      </c>
      <c r="D48" s="77">
        <v>0</v>
      </c>
      <c r="E48" s="173">
        <f>+F48/$B$48*100</f>
        <v>0</v>
      </c>
      <c r="F48" s="77">
        <v>0</v>
      </c>
      <c r="G48" s="173">
        <f>+H48/$B$48*100</f>
        <v>0</v>
      </c>
      <c r="H48" s="77">
        <v>0</v>
      </c>
      <c r="I48" s="173">
        <f>+J48/$B$48*100</f>
        <v>0</v>
      </c>
      <c r="J48" s="77">
        <v>0</v>
      </c>
      <c r="K48" s="173">
        <f>+L48/$B$48*100</f>
        <v>0</v>
      </c>
      <c r="L48" s="77">
        <v>0</v>
      </c>
      <c r="M48" s="173">
        <f>+N48/$B$48*100</f>
        <v>100</v>
      </c>
      <c r="N48" s="77">
        <f>B48</f>
        <v>2600000</v>
      </c>
    </row>
  </sheetData>
  <mergeCells count="7">
    <mergeCell ref="A47:A48"/>
    <mergeCell ref="A39:A40"/>
    <mergeCell ref="A1:L1"/>
    <mergeCell ref="A3:A4"/>
    <mergeCell ref="A13:A14"/>
    <mergeCell ref="A19:A20"/>
    <mergeCell ref="A26:A27"/>
  </mergeCells>
  <pageMargins left="0.7" right="0.7" top="0.75" bottom="0.75" header="0.3" footer="0.3"/>
  <pageSetup scale="46" orientation="portrait" r:id="rId1"/>
  <colBreaks count="1" manualBreakCount="1">
    <brk id="1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1"/>
  <sheetViews>
    <sheetView topLeftCell="A109" zoomScale="80" zoomScaleNormal="80" workbookViewId="0">
      <selection activeCell="B113" sqref="B113"/>
    </sheetView>
  </sheetViews>
  <sheetFormatPr defaultRowHeight="14.25" x14ac:dyDescent="0.2"/>
  <cols>
    <col min="1" max="1" width="6.140625" style="92" customWidth="1"/>
    <col min="2" max="2" width="81.42578125" style="93" customWidth="1"/>
    <col min="3" max="3" width="17.5703125" style="94" customWidth="1"/>
    <col min="4" max="4" width="12.7109375" style="93" customWidth="1"/>
    <col min="5" max="5" width="19.140625" style="93" customWidth="1"/>
    <col min="6" max="6" width="13.5703125" style="93" customWidth="1"/>
    <col min="7" max="7" width="18" style="94" customWidth="1"/>
    <col min="8" max="8" width="31" style="94" bestFit="1" customWidth="1"/>
    <col min="9" max="9" width="17.28515625" style="93" customWidth="1"/>
    <col min="10" max="10" width="16.140625" style="93" customWidth="1"/>
    <col min="11" max="11" width="93" style="93" customWidth="1"/>
    <col min="12" max="12" width="9.140625" style="85"/>
    <col min="13" max="13" width="11.28515625" style="85" bestFit="1" customWidth="1"/>
    <col min="14" max="16384" width="9.140625" style="85"/>
  </cols>
  <sheetData>
    <row r="1" spans="1:11" ht="108" customHeight="1" x14ac:dyDescent="0.25">
      <c r="A1" s="242" t="str">
        <f>'Presupuesto Detallado'!C1</f>
        <v xml:space="preserve">PROGRAMA INTEGRAL DE DESARROLLO TURISTICO Y URBANO DE LA CCSD (PIDTUR-CC)
ESQUEMA PRESUPUESTARIO , ESTRUCTURA DESGLOSADA
</v>
      </c>
      <c r="B1" s="243"/>
      <c r="C1" s="243"/>
      <c r="D1" s="243"/>
      <c r="E1" s="243"/>
      <c r="F1" s="243"/>
      <c r="G1" s="243"/>
      <c r="H1" s="243"/>
      <c r="I1" s="243"/>
      <c r="J1" s="243"/>
      <c r="K1" s="243"/>
    </row>
    <row r="2" spans="1:11" ht="15" x14ac:dyDescent="0.2">
      <c r="A2" s="244" t="s">
        <v>339</v>
      </c>
      <c r="B2" s="244"/>
      <c r="C2" s="244"/>
      <c r="D2" s="244"/>
      <c r="E2" s="244"/>
      <c r="F2" s="244"/>
      <c r="G2" s="244"/>
      <c r="H2" s="244"/>
      <c r="I2" s="244"/>
      <c r="J2" s="244"/>
      <c r="K2" s="244"/>
    </row>
    <row r="3" spans="1:11" ht="15" x14ac:dyDescent="0.2">
      <c r="I3" s="245" t="s">
        <v>340</v>
      </c>
      <c r="J3" s="246"/>
    </row>
    <row r="4" spans="1:11" ht="75" customHeight="1" x14ac:dyDescent="0.2">
      <c r="A4" s="95" t="s">
        <v>341</v>
      </c>
      <c r="B4" s="96" t="s">
        <v>342</v>
      </c>
      <c r="C4" s="96" t="s">
        <v>343</v>
      </c>
      <c r="D4" s="96" t="s">
        <v>344</v>
      </c>
      <c r="E4" s="96" t="s">
        <v>345</v>
      </c>
      <c r="F4" s="96" t="s">
        <v>346</v>
      </c>
      <c r="G4" s="96" t="s">
        <v>347</v>
      </c>
      <c r="H4" s="96" t="s">
        <v>348</v>
      </c>
      <c r="I4" s="96" t="s">
        <v>349</v>
      </c>
      <c r="J4" s="96" t="s">
        <v>350</v>
      </c>
      <c r="K4" s="96" t="s">
        <v>351</v>
      </c>
    </row>
    <row r="5" spans="1:11" ht="29.25" customHeight="1" thickBot="1" x14ac:dyDescent="0.25">
      <c r="A5" s="236" t="s">
        <v>352</v>
      </c>
      <c r="B5" s="237"/>
      <c r="C5" s="237"/>
      <c r="D5" s="237"/>
      <c r="E5" s="237"/>
      <c r="F5" s="237"/>
      <c r="G5" s="237"/>
      <c r="H5" s="237"/>
      <c r="I5" s="237"/>
      <c r="J5" s="237"/>
      <c r="K5" s="238"/>
    </row>
    <row r="6" spans="1:11" ht="18" customHeight="1" x14ac:dyDescent="0.2">
      <c r="A6" s="97">
        <v>1</v>
      </c>
      <c r="B6" s="88" t="str">
        <f>'Presupuesto Detallado'!C17</f>
        <v>Especialista de proyectos de infraestructura</v>
      </c>
      <c r="C6" s="98" t="s">
        <v>353</v>
      </c>
      <c r="D6" s="99" t="s">
        <v>354</v>
      </c>
      <c r="E6" s="100">
        <f>'Presupuesto Detallado'!D17</f>
        <v>252000</v>
      </c>
      <c r="F6" s="98">
        <v>1</v>
      </c>
      <c r="G6" s="101" t="s">
        <v>355</v>
      </c>
      <c r="H6" s="101" t="s">
        <v>356</v>
      </c>
      <c r="I6" s="98">
        <v>2017</v>
      </c>
      <c r="J6" s="98">
        <v>2022</v>
      </c>
      <c r="K6" s="89"/>
    </row>
    <row r="7" spans="1:11" x14ac:dyDescent="0.2">
      <c r="A7" s="102">
        <f>A6+1</f>
        <v>2</v>
      </c>
      <c r="B7" s="88" t="str">
        <f>'Presupuesto Detallado'!C18</f>
        <v>Especialista de Oferta Turística Complementaria</v>
      </c>
      <c r="C7" s="98" t="s">
        <v>353</v>
      </c>
      <c r="D7" s="98" t="s">
        <v>354</v>
      </c>
      <c r="E7" s="100">
        <f>'Presupuesto Detallado'!D18</f>
        <v>252000</v>
      </c>
      <c r="F7" s="98">
        <v>1</v>
      </c>
      <c r="G7" s="101" t="s">
        <v>355</v>
      </c>
      <c r="H7" s="101" t="s">
        <v>356</v>
      </c>
      <c r="I7" s="98">
        <v>2017</v>
      </c>
      <c r="J7" s="98">
        <v>2022</v>
      </c>
      <c r="K7" s="90"/>
    </row>
    <row r="8" spans="1:11" ht="15" thickBot="1" x14ac:dyDescent="0.25">
      <c r="A8" s="102">
        <f t="shared" ref="A8:A23" si="0">A7+1</f>
        <v>3</v>
      </c>
      <c r="B8" s="88" t="str">
        <f>'Presupuesto Detallado'!C23</f>
        <v>Analista Especialista en Património</v>
      </c>
      <c r="C8" s="98"/>
      <c r="D8" s="98"/>
      <c r="E8" s="100">
        <f>'Presupuesto Detallado'!D23</f>
        <v>216000</v>
      </c>
      <c r="F8" s="98">
        <v>1</v>
      </c>
      <c r="G8" s="101" t="s">
        <v>355</v>
      </c>
      <c r="H8" s="101" t="s">
        <v>356</v>
      </c>
      <c r="I8" s="98">
        <v>2017</v>
      </c>
      <c r="J8" s="98">
        <v>2022</v>
      </c>
      <c r="K8" s="91"/>
    </row>
    <row r="9" spans="1:11" ht="28.5" x14ac:dyDescent="0.2">
      <c r="A9" s="102">
        <f t="shared" si="0"/>
        <v>4</v>
      </c>
      <c r="B9" s="88" t="str">
        <f>'Presupuesto Detallado'!C29</f>
        <v xml:space="preserve">PROYECTO Y SUPERVISIÓN DE OBRA:  Adecuación y Mantenimiento Planta Física Alcázar de Colón </v>
      </c>
      <c r="C9" s="98" t="s">
        <v>353</v>
      </c>
      <c r="D9" s="99" t="s">
        <v>354</v>
      </c>
      <c r="E9" s="100">
        <f>'Presupuesto Detallado'!D29</f>
        <v>40000</v>
      </c>
      <c r="F9" s="98">
        <v>1</v>
      </c>
      <c r="G9" s="101" t="s">
        <v>355</v>
      </c>
      <c r="H9" s="101" t="s">
        <v>356</v>
      </c>
      <c r="I9" s="98">
        <v>2017</v>
      </c>
      <c r="J9" s="98">
        <v>2019</v>
      </c>
      <c r="K9" s="89"/>
    </row>
    <row r="10" spans="1:11" x14ac:dyDescent="0.2">
      <c r="A10" s="102">
        <f t="shared" si="0"/>
        <v>5</v>
      </c>
      <c r="B10" s="88" t="str">
        <f>'Presupuesto Detallado'!C37</f>
        <v xml:space="preserve">Especialista de Museos </v>
      </c>
      <c r="C10" s="98"/>
      <c r="D10" s="99"/>
      <c r="E10" s="100">
        <f>'Presupuesto Detallado'!D37</f>
        <v>252000</v>
      </c>
      <c r="F10" s="98">
        <v>1</v>
      </c>
      <c r="G10" s="101" t="s">
        <v>355</v>
      </c>
      <c r="H10" s="101" t="s">
        <v>356</v>
      </c>
      <c r="I10" s="98">
        <v>2017</v>
      </c>
      <c r="J10" s="98">
        <v>2019</v>
      </c>
      <c r="K10" s="91"/>
    </row>
    <row r="11" spans="1:11" ht="28.5" x14ac:dyDescent="0.2">
      <c r="A11" s="102">
        <f t="shared" si="0"/>
        <v>6</v>
      </c>
      <c r="B11" s="88" t="str">
        <f>'Presupuesto Detallado'!C52</f>
        <v>Estudios historicos del entorno (evolución de la zona, del inmueble y estudio de arqueología del color en laboratorio).</v>
      </c>
      <c r="C11" s="98" t="s">
        <v>353</v>
      </c>
      <c r="D11" s="98" t="s">
        <v>354</v>
      </c>
      <c r="E11" s="100">
        <f>'Presupuesto Detallado'!D52</f>
        <v>50000</v>
      </c>
      <c r="F11" s="98">
        <v>2</v>
      </c>
      <c r="G11" s="101" t="s">
        <v>355</v>
      </c>
      <c r="H11" s="101" t="s">
        <v>356</v>
      </c>
      <c r="I11" s="98">
        <v>2017</v>
      </c>
      <c r="J11" s="98">
        <v>2018</v>
      </c>
      <c r="K11" s="90"/>
    </row>
    <row r="12" spans="1:11" ht="28.5" x14ac:dyDescent="0.2">
      <c r="A12" s="102">
        <f t="shared" si="0"/>
        <v>7</v>
      </c>
      <c r="B12" s="88" t="str">
        <f>'Presupuesto Detallado'!C55</f>
        <v>Capacitacion y seguimiento a las familias. Incluye: trabajo social para empoderar y capacitar a las familias en educacion financiera y en construccion entre otros</v>
      </c>
      <c r="C12" s="98" t="s">
        <v>353</v>
      </c>
      <c r="D12" s="98" t="s">
        <v>354</v>
      </c>
      <c r="E12" s="100">
        <f>'Presupuesto Detallado'!E55</f>
        <v>60000</v>
      </c>
      <c r="F12" s="98">
        <v>2</v>
      </c>
      <c r="G12" s="101" t="s">
        <v>355</v>
      </c>
      <c r="H12" s="101" t="s">
        <v>356</v>
      </c>
      <c r="I12" s="98">
        <v>2017</v>
      </c>
      <c r="J12" s="98">
        <v>2020</v>
      </c>
      <c r="K12" s="90"/>
    </row>
    <row r="13" spans="1:11" x14ac:dyDescent="0.2">
      <c r="A13" s="102">
        <f t="shared" si="0"/>
        <v>8</v>
      </c>
      <c r="B13" s="88" t="str">
        <f>'Presupuesto Detallado'!C56</f>
        <v>Especialista gestión social y vivienda</v>
      </c>
      <c r="C13" s="98"/>
      <c r="D13" s="98"/>
      <c r="E13" s="100">
        <f>'Presupuesto Detallado'!E56</f>
        <v>252000</v>
      </c>
      <c r="F13" s="98">
        <v>2</v>
      </c>
      <c r="G13" s="101" t="s">
        <v>355</v>
      </c>
      <c r="H13" s="101" t="s">
        <v>356</v>
      </c>
      <c r="I13" s="98">
        <v>2017</v>
      </c>
      <c r="J13" s="98">
        <v>2022</v>
      </c>
      <c r="K13" s="90"/>
    </row>
    <row r="14" spans="1:11" ht="87" customHeight="1" x14ac:dyDescent="0.2">
      <c r="A14" s="102">
        <f t="shared" si="0"/>
        <v>9</v>
      </c>
      <c r="B14" s="88" t="str">
        <f>'Presupuesto Detallado'!C58</f>
        <v>Actualización de reglamento operativo del Programa de recuperacion de Fachadas. Incluye definición de: a)  criterios de selección de beneficiarios; b) modelo financiero; c) esquemas de articulación con otros acciones de la operación;  d) mecanismos de ejecución y supervisión; e) seguimiento y control; y f) propuesta de mecanismos de recuperacion total o parcial de la inversion publica en fachadas a traves de mecanismos de captura de plusvalias y/o cofinanciacion.</v>
      </c>
      <c r="C14" s="98" t="s">
        <v>353</v>
      </c>
      <c r="D14" s="98" t="s">
        <v>354</v>
      </c>
      <c r="E14" s="100">
        <f>'Presupuesto Detallado'!E58</f>
        <v>25000</v>
      </c>
      <c r="F14" s="98">
        <v>2</v>
      </c>
      <c r="G14" s="101" t="s">
        <v>355</v>
      </c>
      <c r="H14" s="101" t="s">
        <v>356</v>
      </c>
      <c r="I14" s="98">
        <v>2017</v>
      </c>
      <c r="J14" s="98">
        <v>2017</v>
      </c>
      <c r="K14" s="90"/>
    </row>
    <row r="15" spans="1:11" ht="23.25" customHeight="1" x14ac:dyDescent="0.2">
      <c r="A15" s="102">
        <f t="shared" si="0"/>
        <v>10</v>
      </c>
      <c r="B15" s="88" t="str">
        <f>'Presupuesto Detallado'!C87</f>
        <v xml:space="preserve">Especialista en gestión  cultural </v>
      </c>
      <c r="C15" s="98"/>
      <c r="D15" s="98"/>
      <c r="E15" s="100">
        <f>'Presupuesto Detallado'!D87</f>
        <v>216000</v>
      </c>
      <c r="F15" s="98">
        <v>3</v>
      </c>
      <c r="G15" s="101" t="s">
        <v>355</v>
      </c>
      <c r="H15" s="101" t="s">
        <v>356</v>
      </c>
      <c r="I15" s="98">
        <v>2017</v>
      </c>
      <c r="J15" s="98">
        <v>2022</v>
      </c>
      <c r="K15" s="90"/>
    </row>
    <row r="16" spans="1:11" ht="23.25" customHeight="1" x14ac:dyDescent="0.2">
      <c r="A16" s="102">
        <f t="shared" si="0"/>
        <v>11</v>
      </c>
      <c r="B16" s="88" t="str">
        <f>'Presupuesto Detallado'!C101</f>
        <v>Especialista Gestión Turística</v>
      </c>
      <c r="C16" s="98"/>
      <c r="D16" s="98"/>
      <c r="E16" s="100">
        <f>'Presupuesto Detallado'!D101</f>
        <v>252000</v>
      </c>
      <c r="F16" s="98">
        <v>3</v>
      </c>
      <c r="G16" s="101" t="s">
        <v>355</v>
      </c>
      <c r="H16" s="101" t="s">
        <v>356</v>
      </c>
      <c r="I16" s="98">
        <v>2017</v>
      </c>
      <c r="J16" s="98">
        <v>2022</v>
      </c>
      <c r="K16" s="90"/>
    </row>
    <row r="17" spans="1:13" ht="23.25" customHeight="1" x14ac:dyDescent="0.2">
      <c r="A17" s="102">
        <f t="shared" si="0"/>
        <v>12</v>
      </c>
      <c r="B17" s="88" t="str">
        <f>'Presupuesto Detallado'!C106</f>
        <v>Analista Técnico Planificación</v>
      </c>
      <c r="C17" s="98"/>
      <c r="D17" s="98"/>
      <c r="E17" s="100">
        <f>'Presupuesto Detallado'!D106</f>
        <v>216000</v>
      </c>
      <c r="F17" s="98">
        <v>3</v>
      </c>
      <c r="G17" s="101" t="s">
        <v>355</v>
      </c>
      <c r="H17" s="101" t="s">
        <v>356</v>
      </c>
      <c r="I17" s="98">
        <v>2017</v>
      </c>
      <c r="J17" s="98">
        <v>2022</v>
      </c>
      <c r="K17" s="90"/>
    </row>
    <row r="18" spans="1:13" ht="28.5" customHeight="1" x14ac:dyDescent="0.2">
      <c r="A18" s="102">
        <f t="shared" si="0"/>
        <v>13</v>
      </c>
      <c r="B18" s="88" t="str">
        <f>'Presupuesto Detallado'!C108</f>
        <v>Diseño e implementación Plan de Rutas Turística. Talleres, socialización, implementación de rutas.alianza tour operadores para puesta en operación de las rutas.  Creacion de aplicacion inteligente.</v>
      </c>
      <c r="C18" s="98" t="s">
        <v>353</v>
      </c>
      <c r="D18" s="98" t="s">
        <v>354</v>
      </c>
      <c r="E18" s="100">
        <f>'Presupuesto Detallado'!E108</f>
        <v>250000</v>
      </c>
      <c r="F18" s="98">
        <v>4</v>
      </c>
      <c r="G18" s="101" t="s">
        <v>355</v>
      </c>
      <c r="H18" s="101" t="s">
        <v>356</v>
      </c>
      <c r="I18" s="98">
        <v>2017</v>
      </c>
      <c r="J18" s="98">
        <v>2017</v>
      </c>
      <c r="K18" s="90"/>
    </row>
    <row r="19" spans="1:13" ht="36" customHeight="1" x14ac:dyDescent="0.2">
      <c r="A19" s="102">
        <f t="shared" si="0"/>
        <v>14</v>
      </c>
      <c r="B19" s="88" t="str">
        <f>'Presupuesto Detallado'!C117</f>
        <v>1. Desarrollo de propuesta de actualización del marco normativo del ADN sobre patrimonio, urbanismo, inversión, movilidad, aseo público, y gestión del suelo y desarrollar normativas complementarias para mecanismos de seguimiento y control. (Especialistas - Patrimonialista, Urbanista y Abogado) 3 espertos*10 meses * 3.200 honorários= 96.000</v>
      </c>
      <c r="C19" s="98" t="s">
        <v>353</v>
      </c>
      <c r="D19" s="98" t="s">
        <v>354</v>
      </c>
      <c r="E19" s="100">
        <f>'Presupuesto Detallado'!E117</f>
        <v>100000</v>
      </c>
      <c r="F19" s="98">
        <v>4</v>
      </c>
      <c r="G19" s="101" t="s">
        <v>355</v>
      </c>
      <c r="H19" s="101" t="s">
        <v>356</v>
      </c>
      <c r="I19" s="98">
        <v>2017</v>
      </c>
      <c r="J19" s="98">
        <v>2017</v>
      </c>
      <c r="K19" s="88"/>
    </row>
    <row r="20" spans="1:13" ht="28.5" x14ac:dyDescent="0.2">
      <c r="A20" s="102">
        <f t="shared" si="0"/>
        <v>15</v>
      </c>
      <c r="B20" s="103" t="str">
        <f>'Presupuesto Detallado'!C118</f>
        <v>2.  Apoyo al proceso de implementación de la normativa, incluyendo la adecuación de los procesos y de los sistemas operativos y administrativos</v>
      </c>
      <c r="C20" s="98" t="s">
        <v>353</v>
      </c>
      <c r="D20" s="98" t="s">
        <v>354</v>
      </c>
      <c r="E20" s="100">
        <f>'Presupuesto Detallado'!E118</f>
        <v>450000</v>
      </c>
      <c r="F20" s="98">
        <v>4</v>
      </c>
      <c r="G20" s="101" t="s">
        <v>355</v>
      </c>
      <c r="H20" s="101" t="s">
        <v>357</v>
      </c>
      <c r="I20" s="98">
        <v>2018</v>
      </c>
      <c r="J20" s="98">
        <v>2020</v>
      </c>
      <c r="K20" s="103"/>
    </row>
    <row r="21" spans="1:13" ht="30" customHeight="1" x14ac:dyDescent="0.2">
      <c r="A21" s="102">
        <f t="shared" si="0"/>
        <v>16</v>
      </c>
      <c r="B21" s="103" t="str">
        <f>'Presupuesto Detallado'!C127</f>
        <v>3. Fortalecimiento del personal para apoyar las funciones de la DNPM</v>
      </c>
      <c r="C21" s="98" t="s">
        <v>353</v>
      </c>
      <c r="D21" s="98" t="s">
        <v>354</v>
      </c>
      <c r="E21" s="100">
        <f>'Presupuesto Detallado'!E127</f>
        <v>375000</v>
      </c>
      <c r="F21" s="98">
        <v>4</v>
      </c>
      <c r="G21" s="101" t="s">
        <v>355</v>
      </c>
      <c r="H21" s="101" t="s">
        <v>356</v>
      </c>
      <c r="I21" s="98">
        <v>2017</v>
      </c>
      <c r="J21" s="98">
        <v>2022</v>
      </c>
      <c r="K21" s="103"/>
    </row>
    <row r="22" spans="1:13" ht="36.75" customHeight="1" x14ac:dyDescent="0.2">
      <c r="A22" s="102">
        <f t="shared" si="0"/>
        <v>17</v>
      </c>
      <c r="B22" s="104" t="str">
        <f>'Presupuesto Detallado'!C142</f>
        <v>PRODUCTO 5.1: Personal de la Unidad - Honorarios Profesionales 1/</v>
      </c>
      <c r="C22" s="98" t="s">
        <v>353</v>
      </c>
      <c r="D22" s="98" t="s">
        <v>354</v>
      </c>
      <c r="E22" s="100">
        <f>'Presupuesto Detallado'!E142</f>
        <v>4484000</v>
      </c>
      <c r="F22" s="98">
        <v>5</v>
      </c>
      <c r="G22" s="101" t="s">
        <v>355</v>
      </c>
      <c r="H22" s="101" t="s">
        <v>356</v>
      </c>
      <c r="I22" s="98">
        <v>2017</v>
      </c>
      <c r="J22" s="98">
        <v>2022</v>
      </c>
      <c r="K22" s="103"/>
    </row>
    <row r="23" spans="1:13" ht="22.5" customHeight="1" x14ac:dyDescent="0.2">
      <c r="A23" s="102">
        <f t="shared" si="0"/>
        <v>18</v>
      </c>
      <c r="B23" s="103" t="str">
        <f>'Presupuesto Detallado'!C175</f>
        <v>PRODUCTO 5.7: EVALUACIÓN Y MONITOREO</v>
      </c>
      <c r="C23" s="98" t="s">
        <v>353</v>
      </c>
      <c r="D23" s="98" t="s">
        <v>354</v>
      </c>
      <c r="E23" s="100">
        <f>'Presupuesto Detallado'!E175</f>
        <v>350000</v>
      </c>
      <c r="F23" s="98">
        <v>5</v>
      </c>
      <c r="G23" s="101" t="s">
        <v>355</v>
      </c>
      <c r="H23" s="101" t="s">
        <v>356</v>
      </c>
      <c r="I23" s="98">
        <v>2017</v>
      </c>
      <c r="J23" s="98">
        <v>2022</v>
      </c>
      <c r="K23" s="103"/>
    </row>
    <row r="24" spans="1:13" ht="15" x14ac:dyDescent="0.2">
      <c r="A24" s="105"/>
      <c r="B24" s="106"/>
      <c r="C24" s="107"/>
      <c r="D24" s="107"/>
      <c r="E24" s="108">
        <f>SUM(E6:E23)</f>
        <v>8092000</v>
      </c>
      <c r="F24" s="107"/>
      <c r="G24" s="109"/>
      <c r="H24" s="109"/>
      <c r="I24" s="107"/>
      <c r="J24" s="107"/>
      <c r="K24" s="110"/>
    </row>
    <row r="25" spans="1:13" ht="15" x14ac:dyDescent="0.2">
      <c r="A25" s="239" t="s">
        <v>360</v>
      </c>
      <c r="B25" s="240"/>
      <c r="C25" s="240"/>
      <c r="D25" s="240"/>
      <c r="E25" s="240"/>
      <c r="F25" s="240"/>
      <c r="G25" s="240"/>
      <c r="H25" s="240"/>
      <c r="I25" s="240"/>
      <c r="J25" s="240"/>
      <c r="K25" s="241"/>
    </row>
    <row r="26" spans="1:13" s="123" customFormat="1" ht="46.5" customHeight="1" x14ac:dyDescent="0.2">
      <c r="A26" s="118">
        <v>1</v>
      </c>
      <c r="B26" s="119" t="str">
        <f>'Presupuesto Detallado'!C6</f>
        <v>GEOTÉCNICO: Estudio Geotécnico para las obras de renovación de calles.
Estudios Geotécnicos en general que provean datos precisos para la correcta definición de las obras de remozamiento de calles.</v>
      </c>
      <c r="C26" s="120" t="s">
        <v>353</v>
      </c>
      <c r="D26" s="120" t="s">
        <v>354</v>
      </c>
      <c r="E26" s="112">
        <f>'Presupuesto Detallado'!F6</f>
        <v>100000</v>
      </c>
      <c r="F26" s="107">
        <v>1</v>
      </c>
      <c r="G26" s="101" t="s">
        <v>355</v>
      </c>
      <c r="H26" s="121" t="s">
        <v>361</v>
      </c>
      <c r="I26" s="107">
        <v>2017</v>
      </c>
      <c r="J26" s="98">
        <v>2017</v>
      </c>
      <c r="K26" s="122"/>
      <c r="L26" s="123">
        <v>550000</v>
      </c>
      <c r="M26" s="223">
        <f>L26-E26</f>
        <v>450000</v>
      </c>
    </row>
    <row r="27" spans="1:13" s="192" customFormat="1" ht="39.75" customHeight="1" x14ac:dyDescent="0.2">
      <c r="A27" s="102">
        <f>A26+1</f>
        <v>2</v>
      </c>
      <c r="B27" s="119" t="str">
        <f>'Presupuesto Detallado'!C7</f>
        <v>ESTUDIO: Estudio de vulnerabilidad de inmuebles. 
Estudios de estado actual de los inmuebles a ser intervenidos y acciones para evitar riesgos durante las obras de renovación de calles</v>
      </c>
      <c r="C27" s="191" t="s">
        <v>353</v>
      </c>
      <c r="D27" s="191" t="s">
        <v>354</v>
      </c>
      <c r="E27" s="100">
        <f>'Presupuesto Detallado'!F7</f>
        <v>100000</v>
      </c>
      <c r="F27" s="98">
        <v>1</v>
      </c>
      <c r="G27" s="101" t="s">
        <v>355</v>
      </c>
      <c r="H27" s="101" t="s">
        <v>361</v>
      </c>
      <c r="I27" s="98">
        <v>2017</v>
      </c>
      <c r="J27" s="98">
        <v>2017</v>
      </c>
      <c r="K27" s="119"/>
      <c r="L27" s="192">
        <v>30000</v>
      </c>
    </row>
    <row r="28" spans="1:13" s="192" customFormat="1" ht="32.25" customHeight="1" x14ac:dyDescent="0.2">
      <c r="A28" s="102">
        <f t="shared" ref="A28:A83" si="1">A27+1</f>
        <v>3</v>
      </c>
      <c r="B28" s="119" t="str">
        <f>'Presupuesto Detallado'!C8</f>
        <v>ESTUDIO: Estudios arqueológicos previos.
Incluye geo escaneado y supervisión de arqueología de obra.</v>
      </c>
      <c r="C28" s="191" t="s">
        <v>353</v>
      </c>
      <c r="D28" s="191" t="s">
        <v>354</v>
      </c>
      <c r="E28" s="100">
        <f>'Presupuesto Detallado'!F8</f>
        <v>375000</v>
      </c>
      <c r="F28" s="98">
        <v>1</v>
      </c>
      <c r="G28" s="101" t="s">
        <v>355</v>
      </c>
      <c r="H28" s="101" t="s">
        <v>361</v>
      </c>
      <c r="I28" s="98">
        <v>2017</v>
      </c>
      <c r="J28" s="98">
        <v>2017</v>
      </c>
      <c r="K28" s="119"/>
      <c r="L28" s="192">
        <v>255000</v>
      </c>
    </row>
    <row r="29" spans="1:13" s="193" customFormat="1" ht="127.5" customHeight="1" x14ac:dyDescent="0.2">
      <c r="A29" s="102">
        <f t="shared" si="1"/>
        <v>4</v>
      </c>
      <c r="B29" s="103" t="str">
        <f>'Presupuesto Detallado'!C9</f>
        <v>Actualización diseño y supervisión de obras de reforma de calles priorizadas y estudios especializados (vulnerabilidad, estrategia intervención, movilidad, otros). (1.1.2, 1.1.3, 1.1.4).
Consiste en actualizar y ajustar el anteproyecto existente a los lineamientos definitivos de Fase I, contemplando los resultados de los estudios Geotécnico, Vulnerabilidad, Estrategia de Intervención, Movilidad durante la Obra; y ajustándose a la implementación del sistema de Movilidad Urbana y del manejo de los Residuos Sólidos, éstos dos últimos en coordinación con el Componente III.</v>
      </c>
      <c r="C29" s="98" t="s">
        <v>353</v>
      </c>
      <c r="D29" s="98" t="s">
        <v>354</v>
      </c>
      <c r="E29" s="100">
        <f>'Presupuesto Detallado'!F9</f>
        <v>550000</v>
      </c>
      <c r="F29" s="98">
        <v>1</v>
      </c>
      <c r="G29" s="101" t="s">
        <v>355</v>
      </c>
      <c r="H29" s="101" t="s">
        <v>361</v>
      </c>
      <c r="I29" s="98">
        <v>2017</v>
      </c>
      <c r="J29" s="98">
        <v>2022</v>
      </c>
      <c r="K29" s="103"/>
      <c r="L29" s="193">
        <v>550000</v>
      </c>
    </row>
    <row r="30" spans="1:13" s="193" customFormat="1" ht="28.5" x14ac:dyDescent="0.2">
      <c r="A30" s="102">
        <f>A29+1</f>
        <v>5</v>
      </c>
      <c r="B30" s="103" t="str">
        <f>'Presupuesto Detallado'!C10</f>
        <v>ESTUDIO: Estrategia de intervención de calles.
Programación de trabajos y logística de etapas de obra</v>
      </c>
      <c r="C30" s="98" t="s">
        <v>353</v>
      </c>
      <c r="D30" s="98" t="s">
        <v>354</v>
      </c>
      <c r="E30" s="100">
        <f>'Presupuesto Detallado'!F10</f>
        <v>30000</v>
      </c>
      <c r="F30" s="98">
        <v>1</v>
      </c>
      <c r="G30" s="101" t="s">
        <v>355</v>
      </c>
      <c r="H30" s="101" t="s">
        <v>361</v>
      </c>
      <c r="I30" s="98">
        <v>2017</v>
      </c>
      <c r="J30" s="98">
        <v>2017</v>
      </c>
      <c r="K30" s="103"/>
      <c r="L30" s="193">
        <v>180000</v>
      </c>
    </row>
    <row r="31" spans="1:13" s="193" customFormat="1" x14ac:dyDescent="0.2">
      <c r="A31" s="102">
        <f t="shared" si="1"/>
        <v>6</v>
      </c>
      <c r="B31" s="103" t="str">
        <f>'Presupuesto Detallado'!C15</f>
        <v>Supervisión de obras de soterrado de cables eléctricos - 1.1.5</v>
      </c>
      <c r="C31" s="98" t="s">
        <v>353</v>
      </c>
      <c r="D31" s="98" t="s">
        <v>354</v>
      </c>
      <c r="E31" s="100">
        <f>'Presupuesto Detallado'!F15</f>
        <v>255000</v>
      </c>
      <c r="F31" s="98">
        <v>1</v>
      </c>
      <c r="G31" s="101" t="s">
        <v>355</v>
      </c>
      <c r="H31" s="101" t="s">
        <v>362</v>
      </c>
      <c r="I31" s="98">
        <v>2017</v>
      </c>
      <c r="J31" s="98">
        <v>2022</v>
      </c>
      <c r="K31" s="103"/>
      <c r="L31" s="193">
        <v>30000</v>
      </c>
    </row>
    <row r="32" spans="1:13" s="193" customFormat="1" x14ac:dyDescent="0.2">
      <c r="A32" s="102">
        <f t="shared" si="1"/>
        <v>7</v>
      </c>
      <c r="B32" s="103" t="str">
        <f>'Presupuesto Detallado'!C22</f>
        <v>Supervisión de Obras</v>
      </c>
      <c r="C32" s="98" t="s">
        <v>353</v>
      </c>
      <c r="D32" s="98" t="s">
        <v>354</v>
      </c>
      <c r="E32" s="100">
        <f>'Presupuesto Detallado'!F22</f>
        <v>550000</v>
      </c>
      <c r="F32" s="98">
        <v>1</v>
      </c>
      <c r="G32" s="101" t="s">
        <v>355</v>
      </c>
      <c r="H32" s="101" t="s">
        <v>362</v>
      </c>
      <c r="I32" s="98">
        <v>2017</v>
      </c>
      <c r="J32" s="98">
        <v>2022</v>
      </c>
      <c r="K32" s="194"/>
      <c r="L32" s="193">
        <v>30000</v>
      </c>
    </row>
    <row r="33" spans="1:12" s="193" customFormat="1" ht="57.75" customHeight="1" x14ac:dyDescent="0.2">
      <c r="A33" s="102">
        <f t="shared" si="1"/>
        <v>8</v>
      </c>
      <c r="B33" s="103" t="str">
        <f>'Presupuesto Detallado'!C25</f>
        <v>Realización Proyecto Ejecutivo y supervisión de la obra Proyecto Parque Lineal Ribera del Ozama (Paisajismo, Accesos Priorizados y conectividad: Estacionamientos, movilidad, accesos cruceristas, vínculos ribera este y oeste de la ría).</v>
      </c>
      <c r="C33" s="98" t="s">
        <v>353</v>
      </c>
      <c r="D33" s="98" t="s">
        <v>354</v>
      </c>
      <c r="E33" s="100">
        <f>'Presupuesto Detallado'!F25</f>
        <v>180000</v>
      </c>
      <c r="F33" s="98">
        <v>1</v>
      </c>
      <c r="G33" s="101" t="s">
        <v>355</v>
      </c>
      <c r="H33" s="101" t="s">
        <v>361</v>
      </c>
      <c r="I33" s="98">
        <v>2017</v>
      </c>
      <c r="J33" s="98">
        <v>2020</v>
      </c>
      <c r="K33" s="103"/>
      <c r="L33" s="193">
        <v>250000</v>
      </c>
    </row>
    <row r="34" spans="1:12" ht="28.5" x14ac:dyDescent="0.2">
      <c r="A34" s="102">
        <f t="shared" si="1"/>
        <v>9</v>
      </c>
      <c r="B34" s="103" t="str">
        <f>'Presupuesto Detallado'!C33</f>
        <v xml:space="preserve">PROYECTO Y SUPERVISIÓN DE OBRA:  Adecuación y Mantenimiento Planta Física Museo Casas Reales y techado patios </v>
      </c>
      <c r="C34" s="107" t="s">
        <v>353</v>
      </c>
      <c r="D34" s="107" t="s">
        <v>354</v>
      </c>
      <c r="E34" s="112">
        <f>'Presupuesto Detallado'!F33</f>
        <v>120000</v>
      </c>
      <c r="F34" s="107">
        <v>1</v>
      </c>
      <c r="G34" s="101" t="s">
        <v>355</v>
      </c>
      <c r="H34" s="121" t="s">
        <v>361</v>
      </c>
      <c r="I34" s="107">
        <v>2017</v>
      </c>
      <c r="J34" s="98">
        <v>2019</v>
      </c>
      <c r="K34" s="106"/>
      <c r="L34" s="85">
        <v>300000</v>
      </c>
    </row>
    <row r="35" spans="1:12" x14ac:dyDescent="0.2">
      <c r="A35" s="102">
        <f t="shared" si="1"/>
        <v>10</v>
      </c>
      <c r="B35" s="103" t="str">
        <f>'Presupuesto Detallado'!C39</f>
        <v>DIRECCIÓN y SUPERVISIÓN: Implementación Física PMUS</v>
      </c>
      <c r="C35" s="107" t="s">
        <v>353</v>
      </c>
      <c r="D35" s="107" t="s">
        <v>354</v>
      </c>
      <c r="E35" s="112">
        <f>'Presupuesto Detallado'!F39</f>
        <v>30000</v>
      </c>
      <c r="F35" s="107">
        <v>1</v>
      </c>
      <c r="G35" s="101" t="s">
        <v>355</v>
      </c>
      <c r="H35" s="121" t="s">
        <v>361</v>
      </c>
      <c r="I35" s="107">
        <v>2019</v>
      </c>
      <c r="J35" s="98">
        <v>2022</v>
      </c>
      <c r="K35" s="106"/>
      <c r="L35" s="85">
        <v>2175000</v>
      </c>
    </row>
    <row r="36" spans="1:12" x14ac:dyDescent="0.2">
      <c r="A36" s="102">
        <f t="shared" si="1"/>
        <v>11</v>
      </c>
      <c r="B36" s="103" t="str">
        <f>'Presupuesto Detallado'!C46</f>
        <v>SUPERVISIÓN: Ampliación 200 cámaras  (Diseño previsto en primer operación)</v>
      </c>
      <c r="C36" s="107" t="s">
        <v>353</v>
      </c>
      <c r="D36" s="107" t="s">
        <v>354</v>
      </c>
      <c r="E36" s="112">
        <f>'Presupuesto Detallado'!F46</f>
        <v>30000</v>
      </c>
      <c r="F36" s="107">
        <v>1</v>
      </c>
      <c r="G36" s="101" t="s">
        <v>355</v>
      </c>
      <c r="H36" s="121" t="s">
        <v>361</v>
      </c>
      <c r="I36" s="107">
        <v>2017</v>
      </c>
      <c r="J36" s="98">
        <v>2019</v>
      </c>
      <c r="K36" s="106"/>
      <c r="L36" s="85">
        <v>100000</v>
      </c>
    </row>
    <row r="37" spans="1:12" ht="98.25" customHeight="1" x14ac:dyDescent="0.2">
      <c r="A37" s="102">
        <f t="shared" si="1"/>
        <v>12</v>
      </c>
      <c r="B37" s="103" t="str">
        <f>'Presupuesto Detallado'!C50</f>
        <v xml:space="preserve">Diseno del Reglamento Operativo del Programa de Mejoramiento de Vivienda y Titulacion. Incluye: i) identificación de modelos y tipologías de intervención; ii) criterios de selección de beneficiarios; iii) criterios de definición de la intervención, iv) definición de mecanismos de corresponsabilidad, v) formas de ejecución y supervisión e) esquema de acompañamiento social
</v>
      </c>
      <c r="C37" s="107" t="s">
        <v>353</v>
      </c>
      <c r="D37" s="107" t="s">
        <v>354</v>
      </c>
      <c r="E37" s="112">
        <f>'Presupuesto Detallado'!F50</f>
        <v>25000</v>
      </c>
      <c r="F37" s="107">
        <v>2</v>
      </c>
      <c r="G37" s="101" t="s">
        <v>355</v>
      </c>
      <c r="H37" s="121" t="s">
        <v>361</v>
      </c>
      <c r="I37" s="107">
        <v>2017</v>
      </c>
      <c r="J37" s="98">
        <v>2017</v>
      </c>
      <c r="K37" s="106"/>
      <c r="L37" s="85">
        <v>100000</v>
      </c>
    </row>
    <row r="38" spans="1:12" ht="168" customHeight="1" x14ac:dyDescent="0.2">
      <c r="A38" s="102">
        <f t="shared" si="1"/>
        <v>13</v>
      </c>
      <c r="B38" s="103" t="str">
        <f>'Presupuesto Detallado'!C51</f>
        <v>Trabajo social para la seleccion de familias y levantamiento de informacion. Incluye: i) evaluar zonas de trabajo, ii) revisar estudios previos, iii) organizar reunión de presentación del proyecto a líderes comunitarios de la zona, iv) formar un comité con la comunidad encargado de la preselección de familias, v) preparar plan de acción para el levantamiento, vi) contacto inicial con las familias, vii) aplicar encuesta social, viii) realizar evaluación de la vivienda, ix) evaluar  capacidad financiera de las familias y la situación de tenencia, x) diseñar plan de mejora, xi) definir aporte familia, xii) socializar los resultados del proceso con toda la comunidad, xiii) Estudios arqueológicos previos cuando corresponda. El levantamiento técnico se realizará a 320 familias (las 200 que serán atendidas más un 60% de margen de familias que probablemente se retiran.</v>
      </c>
      <c r="C38" s="107" t="s">
        <v>353</v>
      </c>
      <c r="D38" s="107" t="s">
        <v>354</v>
      </c>
      <c r="E38" s="112">
        <f>'Presupuesto Detallado'!F51</f>
        <v>500000</v>
      </c>
      <c r="F38" s="107">
        <v>2</v>
      </c>
      <c r="G38" s="101" t="s">
        <v>355</v>
      </c>
      <c r="H38" s="121" t="s">
        <v>361</v>
      </c>
      <c r="I38" s="107">
        <v>2017</v>
      </c>
      <c r="J38" s="98">
        <v>2020</v>
      </c>
      <c r="K38" s="106"/>
      <c r="L38" s="85">
        <v>375000</v>
      </c>
    </row>
    <row r="39" spans="1:12" ht="41.25" customHeight="1" x14ac:dyDescent="0.2">
      <c r="A39" s="102">
        <f t="shared" si="1"/>
        <v>14</v>
      </c>
      <c r="B39" s="103" t="str">
        <f>'Presupuesto Detallado'!C53</f>
        <v xml:space="preserve">Gestión para la ejecución del programa de mejoramiento de vivienda y titulación. Incluye: contratación y supervisión de las obras de la intervención constructiva y del proceso de titulación. </v>
      </c>
      <c r="C39" s="107" t="s">
        <v>353</v>
      </c>
      <c r="D39" s="107" t="s">
        <v>354</v>
      </c>
      <c r="E39" s="112">
        <f>'Presupuesto Detallado'!F53</f>
        <v>340000</v>
      </c>
      <c r="F39" s="107">
        <v>2</v>
      </c>
      <c r="G39" s="101" t="s">
        <v>355</v>
      </c>
      <c r="H39" s="113" t="s">
        <v>359</v>
      </c>
      <c r="I39" s="107">
        <v>2018</v>
      </c>
      <c r="J39" s="98">
        <v>2020</v>
      </c>
      <c r="K39" s="106"/>
      <c r="L39" s="85">
        <v>120000</v>
      </c>
    </row>
    <row r="40" spans="1:12" ht="28.5" x14ac:dyDescent="0.2">
      <c r="A40" s="102">
        <f t="shared" si="1"/>
        <v>15</v>
      </c>
      <c r="B40" s="103" t="str">
        <f>'Presupuesto Detallado'!C59</f>
        <v>Gestión de recuperacion  de Fachadas. Incluye: organización de la demanda, contratación, seguimiento social y supervisión</v>
      </c>
      <c r="C40" s="107" t="s">
        <v>353</v>
      </c>
      <c r="D40" s="107" t="s">
        <v>354</v>
      </c>
      <c r="E40" s="112">
        <f>'Presupuesto Detallado'!F59</f>
        <v>250000</v>
      </c>
      <c r="F40" s="107">
        <v>2</v>
      </c>
      <c r="G40" s="101" t="s">
        <v>355</v>
      </c>
      <c r="H40" s="121" t="s">
        <v>361</v>
      </c>
      <c r="I40" s="107">
        <v>2018</v>
      </c>
      <c r="J40" s="98">
        <v>2022</v>
      </c>
      <c r="K40" s="106"/>
      <c r="L40" s="85">
        <v>25000</v>
      </c>
    </row>
    <row r="41" spans="1:12" ht="42.75" x14ac:dyDescent="0.2">
      <c r="A41" s="102">
        <f t="shared" si="1"/>
        <v>16</v>
      </c>
      <c r="B41" s="103" t="str">
        <f>'Presupuesto Detallado'!C61</f>
        <v>Identificación de propiedades potenciales para el desarrollo de vivienda asequible. Incluye: Levantamiento de información georreferenciada de propiedades con potencial de desarrollo</v>
      </c>
      <c r="C41" s="107" t="s">
        <v>353</v>
      </c>
      <c r="D41" s="107" t="s">
        <v>354</v>
      </c>
      <c r="E41" s="112">
        <f>'Presupuesto Detallado'!F61</f>
        <v>150000</v>
      </c>
      <c r="F41" s="107">
        <v>2</v>
      </c>
      <c r="G41" s="101" t="s">
        <v>355</v>
      </c>
      <c r="H41" s="121" t="s">
        <v>361</v>
      </c>
      <c r="I41" s="107">
        <v>2017</v>
      </c>
      <c r="J41" s="98">
        <v>2017</v>
      </c>
      <c r="K41" s="106"/>
      <c r="L41" s="85">
        <v>500000</v>
      </c>
    </row>
    <row r="42" spans="1:12" ht="71.25" x14ac:dyDescent="0.2">
      <c r="A42" s="102">
        <f t="shared" si="1"/>
        <v>17</v>
      </c>
      <c r="B42" s="103" t="str">
        <f>'Presupuesto Detallado'!C62</f>
        <v>Propuesta modelos de negocio rentables para el desarrollo de vivienda asequible. Estructuración de modelos financieros para proveer vivienda asequible incluyendo mecanismos como: i) mezcla de usos para compensar rentabilidades, ii) vivienda de alquiler institucional, y iii) asociaciones público-privadas en propiedades del estado o la iglesia</v>
      </c>
      <c r="C42" s="107" t="s">
        <v>353</v>
      </c>
      <c r="D42" s="107" t="s">
        <v>354</v>
      </c>
      <c r="E42" s="112">
        <f>'Presupuesto Detallado'!F62</f>
        <v>100000</v>
      </c>
      <c r="F42" s="107">
        <v>2</v>
      </c>
      <c r="G42" s="101" t="s">
        <v>355</v>
      </c>
      <c r="H42" s="121" t="s">
        <v>361</v>
      </c>
      <c r="I42" s="107">
        <v>2018</v>
      </c>
      <c r="J42" s="98">
        <v>2018</v>
      </c>
      <c r="K42" s="106"/>
      <c r="L42" s="85">
        <v>340000</v>
      </c>
    </row>
    <row r="43" spans="1:12" ht="57" x14ac:dyDescent="0.2">
      <c r="A43" s="102">
        <f t="shared" si="1"/>
        <v>18</v>
      </c>
      <c r="B43" s="103" t="str">
        <f>'Presupuesto Detallado'!C63</f>
        <v>Desarrollo de diseños arquitectónicos y ferias de constructores. Incluye que para ciertas propiedades identificadas como de potencial desarrollo, se desarrolle un diseño arquitectónico que respete el carácter patrimonial pero que permita la rentabilidad. Presentación en ferias para incentivar a los constructores</v>
      </c>
      <c r="C43" s="107" t="s">
        <v>353</v>
      </c>
      <c r="D43" s="107" t="s">
        <v>354</v>
      </c>
      <c r="E43" s="112">
        <f>'Presupuesto Detallado'!F63</f>
        <v>250000</v>
      </c>
      <c r="F43" s="107">
        <v>2</v>
      </c>
      <c r="G43" s="101" t="s">
        <v>355</v>
      </c>
      <c r="H43" s="121" t="s">
        <v>361</v>
      </c>
      <c r="I43" s="107">
        <v>2018</v>
      </c>
      <c r="J43" s="98">
        <v>2018</v>
      </c>
      <c r="K43" s="106"/>
      <c r="L43" s="85">
        <v>250000</v>
      </c>
    </row>
    <row r="44" spans="1:12" x14ac:dyDescent="0.2">
      <c r="A44" s="102">
        <f t="shared" si="1"/>
        <v>19</v>
      </c>
      <c r="B44" s="103">
        <f>'Presupuesto Detallado'!C64</f>
        <v>0</v>
      </c>
      <c r="C44" s="107" t="s">
        <v>353</v>
      </c>
      <c r="D44" s="107" t="s">
        <v>354</v>
      </c>
      <c r="E44" s="112">
        <f>'Presupuesto Detallado'!F64</f>
        <v>0</v>
      </c>
      <c r="F44" s="107">
        <v>2</v>
      </c>
      <c r="G44" s="101" t="s">
        <v>355</v>
      </c>
      <c r="H44" s="121" t="s">
        <v>361</v>
      </c>
      <c r="I44" s="107">
        <v>2018</v>
      </c>
      <c r="J44" s="98">
        <v>2020</v>
      </c>
      <c r="K44" s="106"/>
      <c r="L44" s="85">
        <v>150000</v>
      </c>
    </row>
    <row r="45" spans="1:12" ht="42.75" x14ac:dyDescent="0.2">
      <c r="A45" s="102">
        <f t="shared" si="1"/>
        <v>20</v>
      </c>
      <c r="B45" s="103" t="str">
        <f>'Presupuesto Detallado'!C66</f>
        <v>DISEÑO y SUPERVISIÓN: Reforma de plazas tradicionales y su entorno en sector norte de Ciudad Colonial: plaza de San Lázaro (1100 m2), plaza San Miguel (1620 m2) y Parque Colón (100 U$S/m2)</v>
      </c>
      <c r="C45" s="107" t="s">
        <v>353</v>
      </c>
      <c r="D45" s="107" t="s">
        <v>354</v>
      </c>
      <c r="E45" s="112">
        <f>'Presupuesto Detallado'!F66</f>
        <v>250000</v>
      </c>
      <c r="F45" s="107">
        <v>2</v>
      </c>
      <c r="G45" s="101" t="s">
        <v>355</v>
      </c>
      <c r="H45" s="121" t="s">
        <v>361</v>
      </c>
      <c r="I45" s="107">
        <v>2017</v>
      </c>
      <c r="J45" s="98">
        <v>2020</v>
      </c>
      <c r="K45" s="106"/>
      <c r="L45" s="85">
        <v>100000</v>
      </c>
    </row>
    <row r="46" spans="1:12" ht="28.5" x14ac:dyDescent="0.2">
      <c r="A46" s="102">
        <f t="shared" si="1"/>
        <v>21</v>
      </c>
      <c r="B46" s="103" t="str">
        <f>'Presupuesto Detallado'!C68</f>
        <v>DISEÑO Y SUPERVISIÓN DE OBRA: Reintegración de Fuertes y ronda de la Muralla. Estudio Arqueológico previo.</v>
      </c>
      <c r="C46" s="107" t="s">
        <v>353</v>
      </c>
      <c r="D46" s="107" t="s">
        <v>354</v>
      </c>
      <c r="E46" s="112">
        <f>'Presupuesto Detallado'!F68</f>
        <v>300000</v>
      </c>
      <c r="F46" s="107">
        <v>2</v>
      </c>
      <c r="G46" s="101" t="s">
        <v>355</v>
      </c>
      <c r="H46" s="121" t="s">
        <v>361</v>
      </c>
      <c r="I46" s="107">
        <v>2017</v>
      </c>
      <c r="J46" s="98">
        <v>2020</v>
      </c>
      <c r="K46" s="106"/>
      <c r="L46" s="85">
        <v>250000</v>
      </c>
    </row>
    <row r="47" spans="1:12" ht="42.75" x14ac:dyDescent="0.2">
      <c r="A47" s="102">
        <f t="shared" si="1"/>
        <v>22</v>
      </c>
      <c r="B47" s="103" t="str">
        <f>'Presupuesto Detallado'!C72</f>
        <v>Plan de desarrollo del mercado:  (i) la preparación del modelo de negocio y gestión; (ii) preparación e implantación de un plan para gestión comercial y financiera (iii) propuesta arquitectonica</v>
      </c>
      <c r="C47" s="107" t="s">
        <v>353</v>
      </c>
      <c r="D47" s="107" t="s">
        <v>354</v>
      </c>
      <c r="E47" s="112">
        <f>'Presupuesto Detallado'!F72</f>
        <v>350000</v>
      </c>
      <c r="F47" s="107">
        <v>3</v>
      </c>
      <c r="G47" s="101" t="s">
        <v>355</v>
      </c>
      <c r="H47" s="121" t="s">
        <v>361</v>
      </c>
      <c r="I47" s="107">
        <v>2018</v>
      </c>
      <c r="J47" s="98">
        <v>2018</v>
      </c>
      <c r="K47" s="106"/>
      <c r="L47" s="85">
        <v>350000</v>
      </c>
    </row>
    <row r="48" spans="1:12" ht="57" x14ac:dyDescent="0.2">
      <c r="A48" s="102">
        <f t="shared" si="1"/>
        <v>23</v>
      </c>
      <c r="B48" s="103" t="str">
        <f>'Presupuesto Detallado'!C74</f>
        <v>Asistencia técnica y apoyo a la adecuacion de negocios (i) capacitación a las MyPEs en gestión empresarial, comercialización y otros temas; (ii) promoción y desarrollo de acciones conjuntas de nuevos servicios; (iii) adecuacion y adaptacion de imagen fisica de los negocios</v>
      </c>
      <c r="C48" s="107" t="s">
        <v>353</v>
      </c>
      <c r="D48" s="107" t="s">
        <v>354</v>
      </c>
      <c r="E48" s="112">
        <f>'Presupuesto Detallado'!F74</f>
        <v>500000</v>
      </c>
      <c r="F48" s="107">
        <v>3</v>
      </c>
      <c r="G48" s="101" t="s">
        <v>355</v>
      </c>
      <c r="H48" s="121" t="s">
        <v>361</v>
      </c>
      <c r="I48" s="107">
        <v>2017</v>
      </c>
      <c r="J48" s="98">
        <v>2022</v>
      </c>
      <c r="K48" s="106"/>
      <c r="L48" s="85">
        <v>500000</v>
      </c>
    </row>
    <row r="49" spans="1:12" x14ac:dyDescent="0.2">
      <c r="A49" s="102">
        <f t="shared" si="1"/>
        <v>24</v>
      </c>
      <c r="B49" s="103" t="str">
        <f>'Presupuesto Detallado'!C76</f>
        <v>Plan de Contingencia de Apoyo a Negocios afectados por las obras (ESG)</v>
      </c>
      <c r="C49" s="107" t="s">
        <v>353</v>
      </c>
      <c r="D49" s="107" t="s">
        <v>354</v>
      </c>
      <c r="E49" s="112">
        <f>'Presupuesto Detallado'!F76</f>
        <v>200000</v>
      </c>
      <c r="F49" s="107">
        <v>3</v>
      </c>
      <c r="G49" s="101" t="s">
        <v>355</v>
      </c>
      <c r="H49" s="121" t="s">
        <v>361</v>
      </c>
      <c r="I49" s="107">
        <v>2017</v>
      </c>
      <c r="J49" s="98">
        <v>2022</v>
      </c>
      <c r="K49" s="106"/>
      <c r="L49" s="85">
        <v>200000</v>
      </c>
    </row>
    <row r="50" spans="1:12" ht="57" x14ac:dyDescent="0.2">
      <c r="A50" s="102">
        <f t="shared" si="1"/>
        <v>25</v>
      </c>
      <c r="B50" s="103" t="str">
        <f>'Presupuesto Detallado'!C79</f>
        <v>El diseño e implementación de una estrategia para promover proyectos de asociación público privado en la CCSD en el marco de este proyecto tales como: sistema de estacionamientos, vivienda para familias de ingresos medios, centros de eventos, animación urbana, y otros;</v>
      </c>
      <c r="C50" s="107" t="s">
        <v>353</v>
      </c>
      <c r="D50" s="107" t="s">
        <v>354</v>
      </c>
      <c r="E50" s="112">
        <f>'Presupuesto Detallado'!F79</f>
        <v>1600000</v>
      </c>
      <c r="F50" s="107">
        <v>3</v>
      </c>
      <c r="G50" s="101" t="s">
        <v>355</v>
      </c>
      <c r="H50" s="121" t="s">
        <v>361</v>
      </c>
      <c r="I50" s="107">
        <v>2018</v>
      </c>
      <c r="J50" s="98">
        <v>2018</v>
      </c>
      <c r="K50" s="106"/>
      <c r="L50" s="85">
        <v>1600000</v>
      </c>
    </row>
    <row r="51" spans="1:12" ht="28.5" x14ac:dyDescent="0.2">
      <c r="A51" s="102">
        <f t="shared" si="1"/>
        <v>26</v>
      </c>
      <c r="B51" s="103" t="str">
        <f>'Presupuesto Detallado'!C81</f>
        <v>Plan de Formación en servicios turísticos y conexos. Mecanismo sostenibilidad del centro y cursos.</v>
      </c>
      <c r="C51" s="107" t="s">
        <v>353</v>
      </c>
      <c r="D51" s="107" t="s">
        <v>354</v>
      </c>
      <c r="E51" s="112">
        <f>'Presupuesto Detallado'!F81</f>
        <v>200000</v>
      </c>
      <c r="F51" s="107">
        <v>3</v>
      </c>
      <c r="G51" s="101" t="s">
        <v>355</v>
      </c>
      <c r="H51" s="121" t="s">
        <v>361</v>
      </c>
      <c r="I51" s="107">
        <v>2019</v>
      </c>
      <c r="J51" s="98">
        <v>2019</v>
      </c>
      <c r="K51" s="106"/>
      <c r="L51" s="85">
        <v>200000</v>
      </c>
    </row>
    <row r="52" spans="1:12" ht="71.25" x14ac:dyDescent="0.2">
      <c r="A52" s="102">
        <f t="shared" si="1"/>
        <v>27</v>
      </c>
      <c r="B52" s="103" t="str">
        <f>'Presupuesto Detallado'!C82</f>
        <v>Programa apoyo escuelas técnicas. 1 - formación de docentes; bajo estándares de calidad NEO;  2 - plan de mejora de las siguientes escuelas técnicas: Escuela Taller del Ministerio de Trabajo, Politécnico que responde al Ministerio de Educación, y Escuelas de Bellas Artes del Ministerio de Cultura. Alianza interinstitucional y público-privada.</v>
      </c>
      <c r="C52" s="107" t="s">
        <v>353</v>
      </c>
      <c r="D52" s="107" t="s">
        <v>354</v>
      </c>
      <c r="E52" s="112">
        <f>'Presupuesto Detallado'!F82</f>
        <v>350000</v>
      </c>
      <c r="F52" s="107">
        <v>3</v>
      </c>
      <c r="G52" s="101" t="s">
        <v>355</v>
      </c>
      <c r="H52" s="121" t="s">
        <v>361</v>
      </c>
      <c r="I52" s="107">
        <v>2018</v>
      </c>
      <c r="J52" s="98">
        <v>2022</v>
      </c>
      <c r="K52" s="106"/>
      <c r="L52" s="85">
        <v>350000</v>
      </c>
    </row>
    <row r="53" spans="1:12" ht="42.75" x14ac:dyDescent="0.2">
      <c r="A53" s="102">
        <f t="shared" si="1"/>
        <v>28</v>
      </c>
      <c r="B53" s="103" t="str">
        <f>'Presupuesto Detallado'!C85</f>
        <v xml:space="preserve">Contratación equipo gestor del Plan para el seguimiento  permanente durante el periodo de ejecución del programa y que se genere un sistema para la operación y monitoreo de las actividades. </v>
      </c>
      <c r="C53" s="107" t="s">
        <v>353</v>
      </c>
      <c r="D53" s="107" t="s">
        <v>354</v>
      </c>
      <c r="E53" s="112">
        <f>'Presupuesto Detallado'!F85</f>
        <v>150000</v>
      </c>
      <c r="F53" s="107">
        <v>3</v>
      </c>
      <c r="G53" s="101" t="s">
        <v>355</v>
      </c>
      <c r="H53" s="121" t="s">
        <v>361</v>
      </c>
      <c r="I53" s="107">
        <v>2017</v>
      </c>
      <c r="J53" s="98">
        <v>2022</v>
      </c>
      <c r="K53" s="106"/>
      <c r="L53" s="85">
        <v>150000</v>
      </c>
    </row>
    <row r="54" spans="1:12" ht="43.5" customHeight="1" x14ac:dyDescent="0.2">
      <c r="A54" s="102">
        <f t="shared" si="1"/>
        <v>29</v>
      </c>
      <c r="B54" s="103" t="str">
        <f>'Presupuesto Detallado'!C90</f>
        <v>Asistencia para la implementación de un mecanismo de gobernanza de la ciudad, el cual será diseñado por los actores locales y acompañamiento de la UNESCO</v>
      </c>
      <c r="C54" s="107" t="s">
        <v>353</v>
      </c>
      <c r="D54" s="107" t="s">
        <v>354</v>
      </c>
      <c r="E54" s="112">
        <f>'Presupuesto Detallado'!F90</f>
        <v>250000</v>
      </c>
      <c r="F54" s="107">
        <v>4</v>
      </c>
      <c r="G54" s="101" t="s">
        <v>355</v>
      </c>
      <c r="H54" s="121" t="s">
        <v>361</v>
      </c>
      <c r="I54" s="107">
        <v>2018</v>
      </c>
      <c r="J54" s="98">
        <v>2022</v>
      </c>
      <c r="K54" s="106"/>
      <c r="L54" s="85">
        <v>250000</v>
      </c>
    </row>
    <row r="55" spans="1:12" ht="45" customHeight="1" x14ac:dyDescent="0.2">
      <c r="A55" s="102">
        <f t="shared" si="1"/>
        <v>30</v>
      </c>
      <c r="B55" s="103" t="str">
        <f>'Presupuesto Detallado'!C91</f>
        <v>Identificación de mecanismos o medidas de política que permitan generar recursos adicionales para financiar los costos de administración y mantenimiento de las inversiones realizadas</v>
      </c>
      <c r="C55" s="107" t="s">
        <v>353</v>
      </c>
      <c r="D55" s="107" t="s">
        <v>354</v>
      </c>
      <c r="E55" s="112">
        <f>'Presupuesto Detallado'!F91</f>
        <v>100000</v>
      </c>
      <c r="F55" s="107">
        <v>4</v>
      </c>
      <c r="G55" s="101" t="s">
        <v>355</v>
      </c>
      <c r="H55" s="121" t="s">
        <v>361</v>
      </c>
      <c r="I55" s="107">
        <v>2017</v>
      </c>
      <c r="J55" s="98">
        <v>2017</v>
      </c>
      <c r="K55" s="106"/>
      <c r="L55" s="85">
        <v>100000</v>
      </c>
    </row>
    <row r="56" spans="1:12" ht="28.5" x14ac:dyDescent="0.2">
      <c r="A56" s="102">
        <f t="shared" si="1"/>
        <v>31</v>
      </c>
      <c r="B56" s="103" t="str">
        <f>'Presupuesto Detallado'!C92</f>
        <v>Generación de normas y mecanismos de gestión interinstitucionales  y alianza público-privadas.</v>
      </c>
      <c r="C56" s="107" t="s">
        <v>353</v>
      </c>
      <c r="D56" s="107" t="s">
        <v>354</v>
      </c>
      <c r="E56" s="112">
        <f>'Presupuesto Detallado'!F92</f>
        <v>200000</v>
      </c>
      <c r="F56" s="107">
        <v>4</v>
      </c>
      <c r="G56" s="101" t="s">
        <v>355</v>
      </c>
      <c r="H56" s="121" t="s">
        <v>361</v>
      </c>
      <c r="I56" s="107">
        <v>2017</v>
      </c>
      <c r="J56" s="98">
        <v>2022</v>
      </c>
      <c r="K56" s="106"/>
      <c r="L56" s="85">
        <v>200000</v>
      </c>
    </row>
    <row r="57" spans="1:12" x14ac:dyDescent="0.2">
      <c r="A57" s="102">
        <f t="shared" si="1"/>
        <v>32</v>
      </c>
      <c r="B57" s="103" t="str">
        <f>'Presupuesto Detallado'!C93</f>
        <v>Plan de gestión de riesgos de la CCSD</v>
      </c>
      <c r="C57" s="107" t="s">
        <v>353</v>
      </c>
      <c r="D57" s="107" t="s">
        <v>354</v>
      </c>
      <c r="E57" s="112">
        <f>'Presupuesto Detallado'!F93</f>
        <v>150000</v>
      </c>
      <c r="F57" s="107">
        <v>5</v>
      </c>
      <c r="G57" s="101" t="s">
        <v>355</v>
      </c>
      <c r="H57" s="121" t="s">
        <v>361</v>
      </c>
      <c r="I57" s="107">
        <v>2018</v>
      </c>
      <c r="J57" s="98">
        <v>2022</v>
      </c>
      <c r="K57" s="106"/>
      <c r="L57" s="85">
        <v>150000</v>
      </c>
    </row>
    <row r="58" spans="1:12" ht="76.5" customHeight="1" x14ac:dyDescent="0.2">
      <c r="A58" s="102">
        <f t="shared" si="1"/>
        <v>33</v>
      </c>
      <c r="B58" s="103" t="str">
        <f>'Presupuesto Detallado'!C95</f>
        <v>Asistencia para el diseño e implementación de un Portal que integre los diversos sistemas de gestión de servicios de las instituciones presentes en la CCSD (plataforma para la gestión trámites on-line: entrega de permisos para eventos, uso de suelo, uso del espacio público, servicios turísticos, licencias de construcción, usos especiales, etc.), incluyendo equipamiento, software y capacitaciones.s.</v>
      </c>
      <c r="C58" s="107" t="s">
        <v>353</v>
      </c>
      <c r="D58" s="107" t="s">
        <v>354</v>
      </c>
      <c r="E58" s="112">
        <f>'Presupuesto Detallado'!F95</f>
        <v>500000</v>
      </c>
      <c r="F58" s="107">
        <v>4</v>
      </c>
      <c r="G58" s="101" t="s">
        <v>355</v>
      </c>
      <c r="H58" s="121" t="s">
        <v>361</v>
      </c>
      <c r="I58" s="107">
        <v>2018</v>
      </c>
      <c r="J58" s="98">
        <v>2022</v>
      </c>
      <c r="K58" s="106"/>
      <c r="L58" s="85">
        <v>500000</v>
      </c>
    </row>
    <row r="59" spans="1:12" ht="75.75" customHeight="1" x14ac:dyDescent="0.2">
      <c r="A59" s="102">
        <f t="shared" si="1"/>
        <v>34</v>
      </c>
      <c r="B59" s="103" t="str">
        <f>'Presupuesto Detallado'!C97</f>
        <v>Implementación de acciones de marketing turístico de Ciudad Colonial a mercados prioritarios, en base al Plan de Marketing en elaboración con financiamiento de 2587/OC-DR, y tratando de dar prioridad al uso de nuevas tecnologías adaptadas a las nuevas formas de consumo turístico (ej. viajes de prensa, campañas de promoción, redes sociales, aplicaciones inteligentes, etc.).</v>
      </c>
      <c r="C59" s="107" t="s">
        <v>353</v>
      </c>
      <c r="D59" s="107" t="s">
        <v>354</v>
      </c>
      <c r="E59" s="112">
        <f>'Presupuesto Detallado'!F97</f>
        <v>700000</v>
      </c>
      <c r="F59" s="107">
        <v>4</v>
      </c>
      <c r="G59" s="101" t="s">
        <v>355</v>
      </c>
      <c r="H59" s="121" t="s">
        <v>361</v>
      </c>
      <c r="I59" s="107">
        <v>2017</v>
      </c>
      <c r="J59" s="98">
        <v>2022</v>
      </c>
      <c r="K59" s="106"/>
      <c r="L59" s="85">
        <v>700000</v>
      </c>
    </row>
    <row r="60" spans="1:12" ht="121.5" customHeight="1" x14ac:dyDescent="0.2">
      <c r="A60" s="102">
        <f t="shared" si="1"/>
        <v>35</v>
      </c>
      <c r="B60" s="103" t="str">
        <f>'Presupuesto Detallado'!C99</f>
        <v>Observatorio Turístico de la Ciudad Colonial: combina la operación del  Sistema de Capacidad de Carga de CC y el piloto del Sistema de Información Turística Territorial (SITT), Sistema de información geográfica y Sistema de Calidad Turística, inversiones en el territorio, movilidad y animación urbana, y rutas turísticas. Funciones: Levantamiento de datos y generación de información estadística de Ciudad Colonial. Encuestas. Publicación de datos de inteligencia turística y actividades de socialización. Medición de las visitas turísticas y monitoreo a los umbrales de carga establecidos para los principales monumentos y espacios públicos de la Ciudad Colonial.</v>
      </c>
      <c r="C60" s="107" t="s">
        <v>353</v>
      </c>
      <c r="D60" s="107" t="s">
        <v>354</v>
      </c>
      <c r="E60" s="112">
        <f>'Presupuesto Detallado'!F99</f>
        <v>400000</v>
      </c>
      <c r="F60" s="107">
        <v>4</v>
      </c>
      <c r="G60" s="101" t="s">
        <v>355</v>
      </c>
      <c r="H60" s="121" t="s">
        <v>361</v>
      </c>
      <c r="I60" s="107">
        <v>2017</v>
      </c>
      <c r="J60" s="98">
        <v>2022</v>
      </c>
      <c r="K60" s="106"/>
      <c r="L60" s="85">
        <v>400000</v>
      </c>
    </row>
    <row r="61" spans="1:12" ht="44.25" customHeight="1" x14ac:dyDescent="0.2">
      <c r="A61" s="102">
        <f t="shared" si="1"/>
        <v>36</v>
      </c>
      <c r="B61" s="103" t="str">
        <f>'Presupuesto Detallado'!C100</f>
        <v>Diseño e implementación del Plan de programación de destino Ciudad Colonial-Santo Domingo y la incorporación de los atractivos del gran SD.</v>
      </c>
      <c r="C61" s="107" t="s">
        <v>353</v>
      </c>
      <c r="D61" s="107" t="s">
        <v>354</v>
      </c>
      <c r="E61" s="112">
        <f>'Presupuesto Detallado'!F100</f>
        <v>100000</v>
      </c>
      <c r="F61" s="107">
        <v>5</v>
      </c>
      <c r="G61" s="101" t="s">
        <v>355</v>
      </c>
      <c r="H61" s="121" t="s">
        <v>361</v>
      </c>
      <c r="I61" s="107">
        <v>2017</v>
      </c>
      <c r="J61" s="98">
        <v>2022</v>
      </c>
      <c r="K61" s="106"/>
      <c r="L61" s="85">
        <v>100000</v>
      </c>
    </row>
    <row r="62" spans="1:12" ht="57" x14ac:dyDescent="0.2">
      <c r="A62" s="102">
        <f t="shared" si="1"/>
        <v>37</v>
      </c>
      <c r="B62" s="103" t="str">
        <f>'Presupuesto Detallado'!C103</f>
        <v>Diseño de un sistema nacional de clasificación de hoteles, restaurantes y establecimientos turísticos: sensibilización a sector privado sobre la importancia del sistema, diseño de normas aplicables a nivel nacional en consenso con el sector privado y formación de inspectores del MITUR .</v>
      </c>
      <c r="C62" s="107" t="s">
        <v>353</v>
      </c>
      <c r="D62" s="107" t="s">
        <v>354</v>
      </c>
      <c r="E62" s="112">
        <f>'Presupuesto Detallado'!F103</f>
        <v>200000</v>
      </c>
      <c r="F62" s="107">
        <v>4</v>
      </c>
      <c r="G62" s="101" t="s">
        <v>355</v>
      </c>
      <c r="H62" s="121" t="s">
        <v>361</v>
      </c>
      <c r="I62" s="107">
        <v>2018</v>
      </c>
      <c r="J62" s="98">
        <v>2022</v>
      </c>
      <c r="K62" s="106"/>
      <c r="L62" s="85">
        <v>200000</v>
      </c>
    </row>
    <row r="63" spans="1:12" ht="42.75" x14ac:dyDescent="0.2">
      <c r="A63" s="102">
        <f t="shared" si="1"/>
        <v>38</v>
      </c>
      <c r="B63" s="103" t="str">
        <f>'Presupuesto Detallado'!C104</f>
        <v>Implementación del sistema de clasificación en Ciudad Colonial y Santo Domingo como primer piloto: sensibilización, formación y acompañamiento técnico de empresas turísticas para aplicación y cumplimiento de las normas.</v>
      </c>
      <c r="C63" s="107" t="s">
        <v>353</v>
      </c>
      <c r="D63" s="107" t="s">
        <v>354</v>
      </c>
      <c r="E63" s="112">
        <f>'Presupuesto Detallado'!F104</f>
        <v>150000</v>
      </c>
      <c r="F63" s="107">
        <v>4</v>
      </c>
      <c r="G63" s="101" t="s">
        <v>355</v>
      </c>
      <c r="H63" s="121" t="s">
        <v>361</v>
      </c>
      <c r="I63" s="107">
        <v>2017</v>
      </c>
      <c r="J63" s="98">
        <v>2022</v>
      </c>
      <c r="K63" s="106"/>
      <c r="L63" s="85">
        <v>150000</v>
      </c>
    </row>
    <row r="64" spans="1:12" ht="57" x14ac:dyDescent="0.2">
      <c r="A64" s="102">
        <f t="shared" si="1"/>
        <v>39</v>
      </c>
      <c r="B64" s="103" t="str">
        <f>'Presupuesto Detallado'!C105</f>
        <v>Ampliación del piloto del Sistema de Calidad Turística a nuevos establecimientos en la Ciudad Colonial y Santo Domingo: concientización de empresas, asistencia técnica y capacitación a empresas que voluntariamente opten por aplicar a sellos de certificación existentes y reconocidos internacionalmente.</v>
      </c>
      <c r="C64" s="107" t="s">
        <v>353</v>
      </c>
      <c r="D64" s="107" t="s">
        <v>354</v>
      </c>
      <c r="E64" s="112">
        <f>'Presupuesto Detallado'!F105</f>
        <v>200000</v>
      </c>
      <c r="F64" s="107">
        <v>4</v>
      </c>
      <c r="G64" s="101" t="s">
        <v>355</v>
      </c>
      <c r="H64" s="121" t="s">
        <v>361</v>
      </c>
      <c r="I64" s="107">
        <v>2017</v>
      </c>
      <c r="J64" s="98">
        <v>2022</v>
      </c>
      <c r="K64" s="106"/>
      <c r="L64" s="85">
        <v>200000</v>
      </c>
    </row>
    <row r="65" spans="1:12" ht="42.75" x14ac:dyDescent="0.2">
      <c r="A65" s="102">
        <f t="shared" si="1"/>
        <v>40</v>
      </c>
      <c r="B65" s="103" t="str">
        <f>'Presupuesto Detallado'!C112</f>
        <v>Preparación de la Estrategia Nacional de Turismo de la Republica Dominicana, de forma consensuada con los principales actores públicos y privados vinculados al sector, incluyendo la estrategia de turismo para Santo Domingo.</v>
      </c>
      <c r="C65" s="107" t="s">
        <v>353</v>
      </c>
      <c r="D65" s="107" t="s">
        <v>354</v>
      </c>
      <c r="E65" s="112">
        <f>'Presupuesto Detallado'!F112</f>
        <v>300000</v>
      </c>
      <c r="F65" s="107">
        <v>4</v>
      </c>
      <c r="G65" s="101" t="s">
        <v>355</v>
      </c>
      <c r="H65" s="121" t="s">
        <v>361</v>
      </c>
      <c r="I65" s="107">
        <v>2017</v>
      </c>
      <c r="J65" s="98">
        <v>2022</v>
      </c>
      <c r="K65" s="106"/>
      <c r="L65" s="85">
        <v>200000</v>
      </c>
    </row>
    <row r="66" spans="1:12" x14ac:dyDescent="0.2">
      <c r="A66" s="102">
        <f t="shared" si="1"/>
        <v>41</v>
      </c>
      <c r="B66" s="103" t="str">
        <f>'Presupuesto Detallado'!C113</f>
        <v>Fortalecimiento a la oficina de Planificación Institucional de MITUR</v>
      </c>
      <c r="C66" s="107" t="s">
        <v>353</v>
      </c>
      <c r="D66" s="107" t="s">
        <v>354</v>
      </c>
      <c r="E66" s="112">
        <f>'Presupuesto Detallado'!F113</f>
        <v>200000</v>
      </c>
      <c r="F66" s="107"/>
      <c r="G66" s="101"/>
      <c r="H66" s="121"/>
      <c r="I66" s="107"/>
      <c r="J66" s="98">
        <v>2022</v>
      </c>
      <c r="K66" s="106"/>
      <c r="L66" s="85">
        <v>200000</v>
      </c>
    </row>
    <row r="67" spans="1:12" ht="42.75" x14ac:dyDescent="0.2">
      <c r="A67" s="102">
        <f t="shared" si="1"/>
        <v>42</v>
      </c>
      <c r="B67" s="103" t="str">
        <f>'Presupuesto Detallado'!C114</f>
        <v>Diseño e implantación de un sistema de tramitación en línea de los servicios turísticos CCSD y SD, para su incorporación al sistema integrado de gestión de los servicios de la CCSD.</v>
      </c>
      <c r="C67" s="107" t="s">
        <v>353</v>
      </c>
      <c r="D67" s="107" t="s">
        <v>354</v>
      </c>
      <c r="E67" s="112">
        <f>'Presupuesto Detallado'!F114</f>
        <v>200000</v>
      </c>
      <c r="F67" s="107">
        <v>4</v>
      </c>
      <c r="G67" s="101" t="s">
        <v>355</v>
      </c>
      <c r="H67" s="121" t="s">
        <v>361</v>
      </c>
      <c r="I67" s="107">
        <v>2017</v>
      </c>
      <c r="J67" s="98">
        <v>2022</v>
      </c>
      <c r="K67" s="106"/>
      <c r="L67" s="85">
        <v>200000</v>
      </c>
    </row>
    <row r="68" spans="1:12" ht="42.75" x14ac:dyDescent="0.2">
      <c r="A68" s="102">
        <f t="shared" si="1"/>
        <v>43</v>
      </c>
      <c r="B68" s="103" t="str">
        <f>'Presupuesto Detallado'!C115</f>
        <v xml:space="preserve">Adecuación del modelo de servicios de guías y taxistas turístico, incluyendo revisión del marco legal, sistema informático de gestión y acompañamiento, capacitación y certificación </v>
      </c>
      <c r="C68" s="107" t="s">
        <v>353</v>
      </c>
      <c r="D68" s="107" t="s">
        <v>354</v>
      </c>
      <c r="E68" s="112">
        <f>'Presupuesto Detallado'!F115</f>
        <v>200000</v>
      </c>
      <c r="F68" s="107">
        <v>4</v>
      </c>
      <c r="G68" s="101" t="s">
        <v>355</v>
      </c>
      <c r="H68" s="121" t="s">
        <v>361</v>
      </c>
      <c r="I68" s="107">
        <v>2017</v>
      </c>
      <c r="J68" s="98">
        <v>2022</v>
      </c>
      <c r="K68" s="106"/>
      <c r="L68" s="85">
        <v>500000</v>
      </c>
    </row>
    <row r="69" spans="1:12" ht="42.75" x14ac:dyDescent="0.2">
      <c r="A69" s="102">
        <f t="shared" si="1"/>
        <v>44</v>
      </c>
      <c r="B69" s="103" t="str">
        <f>'Presupuesto Detallado'!C119</f>
        <v>3. Ventanilla única: Implementación de mejoras a los procesos operativos y de gestión de usos de suelo, supervisión y control del territorio. (Análisis de los procesos y desarrollo de la aplicación informatica)</v>
      </c>
      <c r="C69" s="107" t="s">
        <v>353</v>
      </c>
      <c r="D69" s="107" t="s">
        <v>354</v>
      </c>
      <c r="E69" s="112">
        <f>'Presupuesto Detallado'!F119</f>
        <v>500000</v>
      </c>
      <c r="F69" s="107">
        <v>4</v>
      </c>
      <c r="G69" s="101" t="s">
        <v>355</v>
      </c>
      <c r="H69" s="121" t="s">
        <v>361</v>
      </c>
      <c r="I69" s="107">
        <v>2017</v>
      </c>
      <c r="J69" s="98">
        <v>2022</v>
      </c>
      <c r="K69" s="106"/>
      <c r="L69" s="85">
        <v>150000</v>
      </c>
    </row>
    <row r="70" spans="1:12" ht="57" x14ac:dyDescent="0.2">
      <c r="A70" s="102">
        <f t="shared" si="1"/>
        <v>45</v>
      </c>
      <c r="B70" s="103" t="str">
        <f>'Presupuesto Detallado'!C120</f>
        <v>4. Actualización del sistema y ampliación de la capacidad Sistema Información Geográfica (SIG): Implementación de mejoras a los procesos operativos y de gestión de usos de suelo, supervisión y control del territorio. (Análisis de los procesos y desarrollo del sistema informático)</v>
      </c>
      <c r="C70" s="107" t="s">
        <v>353</v>
      </c>
      <c r="D70" s="107" t="s">
        <v>354</v>
      </c>
      <c r="E70" s="112">
        <f>'Presupuesto Detallado'!F120</f>
        <v>150000</v>
      </c>
      <c r="F70" s="107">
        <v>4</v>
      </c>
      <c r="G70" s="101" t="s">
        <v>355</v>
      </c>
      <c r="H70" s="121" t="s">
        <v>361</v>
      </c>
      <c r="I70" s="107">
        <v>2017</v>
      </c>
      <c r="J70" s="98">
        <v>2022</v>
      </c>
      <c r="K70" s="106"/>
      <c r="L70" s="85">
        <v>200000</v>
      </c>
    </row>
    <row r="71" spans="1:12" ht="28.5" x14ac:dyDescent="0.2">
      <c r="A71" s="102">
        <f t="shared" si="1"/>
        <v>46</v>
      </c>
      <c r="B71" s="103" t="str">
        <f>'Presupuesto Detallado'!C121</f>
        <v>5. Estrategia de Gestión de la Movilidad de la CCSD. Consiste en asistencia para desarrollar e implementar un plan de gestión de la movilidad de la CCSD.</v>
      </c>
      <c r="C71" s="107" t="s">
        <v>353</v>
      </c>
      <c r="D71" s="107" t="s">
        <v>354</v>
      </c>
      <c r="E71" s="112">
        <f>'Presupuesto Detallado'!F121</f>
        <v>200000</v>
      </c>
      <c r="F71" s="107">
        <v>4</v>
      </c>
      <c r="G71" s="101" t="s">
        <v>355</v>
      </c>
      <c r="H71" s="121" t="s">
        <v>361</v>
      </c>
      <c r="I71" s="107">
        <v>2017</v>
      </c>
      <c r="J71" s="98">
        <v>2022</v>
      </c>
      <c r="K71" s="106"/>
      <c r="L71" s="85">
        <v>200000</v>
      </c>
    </row>
    <row r="72" spans="1:12" x14ac:dyDescent="0.2">
      <c r="A72" s="102">
        <f t="shared" si="1"/>
        <v>47</v>
      </c>
      <c r="B72" s="103" t="str">
        <f>'Presupuesto Detallado'!C122</f>
        <v>6. Fortalecimiento institucional para Gestión Mercado Modelo (reglamentos, tarifas)</v>
      </c>
      <c r="C72" s="107" t="s">
        <v>353</v>
      </c>
      <c r="D72" s="107" t="s">
        <v>354</v>
      </c>
      <c r="E72" s="112">
        <f>'Presupuesto Detallado'!F122</f>
        <v>200000</v>
      </c>
      <c r="F72" s="107">
        <v>4</v>
      </c>
      <c r="G72" s="101" t="s">
        <v>355</v>
      </c>
      <c r="H72" s="121" t="s">
        <v>361</v>
      </c>
      <c r="I72" s="107">
        <v>2017</v>
      </c>
      <c r="J72" s="98">
        <v>2022</v>
      </c>
      <c r="K72" s="106"/>
      <c r="L72" s="85">
        <v>265000</v>
      </c>
    </row>
    <row r="73" spans="1:12" ht="28.5" x14ac:dyDescent="0.2">
      <c r="A73" s="102">
        <f t="shared" si="1"/>
        <v>48</v>
      </c>
      <c r="B73" s="103" t="str">
        <f>'Presupuesto Detallado'!C125</f>
        <v>1. Implementacion de mejoras a los procesos de gestion de la DNPM en la ventanilla unica</v>
      </c>
      <c r="C73" s="107" t="s">
        <v>353</v>
      </c>
      <c r="D73" s="107" t="s">
        <v>354</v>
      </c>
      <c r="E73" s="112">
        <f>'Presupuesto Detallado'!F125</f>
        <v>265000</v>
      </c>
      <c r="F73" s="107">
        <v>4</v>
      </c>
      <c r="G73" s="101" t="s">
        <v>355</v>
      </c>
      <c r="H73" s="121" t="s">
        <v>361</v>
      </c>
      <c r="I73" s="107">
        <v>2017</v>
      </c>
      <c r="J73" s="98">
        <v>2022</v>
      </c>
      <c r="K73" s="106"/>
      <c r="L73" s="85">
        <v>350000</v>
      </c>
    </row>
    <row r="74" spans="1:12" x14ac:dyDescent="0.2">
      <c r="A74" s="102">
        <f t="shared" si="1"/>
        <v>49</v>
      </c>
      <c r="B74" s="103" t="str">
        <f>'Presupuesto Detallado'!C126</f>
        <v xml:space="preserve">2. Sistema de Gestion del Inventario para el Patrimonio Inmueble </v>
      </c>
      <c r="C74" s="107" t="s">
        <v>353</v>
      </c>
      <c r="D74" s="107" t="s">
        <v>354</v>
      </c>
      <c r="E74" s="112">
        <f>'Presupuesto Detallado'!F126</f>
        <v>350000</v>
      </c>
      <c r="F74" s="107">
        <v>4</v>
      </c>
      <c r="G74" s="101" t="s">
        <v>355</v>
      </c>
      <c r="H74" s="121" t="s">
        <v>361</v>
      </c>
      <c r="I74" s="107">
        <v>2017</v>
      </c>
      <c r="J74" s="98">
        <v>2022</v>
      </c>
      <c r="K74" s="106"/>
      <c r="L74" s="85">
        <v>110000</v>
      </c>
    </row>
    <row r="75" spans="1:12" x14ac:dyDescent="0.2">
      <c r="A75" s="102">
        <f t="shared" si="1"/>
        <v>50</v>
      </c>
      <c r="B75" s="103" t="str">
        <f>'Presupuesto Detallado'!C128</f>
        <v>4. implantación de un programa de educación y difusión del patrimonio cultural</v>
      </c>
      <c r="C75" s="107" t="s">
        <v>353</v>
      </c>
      <c r="D75" s="107" t="s">
        <v>354</v>
      </c>
      <c r="E75" s="112">
        <f>'Presupuesto Detallado'!F128</f>
        <v>110000</v>
      </c>
      <c r="F75" s="107">
        <v>4</v>
      </c>
      <c r="G75" s="101" t="s">
        <v>355</v>
      </c>
      <c r="H75" s="121" t="s">
        <v>361</v>
      </c>
      <c r="I75" s="107">
        <v>2017</v>
      </c>
      <c r="J75" s="98">
        <v>2022</v>
      </c>
      <c r="K75" s="106"/>
      <c r="L75" s="85">
        <v>200000</v>
      </c>
    </row>
    <row r="76" spans="1:12" ht="28.5" x14ac:dyDescent="0.2">
      <c r="A76" s="102">
        <f t="shared" si="1"/>
        <v>51</v>
      </c>
      <c r="B76" s="103" t="str">
        <f>'Presupuesto Detallado'!C130</f>
        <v>5. Diseño e implantación de un sistema de gestión sostenible de museos en la CCSD.</v>
      </c>
      <c r="C76" s="107" t="s">
        <v>353</v>
      </c>
      <c r="D76" s="107" t="s">
        <v>354</v>
      </c>
      <c r="E76" s="112">
        <f>'Presupuesto Detallado'!F130</f>
        <v>200000</v>
      </c>
      <c r="F76" s="107">
        <v>4</v>
      </c>
      <c r="G76" s="101" t="s">
        <v>355</v>
      </c>
      <c r="H76" s="121" t="s">
        <v>361</v>
      </c>
      <c r="I76" s="107">
        <v>2017</v>
      </c>
      <c r="J76" s="98">
        <v>2022</v>
      </c>
      <c r="K76" s="106"/>
      <c r="L76" s="85">
        <v>200000</v>
      </c>
    </row>
    <row r="77" spans="1:12" ht="28.5" x14ac:dyDescent="0.2">
      <c r="A77" s="102">
        <f t="shared" si="1"/>
        <v>52</v>
      </c>
      <c r="B77" s="103" t="str">
        <f>'Presupuesto Detallado'!C132</f>
        <v>6. sistema de gestión del patrimonio subacuático en CCSD, incluyendo capacitación para catalogación, conservación, e interpretación.</v>
      </c>
      <c r="C77" s="107" t="s">
        <v>353</v>
      </c>
      <c r="D77" s="107" t="s">
        <v>354</v>
      </c>
      <c r="E77" s="112">
        <f>'Presupuesto Detallado'!F132</f>
        <v>200000</v>
      </c>
      <c r="F77" s="107">
        <v>4</v>
      </c>
      <c r="G77" s="101" t="s">
        <v>355</v>
      </c>
      <c r="H77" s="121" t="s">
        <v>361</v>
      </c>
      <c r="I77" s="107">
        <v>2017</v>
      </c>
      <c r="J77" s="98">
        <v>2022</v>
      </c>
      <c r="K77" s="106"/>
      <c r="L77" s="85">
        <v>200000</v>
      </c>
    </row>
    <row r="78" spans="1:12" ht="28.5" x14ac:dyDescent="0.2">
      <c r="A78" s="102">
        <f t="shared" si="1"/>
        <v>53</v>
      </c>
      <c r="B78" s="103" t="str">
        <f>'Presupuesto Detallado'!C134</f>
        <v>7. desarrollar e implementar un Programa de participación y animación cultural en la CCSD</v>
      </c>
      <c r="C78" s="107" t="s">
        <v>353</v>
      </c>
      <c r="D78" s="107" t="s">
        <v>354</v>
      </c>
      <c r="E78" s="112">
        <f>'Presupuesto Detallado'!F134</f>
        <v>200000</v>
      </c>
      <c r="F78" s="107">
        <v>4</v>
      </c>
      <c r="G78" s="101" t="s">
        <v>355</v>
      </c>
      <c r="H78" s="121" t="s">
        <v>361</v>
      </c>
      <c r="I78" s="107">
        <v>2017</v>
      </c>
      <c r="J78" s="98">
        <v>2022</v>
      </c>
      <c r="K78" s="106"/>
      <c r="L78" s="85">
        <v>250000</v>
      </c>
    </row>
    <row r="79" spans="1:12" ht="28.5" x14ac:dyDescent="0.2">
      <c r="A79" s="102">
        <f t="shared" si="1"/>
        <v>54</v>
      </c>
      <c r="B79" s="103" t="str">
        <f>'Presupuesto Detallado'!C136</f>
        <v>Diseño del Plan Maestro y Estrategia de Comunicación y Sensibilización del Programa (incluye: estrategia general y acciones puntuales para cada proyecto).</v>
      </c>
      <c r="C79" s="107" t="s">
        <v>353</v>
      </c>
      <c r="D79" s="107" t="s">
        <v>354</v>
      </c>
      <c r="E79" s="112">
        <f>'Presupuesto Detallado'!F136</f>
        <v>250000</v>
      </c>
      <c r="F79" s="107">
        <v>4</v>
      </c>
      <c r="G79" s="101" t="s">
        <v>355</v>
      </c>
      <c r="H79" s="121" t="s">
        <v>361</v>
      </c>
      <c r="I79" s="107">
        <v>2017</v>
      </c>
      <c r="J79" s="98">
        <v>2022</v>
      </c>
      <c r="K79" s="106"/>
      <c r="L79" s="85">
        <v>1100000</v>
      </c>
    </row>
    <row r="80" spans="1:12" ht="28.5" x14ac:dyDescent="0.2">
      <c r="A80" s="102">
        <f t="shared" si="1"/>
        <v>55</v>
      </c>
      <c r="B80" s="103" t="str">
        <f>'Presupuesto Detallado'!C137</f>
        <v>Plan de Comunicación más el diseño y producción de 5 campañas de sensibilización durante 5 años. Colocación en Medios como aporte local.</v>
      </c>
      <c r="C80" s="107" t="s">
        <v>353</v>
      </c>
      <c r="D80" s="107" t="s">
        <v>354</v>
      </c>
      <c r="E80" s="112">
        <f>'Presupuesto Detallado'!F137</f>
        <v>1100000</v>
      </c>
      <c r="F80" s="107">
        <v>4</v>
      </c>
      <c r="G80" s="101" t="s">
        <v>355</v>
      </c>
      <c r="H80" s="121" t="s">
        <v>361</v>
      </c>
      <c r="I80" s="107">
        <v>2017</v>
      </c>
      <c r="J80" s="98">
        <v>2022</v>
      </c>
      <c r="K80" s="106"/>
      <c r="L80" s="85">
        <v>200000</v>
      </c>
    </row>
    <row r="81" spans="1:12" x14ac:dyDescent="0.2">
      <c r="A81" s="102">
        <f t="shared" si="1"/>
        <v>56</v>
      </c>
      <c r="B81" s="103" t="str">
        <f>'Presupuesto Detallado'!C138</f>
        <v>Programa de Conocimiento de Casos de Éxitos.</v>
      </c>
      <c r="C81" s="107" t="s">
        <v>353</v>
      </c>
      <c r="D81" s="107" t="s">
        <v>354</v>
      </c>
      <c r="E81" s="112">
        <f>'Presupuesto Detallado'!F138</f>
        <v>200000</v>
      </c>
      <c r="F81" s="107">
        <v>4</v>
      </c>
      <c r="G81" s="101" t="s">
        <v>355</v>
      </c>
      <c r="H81" s="121" t="s">
        <v>361</v>
      </c>
      <c r="I81" s="107">
        <v>2017</v>
      </c>
      <c r="J81" s="98">
        <v>2022</v>
      </c>
      <c r="K81" s="106"/>
      <c r="L81" s="85">
        <v>700000</v>
      </c>
    </row>
    <row r="82" spans="1:12" ht="28.5" x14ac:dyDescent="0.2">
      <c r="A82" s="102">
        <f t="shared" si="1"/>
        <v>57</v>
      </c>
      <c r="B82" s="103" t="str">
        <f>'Presupuesto Detallado'!C140</f>
        <v xml:space="preserve">Diseño e implementación del Plan de ade participación y relaciones comunitarias del Programa. Creacion de Oficina de Atención Social Comunitaria. </v>
      </c>
      <c r="C82" s="107" t="s">
        <v>353</v>
      </c>
      <c r="D82" s="107" t="s">
        <v>354</v>
      </c>
      <c r="E82" s="112">
        <f>'Presupuesto Detallado'!F140</f>
        <v>700000</v>
      </c>
      <c r="F82" s="107">
        <v>4</v>
      </c>
      <c r="G82" s="101" t="s">
        <v>355</v>
      </c>
      <c r="H82" s="121" t="s">
        <v>361</v>
      </c>
      <c r="I82" s="107">
        <v>2017</v>
      </c>
      <c r="J82" s="98">
        <v>2022</v>
      </c>
      <c r="K82" s="106"/>
      <c r="L82" s="85">
        <v>250000</v>
      </c>
    </row>
    <row r="83" spans="1:12" x14ac:dyDescent="0.2">
      <c r="A83" s="102">
        <f t="shared" si="1"/>
        <v>58</v>
      </c>
      <c r="B83" s="103" t="str">
        <f>'Presupuesto Detallado'!C174</f>
        <v>PRODUCTO 5.6: AUDITORIA</v>
      </c>
      <c r="C83" s="107" t="s">
        <v>353</v>
      </c>
      <c r="D83" s="107" t="s">
        <v>354</v>
      </c>
      <c r="E83" s="112">
        <f>'Presupuesto Detallado'!F174</f>
        <v>250000</v>
      </c>
      <c r="F83" s="107">
        <v>5</v>
      </c>
      <c r="G83" s="101" t="s">
        <v>355</v>
      </c>
      <c r="H83" s="121" t="s">
        <v>361</v>
      </c>
      <c r="I83" s="107">
        <v>2017</v>
      </c>
      <c r="J83" s="98">
        <v>2022</v>
      </c>
      <c r="K83" s="106"/>
    </row>
    <row r="84" spans="1:12" ht="15" x14ac:dyDescent="0.2">
      <c r="A84" s="124"/>
      <c r="B84" s="125"/>
      <c r="C84" s="126"/>
      <c r="D84" s="125"/>
      <c r="E84" s="127">
        <f>SUM(E26:E83)</f>
        <v>16560000</v>
      </c>
      <c r="F84" s="125"/>
      <c r="G84" s="126"/>
      <c r="H84" s="126"/>
      <c r="I84" s="125"/>
      <c r="J84" s="125"/>
      <c r="K84" s="128"/>
    </row>
    <row r="85" spans="1:12" ht="15.75" thickBot="1" x14ac:dyDescent="0.25">
      <c r="A85" s="236" t="s">
        <v>358</v>
      </c>
      <c r="B85" s="237"/>
      <c r="C85" s="237"/>
      <c r="D85" s="237"/>
      <c r="E85" s="237"/>
      <c r="F85" s="237"/>
      <c r="G85" s="237"/>
      <c r="H85" s="237"/>
      <c r="I85" s="237"/>
      <c r="J85" s="237"/>
      <c r="K85" s="238"/>
    </row>
    <row r="86" spans="1:12" ht="29.25" thickBot="1" x14ac:dyDescent="0.25">
      <c r="A86" s="111">
        <v>1</v>
      </c>
      <c r="B86" s="106" t="str">
        <f>'Presupuesto Detallado'!C43</f>
        <v xml:space="preserve">Implementación de un sistema mejorado de recolección de residuos y limpieza urbana en la Ciudad Colonial: equipos, contenedores, obras y camiones.  </v>
      </c>
      <c r="C86" s="107" t="s">
        <v>353</v>
      </c>
      <c r="D86" s="107" t="s">
        <v>354</v>
      </c>
      <c r="E86" s="112">
        <f>'Presupuesto Detallado'!G43</f>
        <v>3000000</v>
      </c>
      <c r="F86" s="107">
        <v>1</v>
      </c>
      <c r="G86" s="101" t="s">
        <v>355</v>
      </c>
      <c r="H86" s="113" t="s">
        <v>359</v>
      </c>
      <c r="I86" s="114">
        <v>2019</v>
      </c>
      <c r="J86" s="98">
        <v>2022</v>
      </c>
      <c r="K86" s="106"/>
    </row>
    <row r="87" spans="1:12" ht="25.5" customHeight="1" thickBot="1" x14ac:dyDescent="0.25">
      <c r="A87" s="129">
        <f>A86+1</f>
        <v>2</v>
      </c>
      <c r="B87" s="106" t="str">
        <f>'Presupuesto Detallado'!C45</f>
        <v>SUMINISTRO y COLOCACIÓN: 400 luminarias</v>
      </c>
      <c r="C87" s="107" t="s">
        <v>353</v>
      </c>
      <c r="D87" s="107" t="s">
        <v>354</v>
      </c>
      <c r="E87" s="112">
        <f>'Presupuesto Detallado'!G45</f>
        <v>300000</v>
      </c>
      <c r="F87" s="107">
        <v>1</v>
      </c>
      <c r="G87" s="101" t="s">
        <v>355</v>
      </c>
      <c r="H87" s="113" t="s">
        <v>359</v>
      </c>
      <c r="I87" s="114">
        <v>2017</v>
      </c>
      <c r="J87" s="98">
        <v>2022</v>
      </c>
      <c r="K87" s="106"/>
    </row>
    <row r="88" spans="1:12" ht="29.25" thickBot="1" x14ac:dyDescent="0.25">
      <c r="A88" s="129">
        <f t="shared" ref="A88:A92" si="2">A87+1</f>
        <v>3</v>
      </c>
      <c r="B88" s="106" t="str">
        <f>'Presupuesto Detallado'!C47</f>
        <v>INSTALACIÓN: Ampliación de red de cámaras y su respaldo informático (hardware y software) en 200 unidades exteriores.</v>
      </c>
      <c r="C88" s="107" t="s">
        <v>353</v>
      </c>
      <c r="D88" s="107" t="s">
        <v>354</v>
      </c>
      <c r="E88" s="112">
        <f>'Presupuesto Detallado'!G47</f>
        <v>900000</v>
      </c>
      <c r="F88" s="107">
        <v>1</v>
      </c>
      <c r="G88" s="101" t="s">
        <v>355</v>
      </c>
      <c r="H88" s="113" t="s">
        <v>359</v>
      </c>
      <c r="I88" s="114">
        <v>2017</v>
      </c>
      <c r="J88" s="98">
        <v>2022</v>
      </c>
      <c r="K88" s="106"/>
    </row>
    <row r="89" spans="1:12" ht="28.5" x14ac:dyDescent="0.2">
      <c r="A89" s="129">
        <f t="shared" si="2"/>
        <v>4</v>
      </c>
      <c r="B89" s="106" t="str">
        <f>'Presupuesto Detallado'!C78</f>
        <v>Fondo concursable para la generación de nuevos emprendimientos (20 nuevos emprendimientos) servicios para la ciudad o residentes</v>
      </c>
      <c r="C89" s="107" t="s">
        <v>353</v>
      </c>
      <c r="D89" s="107" t="s">
        <v>354</v>
      </c>
      <c r="E89" s="112">
        <f>'Presupuesto Detallado'!G78</f>
        <v>400000</v>
      </c>
      <c r="F89" s="107">
        <v>3</v>
      </c>
      <c r="G89" s="101" t="s">
        <v>355</v>
      </c>
      <c r="H89" s="113" t="s">
        <v>359</v>
      </c>
      <c r="I89" s="114">
        <v>2017</v>
      </c>
      <c r="J89" s="98">
        <v>2022</v>
      </c>
      <c r="K89" s="106"/>
    </row>
    <row r="90" spans="1:12" ht="15" thickBot="1" x14ac:dyDescent="0.25">
      <c r="A90" s="129">
        <f t="shared" si="2"/>
        <v>5</v>
      </c>
      <c r="B90" s="106" t="str">
        <f>'Presupuesto Detallado'!C171</f>
        <v>PRODUCTO 5.2: GASTOS OPERATIVOS/ ADMINISTRATIVOS</v>
      </c>
      <c r="C90" s="98" t="s">
        <v>353</v>
      </c>
      <c r="D90" s="98" t="s">
        <v>354</v>
      </c>
      <c r="E90" s="100">
        <f>'Presupuesto Detallado'!G171</f>
        <v>480000</v>
      </c>
      <c r="F90" s="98">
        <v>5</v>
      </c>
      <c r="G90" s="101" t="s">
        <v>355</v>
      </c>
      <c r="H90" s="113" t="s">
        <v>359</v>
      </c>
      <c r="I90" s="98">
        <v>2017</v>
      </c>
      <c r="J90" s="98">
        <v>2022</v>
      </c>
      <c r="K90" s="103"/>
    </row>
    <row r="91" spans="1:12" ht="15" thickBot="1" x14ac:dyDescent="0.25">
      <c r="A91" s="129">
        <f t="shared" si="2"/>
        <v>6</v>
      </c>
      <c r="B91" s="106" t="str">
        <f>'Presupuesto Detallado'!C172</f>
        <v>PRODUCTO 5.3: EQUIPOS DE INFORMATICA Y SOFTWARE</v>
      </c>
      <c r="C91" s="107" t="s">
        <v>353</v>
      </c>
      <c r="D91" s="107" t="s">
        <v>354</v>
      </c>
      <c r="E91" s="112">
        <f>'Presupuesto Detallado'!G172</f>
        <v>60000</v>
      </c>
      <c r="F91" s="107">
        <v>5</v>
      </c>
      <c r="G91" s="101" t="s">
        <v>355</v>
      </c>
      <c r="H91" s="113" t="s">
        <v>398</v>
      </c>
      <c r="I91" s="114">
        <v>2017</v>
      </c>
      <c r="J91" s="98">
        <v>2022</v>
      </c>
      <c r="K91" s="106"/>
    </row>
    <row r="92" spans="1:12" x14ac:dyDescent="0.2">
      <c r="A92" s="129">
        <f t="shared" si="2"/>
        <v>7</v>
      </c>
      <c r="B92" s="106" t="str">
        <f>'Presupuesto Detallado'!C173</f>
        <v>PRODUCTO 5.4: MOBILIARIO Y EQUIPOS</v>
      </c>
      <c r="C92" s="107" t="s">
        <v>353</v>
      </c>
      <c r="D92" s="107" t="s">
        <v>354</v>
      </c>
      <c r="E92" s="112">
        <f>'Presupuesto Detallado'!G173</f>
        <v>60000</v>
      </c>
      <c r="F92" s="107">
        <v>5</v>
      </c>
      <c r="G92" s="101" t="s">
        <v>355</v>
      </c>
      <c r="H92" s="113" t="s">
        <v>398</v>
      </c>
      <c r="I92" s="114">
        <v>2017</v>
      </c>
      <c r="J92" s="98">
        <v>2022</v>
      </c>
      <c r="K92" s="106"/>
    </row>
    <row r="93" spans="1:12" ht="15" x14ac:dyDescent="0.2">
      <c r="A93" s="111"/>
      <c r="B93" s="106"/>
      <c r="C93" s="107"/>
      <c r="D93" s="107"/>
      <c r="E93" s="108">
        <f>SUM(E86:E92)</f>
        <v>5200000</v>
      </c>
      <c r="F93" s="107"/>
      <c r="G93" s="115"/>
      <c r="H93" s="107"/>
      <c r="I93" s="116"/>
      <c r="J93" s="116"/>
      <c r="K93" s="117"/>
    </row>
    <row r="94" spans="1:12" ht="15" x14ac:dyDescent="0.2">
      <c r="A94" s="236" t="s">
        <v>399</v>
      </c>
      <c r="B94" s="237"/>
      <c r="C94" s="237"/>
      <c r="D94" s="237"/>
      <c r="E94" s="237"/>
      <c r="F94" s="237"/>
      <c r="G94" s="237"/>
      <c r="H94" s="237"/>
      <c r="I94" s="237"/>
      <c r="J94" s="237"/>
      <c r="K94" s="238"/>
    </row>
    <row r="95" spans="1:12" ht="28.5" x14ac:dyDescent="0.2">
      <c r="A95" s="111">
        <v>1</v>
      </c>
      <c r="B95" s="103" t="str">
        <f>'Presupuesto Detallado'!C30</f>
        <v>IMPLEMENTACION MUSEOGRAFIA: Museo Alcázar de Colón (diseñada en 1era Operación)</v>
      </c>
      <c r="C95" s="107"/>
      <c r="D95" s="107"/>
      <c r="E95" s="112">
        <f>'Presupuesto Detallado'!I30</f>
        <v>400000</v>
      </c>
      <c r="F95" s="107">
        <v>1</v>
      </c>
      <c r="G95" s="101"/>
      <c r="H95" s="113"/>
      <c r="I95" s="107"/>
      <c r="J95" s="98"/>
      <c r="K95" s="106"/>
    </row>
    <row r="96" spans="1:12" ht="30.75" customHeight="1" x14ac:dyDescent="0.2">
      <c r="A96" s="129">
        <f t="shared" ref="A96:A98" si="3">A95+1</f>
        <v>2</v>
      </c>
      <c r="B96" s="103" t="str">
        <f>'Presupuesto Detallado'!C34</f>
        <v>IMPLEMENTACION MUSEOGRAFIA: Museo Casas Reales (diseñada en 1era Operación)</v>
      </c>
      <c r="C96" s="107"/>
      <c r="D96" s="107"/>
      <c r="E96" s="112">
        <f>'Presupuesto Detallado'!I34</f>
        <v>1000000</v>
      </c>
      <c r="F96" s="107">
        <v>1</v>
      </c>
      <c r="G96" s="101"/>
      <c r="H96" s="113"/>
      <c r="I96" s="107"/>
      <c r="J96" s="98"/>
      <c r="K96" s="110"/>
    </row>
    <row r="97" spans="1:11" ht="30.75" customHeight="1" x14ac:dyDescent="0.2">
      <c r="A97" s="129">
        <f t="shared" si="3"/>
        <v>3</v>
      </c>
      <c r="B97" s="103" t="str">
        <f>'Presupuesto Detallado'!C35</f>
        <v xml:space="preserve">IMPLEMENTACION MUSEOGRAFIA: Fortaleza  (diseñada en 1era Operación) </v>
      </c>
      <c r="C97" s="107"/>
      <c r="D97" s="107"/>
      <c r="E97" s="112">
        <f>'Presupuesto Detallado'!I35</f>
        <v>660000</v>
      </c>
      <c r="F97" s="107">
        <v>1</v>
      </c>
      <c r="G97" s="101"/>
      <c r="H97" s="113"/>
      <c r="I97" s="107"/>
      <c r="J97" s="98"/>
      <c r="K97" s="110"/>
    </row>
    <row r="98" spans="1:11" ht="30.75" customHeight="1" x14ac:dyDescent="0.2">
      <c r="A98" s="129">
        <f t="shared" si="3"/>
        <v>4</v>
      </c>
      <c r="B98" s="103" t="str">
        <f>'Presupuesto Detallado'!C36</f>
        <v xml:space="preserve">IMPLEMENTACION MUSEOGRAFIA: Museo de la Catedral (diseñada en 1era Operación) </v>
      </c>
      <c r="C98" s="107"/>
      <c r="D98" s="107"/>
      <c r="E98" s="112">
        <f>'Presupuesto Detallado'!I36</f>
        <v>500000</v>
      </c>
      <c r="F98" s="107">
        <v>1</v>
      </c>
      <c r="G98" s="101"/>
      <c r="H98" s="113"/>
      <c r="I98" s="107"/>
      <c r="J98" s="98"/>
      <c r="K98" s="110"/>
    </row>
    <row r="99" spans="1:11" ht="74.25" customHeight="1" x14ac:dyDescent="0.2">
      <c r="A99" s="129">
        <f>A98+1</f>
        <v>5</v>
      </c>
      <c r="B99" s="103" t="str">
        <f>'Presupuesto Detallado'!C16</f>
        <v xml:space="preserve">Protocolo inter institucional para el traspaso de la infraestructura a las instituciones responsables de su mantenimiento. Incluye mantenimiento menor de las nuevas infraestructuras terminadas (espacio público: calles y plazas) durante la vida del Programa CC.  Reemplazo de Bolardos, Adoquines, Luminarias y mobiliario urbano.  </v>
      </c>
      <c r="C99" s="107" t="s">
        <v>353</v>
      </c>
      <c r="D99" s="107" t="s">
        <v>354</v>
      </c>
      <c r="E99" s="112">
        <f>'Presupuesto Detallado'!I16</f>
        <v>750000</v>
      </c>
      <c r="F99" s="107">
        <v>1</v>
      </c>
      <c r="G99" s="101" t="s">
        <v>355</v>
      </c>
      <c r="H99" s="113" t="s">
        <v>359</v>
      </c>
      <c r="I99" s="107">
        <v>2017</v>
      </c>
      <c r="J99" s="98">
        <v>2022</v>
      </c>
      <c r="K99" s="106"/>
    </row>
    <row r="100" spans="1:11" ht="58.5" customHeight="1" x14ac:dyDescent="0.2">
      <c r="A100" s="129">
        <f>A99+1</f>
        <v>6</v>
      </c>
      <c r="B100" s="103" t="str">
        <f>'Presupuesto Detallado'!C84</f>
        <v>Actualización del Plan de Animación Cultural Urbana  para Ciudad Colonial (operación No. 2587/OC-DR) e implementación del Proyecto de Consolidación de la Oferta Cultural de Ciudad Colonial.</v>
      </c>
      <c r="C100" s="107" t="s">
        <v>353</v>
      </c>
      <c r="D100" s="107" t="s">
        <v>354</v>
      </c>
      <c r="E100" s="112">
        <f>'Presupuesto Detallado'!I84</f>
        <v>600000</v>
      </c>
      <c r="F100" s="107">
        <v>3</v>
      </c>
      <c r="G100" s="101" t="s">
        <v>355</v>
      </c>
      <c r="H100" s="113" t="s">
        <v>359</v>
      </c>
      <c r="I100" s="107">
        <v>2017</v>
      </c>
      <c r="J100" s="98">
        <v>2022</v>
      </c>
      <c r="K100" s="106"/>
    </row>
    <row r="101" spans="1:11" x14ac:dyDescent="0.2">
      <c r="A101" s="129">
        <f>A100+1</f>
        <v>7</v>
      </c>
      <c r="B101" s="104" t="str">
        <f>'Presupuesto Detallado'!C86</f>
        <v>Implementación espectáculo cultural teatralizado Fortaleza Ozama</v>
      </c>
      <c r="C101" s="107" t="s">
        <v>353</v>
      </c>
      <c r="D101" s="107" t="s">
        <v>354</v>
      </c>
      <c r="E101" s="112">
        <f>'Presupuesto Detallado'!I86</f>
        <v>500000</v>
      </c>
      <c r="F101" s="107">
        <v>3</v>
      </c>
      <c r="G101" s="101" t="s">
        <v>355</v>
      </c>
      <c r="H101" s="113" t="s">
        <v>359</v>
      </c>
      <c r="I101" s="107">
        <v>2019</v>
      </c>
      <c r="J101" s="98">
        <v>2019</v>
      </c>
      <c r="K101" s="106"/>
    </row>
    <row r="102" spans="1:11" ht="43.5" customHeight="1" x14ac:dyDescent="0.2">
      <c r="A102" s="129">
        <f>A101+1</f>
        <v>8</v>
      </c>
      <c r="B102" s="103" t="str">
        <f>'Presupuesto Detallado'!C110</f>
        <v>DISEÑO, SUMINISTRO y COLOCACIÓN: Señalización Turística general y acorde a las nuevas rutas turísticas diseñadas en la primera operación.</v>
      </c>
      <c r="C102" s="107" t="s">
        <v>353</v>
      </c>
      <c r="D102" s="107" t="s">
        <v>354</v>
      </c>
      <c r="E102" s="112">
        <f>'Presupuesto Detallado'!I110</f>
        <v>500000</v>
      </c>
      <c r="F102" s="107">
        <v>3</v>
      </c>
      <c r="G102" s="101" t="s">
        <v>355</v>
      </c>
      <c r="H102" s="113" t="s">
        <v>359</v>
      </c>
      <c r="I102" s="107">
        <v>2017</v>
      </c>
      <c r="J102" s="98">
        <v>2022</v>
      </c>
      <c r="K102" s="106"/>
    </row>
    <row r="103" spans="1:11" ht="15" x14ac:dyDescent="0.2">
      <c r="A103" s="111"/>
      <c r="B103" s="106"/>
      <c r="C103" s="107"/>
      <c r="D103" s="107"/>
      <c r="E103" s="108">
        <f>SUM(E95:E102)</f>
        <v>4910000</v>
      </c>
      <c r="F103" s="107"/>
      <c r="G103" s="115"/>
      <c r="H103" s="107"/>
      <c r="I103" s="116"/>
      <c r="J103" s="116"/>
      <c r="K103" s="117"/>
    </row>
    <row r="104" spans="1:11" ht="30" customHeight="1" x14ac:dyDescent="0.2">
      <c r="A104" s="236" t="s">
        <v>363</v>
      </c>
      <c r="B104" s="237"/>
      <c r="C104" s="237"/>
      <c r="D104" s="237"/>
      <c r="E104" s="237"/>
      <c r="F104" s="237"/>
      <c r="G104" s="237"/>
      <c r="H104" s="237"/>
      <c r="I104" s="237"/>
      <c r="J104" s="237"/>
      <c r="K104" s="238"/>
    </row>
    <row r="105" spans="1:11" ht="90" customHeight="1" x14ac:dyDescent="0.2">
      <c r="A105" s="129">
        <v>1</v>
      </c>
      <c r="B105" s="106" t="str">
        <f>'Presupuesto Detallado'!C11</f>
        <v>OBRA: NIVEL A -Calle El Conde y Escalinatas (entre Palo Hincado y Avenida del Puerto) 1,000 mts Lineales. 
Corrección del sistema de suministro de agua, drenaje pluvial, alcantarillas, obra civil de infraestructura cableado eléctrico y de telecomunicación,. Acabados nivel A, nueva pavimentación, iluminación, mobiliario, señalización y arborización. "Proyecto Revitalización Integral Calle el Conde".</v>
      </c>
      <c r="C105" s="107"/>
      <c r="D105" s="107"/>
      <c r="E105" s="112">
        <f>'Presupuesto Detallado'!H11</f>
        <v>3500000</v>
      </c>
      <c r="F105" s="107">
        <v>1</v>
      </c>
      <c r="G105" s="101"/>
      <c r="H105" s="113"/>
      <c r="I105" s="107"/>
      <c r="J105" s="98"/>
      <c r="K105" s="130"/>
    </row>
    <row r="106" spans="1:11" ht="76.5" customHeight="1" x14ac:dyDescent="0.2">
      <c r="A106" s="129">
        <f>A105+1</f>
        <v>2</v>
      </c>
      <c r="B106" s="106" t="str">
        <f>'Presupuesto Detallado'!C12</f>
        <v>OBRA: NIVEL B - Calles Padre Billini y Mercedes entre Palo Hincado y Hostos, Duarte entre Avenida Mella y Billini. 2030 mts. 
Consiste en la Reforma Integral de las calles: Infraestructura (agua potable, alcantarillas, pluviales, obra civil electricidad y telecomunicaciones) y Acabados  de nivel B (pavimentos, mobiliario urbano, señalización, arborización), incluye seguridad y salud.</v>
      </c>
      <c r="C106" s="107"/>
      <c r="D106" s="107"/>
      <c r="E106" s="112">
        <f>'Presupuesto Detallado'!H12</f>
        <v>5300000</v>
      </c>
      <c r="F106" s="107">
        <v>1</v>
      </c>
      <c r="G106" s="101"/>
      <c r="H106" s="113"/>
      <c r="I106" s="107"/>
      <c r="J106" s="98"/>
      <c r="K106" s="130"/>
    </row>
    <row r="107" spans="1:11" ht="85.5" x14ac:dyDescent="0.2">
      <c r="A107" s="129">
        <f t="shared" ref="A107:A121" si="4">A106+1</f>
        <v>3</v>
      </c>
      <c r="B107" s="106" t="str">
        <f>'Presupuesto Detallado'!C13</f>
        <v>OBRA: NIVEL C - Calles Nouel de Palo Hincado a Meriño,  Hostos entre Isidro Pérez y JGGarcia, Las Damas entre Mercedes y Plaza Pellerano Alfau, Mercedes entre Católica y Las Damas, Billini entre Católica y Las Damas, Luperón de Meriño a Mercedes, Calles y Espacios Públicos Santa Bárbara 3.400 mts 
Consiste en nuevo pavimento, ampliar aceras, mobiliario urbano, vegetación, paisajismo, otros. Acabados nivel B.</v>
      </c>
      <c r="C107" s="107"/>
      <c r="D107" s="107"/>
      <c r="E107" s="112">
        <f>'Presupuesto Detallado'!H13</f>
        <v>4850000</v>
      </c>
      <c r="F107" s="107">
        <v>1</v>
      </c>
      <c r="G107" s="101"/>
      <c r="H107" s="113"/>
      <c r="I107" s="107"/>
      <c r="J107" s="98"/>
      <c r="K107" s="130"/>
    </row>
    <row r="108" spans="1:11" ht="99.75" x14ac:dyDescent="0.2">
      <c r="A108" s="129">
        <f>A107+1</f>
        <v>4</v>
      </c>
      <c r="B108" s="106" t="str">
        <f>'Presupuesto Detallado'!C21</f>
        <v>OBRA: NIVEL A - Calles Restauración y Juan isidro Pérez (entre Duarte y Hostos), Hostos (entre Isidro Pérez y Restauración), Tejera (entre Hostos y Meriño). 500 metros lineales. Incluye un parqueo.
Consiste en la Reforma Integral de las calles: Infraestructura (agua potable, alcantarillas, pluviales, obra civil electricidad y telecomunicaciones) y Acabados  de nivel A (pavimentos, mobiliario urbano, señalización, arborización), incluye seguridad y salud.</v>
      </c>
      <c r="C108" s="181"/>
      <c r="D108" s="182"/>
      <c r="E108" s="112">
        <f>'Presupuesto Detallado'!H21</f>
        <v>2320000</v>
      </c>
      <c r="F108" s="107">
        <v>1</v>
      </c>
      <c r="G108" s="181"/>
      <c r="H108" s="181"/>
      <c r="I108" s="182"/>
      <c r="J108" s="182"/>
      <c r="K108" s="110"/>
    </row>
    <row r="109" spans="1:11" ht="57" x14ac:dyDescent="0.2">
      <c r="A109" s="129">
        <f>A108+1</f>
        <v>5</v>
      </c>
      <c r="B109" s="106" t="str">
        <f>'Presupuesto Detallado'!C14</f>
        <v>OBRA SOTERRADO: NIVEL A y B -  Soterrado de cableado eléctrico.  (1.1.6). 3030 mts lineales 
Consiste en el soterrado de cableado eléctrico, retiro de postes y suministro y construcción de centros transformadores y obra civil.</v>
      </c>
      <c r="C109" s="107"/>
      <c r="D109" s="107"/>
      <c r="E109" s="112">
        <f>'Presupuesto Detallado'!H14</f>
        <v>8500000</v>
      </c>
      <c r="F109" s="107">
        <v>1</v>
      </c>
      <c r="G109" s="101"/>
      <c r="H109" s="113"/>
      <c r="I109" s="107"/>
      <c r="J109" s="98"/>
      <c r="K109" s="130"/>
    </row>
    <row r="110" spans="1:11" ht="42.75" x14ac:dyDescent="0.2">
      <c r="A110" s="129">
        <f>A109+1</f>
        <v>6</v>
      </c>
      <c r="B110" s="106" t="str">
        <f>'Presupuesto Detallado'!C20</f>
        <v>Obras de rehabilitación del Monasterio de San Francisco (Capilla de la Tercera Orden, Centro de Interpretación, y Parque Arqueológico, sujeto a consenso). Etapa 1</v>
      </c>
      <c r="C110" s="107"/>
      <c r="D110" s="107"/>
      <c r="E110" s="112">
        <f>'Presupuesto Detallado'!H20</f>
        <v>6500000</v>
      </c>
      <c r="F110" s="107">
        <v>1</v>
      </c>
      <c r="G110" s="101"/>
      <c r="H110" s="113"/>
      <c r="I110" s="107"/>
      <c r="J110" s="98"/>
      <c r="K110" s="130"/>
    </row>
    <row r="111" spans="1:11" ht="42.75" x14ac:dyDescent="0.2">
      <c r="A111" s="129">
        <f>A110+1</f>
        <v>7</v>
      </c>
      <c r="B111" s="106" t="str">
        <f>'Presupuesto Detallado'!C26</f>
        <v>Obra Proyecto Parque Lineal Ribera del Ozama (Paisajismo, Accesos Priorizados y conectividad: Estacionamientos, movilidad, accesos cruceristas, vínculos ribera este y oeste de la ría).</v>
      </c>
      <c r="C111" s="107"/>
      <c r="D111" s="107"/>
      <c r="E111" s="112">
        <f>'Presupuesto Detallado'!H26</f>
        <v>1650000</v>
      </c>
      <c r="F111" s="107">
        <v>1</v>
      </c>
      <c r="G111" s="101"/>
      <c r="H111" s="113"/>
      <c r="I111" s="107"/>
      <c r="J111" s="98"/>
      <c r="K111" s="110"/>
    </row>
    <row r="112" spans="1:11" ht="42.75" x14ac:dyDescent="0.2">
      <c r="A112" s="129">
        <f t="shared" ref="A112:A114" si="5">A111+1</f>
        <v>8</v>
      </c>
      <c r="B112" s="106" t="str">
        <f>'Presupuesto Detallado'!C67</f>
        <v>OBRA:  Reforma de plazas tradicionales y su entorno en sector norte de Ciudad Colonial: plaza de San Lázaro (1100 m2), plaza San Miguel (1620 m2) y Parque Colón (100 U$S/m2).</v>
      </c>
      <c r="C112" s="107"/>
      <c r="D112" s="107"/>
      <c r="E112" s="112">
        <f>'Presupuesto Detallado'!H67</f>
        <v>1500000</v>
      </c>
      <c r="F112" s="107">
        <v>2</v>
      </c>
      <c r="G112" s="101"/>
      <c r="H112" s="113"/>
      <c r="I112" s="107"/>
      <c r="J112" s="98"/>
      <c r="K112" s="110"/>
    </row>
    <row r="113" spans="1:11" ht="71.25" x14ac:dyDescent="0.2">
      <c r="A113" s="129">
        <f t="shared" si="5"/>
        <v>9</v>
      </c>
      <c r="B113" s="106" t="str">
        <f>'Presupuesto Detallado'!C69</f>
        <v>OBRA: Reintegración  de Fuertes y ronda de la Muralla: incluyendo a) Consolidación, limpieza y reparación de pavimentos en Fuertes (San Miguel, San Antón y Santa Bárbara); b) remozamiento de las puerta de Atarazanas y Don Diego; c) Recuperación de la ronda de la muralla desde el Fuerte de San Miguel hasta la Fortaleza de Santo Domingo (Ozama).</v>
      </c>
      <c r="C113" s="107"/>
      <c r="D113" s="107"/>
      <c r="E113" s="112">
        <f>'Presupuesto Detallado'!H69</f>
        <v>4840000</v>
      </c>
      <c r="F113" s="107">
        <v>2</v>
      </c>
      <c r="G113" s="101"/>
      <c r="H113" s="113"/>
      <c r="I113" s="107"/>
      <c r="J113" s="98"/>
      <c r="K113" s="110"/>
    </row>
    <row r="114" spans="1:11" ht="28.5" x14ac:dyDescent="0.2">
      <c r="A114" s="102">
        <f t="shared" si="5"/>
        <v>10</v>
      </c>
      <c r="B114" s="103" t="str">
        <f>'Presupuesto Detallado'!C109</f>
        <v>Adecuación de servicios públicos en dependencias del Estado. gestión del servicio. Acceso a discapacitados.</v>
      </c>
      <c r="C114" s="107"/>
      <c r="D114" s="107"/>
      <c r="E114" s="112">
        <f>'Presupuesto Detallado'!F109</f>
        <v>200000</v>
      </c>
      <c r="F114" s="107">
        <v>4</v>
      </c>
      <c r="G114" s="101"/>
      <c r="H114" s="121"/>
      <c r="I114" s="107"/>
      <c r="J114" s="98"/>
      <c r="K114" s="106"/>
    </row>
    <row r="115" spans="1:11" ht="42.75" x14ac:dyDescent="0.2">
      <c r="A115" s="129">
        <f>A114+1</f>
        <v>11</v>
      </c>
      <c r="B115" s="106" t="str">
        <f>'Presupuesto Detallado'!C28</f>
        <v>OBRA: Adecuación y Mantenimiento Planta Física Alcázar de Colón.
Consiste en adecuación de la climatización, conservación, impermeabilización, fumigación, y nuevos baños.</v>
      </c>
      <c r="C115" s="107"/>
      <c r="D115" s="107"/>
      <c r="E115" s="112">
        <f>'Presupuesto Detallado'!H28</f>
        <v>350000</v>
      </c>
      <c r="F115" s="107">
        <v>1</v>
      </c>
      <c r="G115" s="101"/>
      <c r="H115" s="113"/>
      <c r="I115" s="107"/>
      <c r="J115" s="98"/>
      <c r="K115" s="110"/>
    </row>
    <row r="116" spans="1:11" ht="42.75" x14ac:dyDescent="0.2">
      <c r="A116" s="129">
        <f>A115+1</f>
        <v>12</v>
      </c>
      <c r="B116" s="106" t="str">
        <f>'Presupuesto Detallado'!C31</f>
        <v>OBRA: Adecuación y Mantenimiento Planta Física Casas Reales.
Consiste en la adecuación de la climatización, conservación, nuevo ascensor, reformas.</v>
      </c>
      <c r="C116" s="107"/>
      <c r="D116" s="107"/>
      <c r="E116" s="112">
        <f>'Presupuesto Detallado'!H31</f>
        <v>2000000</v>
      </c>
      <c r="F116" s="107">
        <v>1</v>
      </c>
      <c r="G116" s="101"/>
      <c r="H116" s="113"/>
      <c r="I116" s="107"/>
      <c r="J116" s="98"/>
      <c r="K116" s="110"/>
    </row>
    <row r="117" spans="1:11" ht="42.75" x14ac:dyDescent="0.2">
      <c r="A117" s="129">
        <f t="shared" ref="A117" si="6">A116+1</f>
        <v>13</v>
      </c>
      <c r="B117" s="106" t="str">
        <f>'Presupuesto Detallado'!C32</f>
        <v>OBRA: Techado patios Museo Casas Reales.
Consiste en el techado mediante cristal en transparencia de los patios interiores, uno para librería café y otro para eventos.</v>
      </c>
      <c r="C117" s="107"/>
      <c r="D117" s="107"/>
      <c r="E117" s="112">
        <f>'Presupuesto Detallado'!H32</f>
        <v>700000</v>
      </c>
      <c r="F117" s="107">
        <v>1</v>
      </c>
      <c r="G117" s="101"/>
      <c r="H117" s="113"/>
      <c r="I117" s="107"/>
      <c r="J117" s="98"/>
      <c r="K117" s="110"/>
    </row>
    <row r="118" spans="1:11" ht="43.5" customHeight="1" x14ac:dyDescent="0.2">
      <c r="A118" s="129">
        <f>A117+1</f>
        <v>14</v>
      </c>
      <c r="B118" s="106" t="str">
        <f>'Presupuesto Detallado'!C40</f>
        <v>OBRA: Ejecución Implementación Física PMUS
Suministro y colocación de señalética, marcas, carteles, elementos urbanos de tráfico correspondientes a la nueva movilidad urbana</v>
      </c>
      <c r="C118" s="107"/>
      <c r="D118" s="107"/>
      <c r="E118" s="112">
        <f>'Presupuesto Detallado'!H40</f>
        <v>340000</v>
      </c>
      <c r="F118" s="107">
        <v>1</v>
      </c>
      <c r="G118" s="101"/>
      <c r="H118" s="113"/>
      <c r="I118" s="107"/>
      <c r="J118" s="98"/>
      <c r="K118" s="110"/>
    </row>
    <row r="119" spans="1:11" ht="51" customHeight="1" x14ac:dyDescent="0.2">
      <c r="A119" s="129">
        <f t="shared" si="4"/>
        <v>15</v>
      </c>
      <c r="B119" s="106" t="str">
        <f>'Presupuesto Detallado'!C41</f>
        <v xml:space="preserve">OBRA: Diseño y ejecución de obra de una de las locaciones de Estacionamiento del Sistema de Estacionamientos propuesto </v>
      </c>
      <c r="C119" s="107"/>
      <c r="D119" s="107"/>
      <c r="E119" s="112">
        <f>'Presupuesto Detallado'!H41</f>
        <v>2308000</v>
      </c>
      <c r="F119" s="107">
        <v>1</v>
      </c>
      <c r="G119" s="108"/>
      <c r="H119" s="113"/>
      <c r="I119" s="107"/>
      <c r="J119" s="98"/>
      <c r="K119" s="110"/>
    </row>
    <row r="120" spans="1:11" ht="48.75" customHeight="1" x14ac:dyDescent="0.2">
      <c r="A120" s="129">
        <f>A119+1</f>
        <v>16</v>
      </c>
      <c r="B120" s="103" t="str">
        <f>'Presupuesto Detallado'!C54</f>
        <v xml:space="preserve">Obras de Mejoramiento de Vivienda y Titulación de 200 unidades acuerdo a tipologías de intervención e identificación de necesidades en levantamiento de información </v>
      </c>
      <c r="C120" s="107"/>
      <c r="D120" s="107"/>
      <c r="E120" s="112">
        <f>'Presupuesto Detallado'!H54</f>
        <v>1300000</v>
      </c>
      <c r="F120" s="107">
        <v>2</v>
      </c>
      <c r="G120" s="108"/>
      <c r="H120" s="113"/>
      <c r="I120" s="107"/>
      <c r="J120" s="98"/>
      <c r="K120" s="106"/>
    </row>
    <row r="121" spans="1:11" ht="50.25" customHeight="1" x14ac:dyDescent="0.2">
      <c r="A121" s="102">
        <f t="shared" si="4"/>
        <v>17</v>
      </c>
      <c r="B121" s="106" t="str">
        <f>'Presupuesto Detallado'!C60</f>
        <v>Obras de recuperacion de 120 Fachadas. Incluye: Restauración y rehabilitación de fachadas de edificios de valor patrimonial categorías 1, 2 y 3 en toda la CCSD</v>
      </c>
      <c r="C121" s="107"/>
      <c r="D121" s="107"/>
      <c r="E121" s="112">
        <f>'Presupuesto Detallado'!H60</f>
        <v>1500000</v>
      </c>
      <c r="F121" s="107">
        <v>2</v>
      </c>
      <c r="G121" s="101"/>
      <c r="H121" s="113"/>
      <c r="I121" s="107"/>
      <c r="J121" s="98"/>
      <c r="K121" s="110"/>
    </row>
    <row r="122" spans="1:11" ht="25.5" customHeight="1" x14ac:dyDescent="0.2">
      <c r="A122" s="129">
        <f>A121+1</f>
        <v>18</v>
      </c>
      <c r="B122" s="106" t="str">
        <f>'Presupuesto Detallado'!C73</f>
        <v>Ejecución  y supervisión de la remodelación de la infraestructura física del Mercado Modelo</v>
      </c>
      <c r="C122" s="107"/>
      <c r="D122" s="107"/>
      <c r="E122" s="112">
        <f>'Presupuesto Detallado'!H73</f>
        <v>4000000</v>
      </c>
      <c r="F122" s="107">
        <v>3</v>
      </c>
      <c r="G122" s="101"/>
      <c r="H122" s="113"/>
      <c r="I122" s="107"/>
      <c r="J122" s="98"/>
      <c r="K122" s="110"/>
    </row>
    <row r="123" spans="1:11" ht="42.75" x14ac:dyDescent="0.2">
      <c r="A123" s="129">
        <f>A122+1</f>
        <v>19</v>
      </c>
      <c r="B123" s="106" t="str">
        <f>'Presupuesto Detallado'!C77</f>
        <v xml:space="preserve">Implementación adecuación de (120) micro negocios ubicados en las rutas turísticas y lugares tradicionales en base a los lineamientos definidos en el Reglamento Operativo (aspectos físicos y asistencia técnica). </v>
      </c>
      <c r="C123" s="107" t="s">
        <v>353</v>
      </c>
      <c r="D123" s="107" t="s">
        <v>354</v>
      </c>
      <c r="E123" s="112">
        <f>'Presupuesto Detallado'!H77</f>
        <v>980000</v>
      </c>
      <c r="F123" s="107">
        <v>3</v>
      </c>
      <c r="G123" s="101" t="s">
        <v>355</v>
      </c>
      <c r="H123" s="113" t="s">
        <v>359</v>
      </c>
      <c r="I123" s="107">
        <v>2017</v>
      </c>
      <c r="J123" s="98">
        <v>2022</v>
      </c>
      <c r="K123" s="110"/>
    </row>
    <row r="124" spans="1:11" ht="57" x14ac:dyDescent="0.2">
      <c r="A124" s="129">
        <f>A123+1</f>
        <v>20</v>
      </c>
      <c r="B124" s="106" t="str">
        <f>'Presupuesto Detallado'!C79</f>
        <v>El diseño e implementación de una estrategia para promover proyectos de asociación público privado en la CCSD en el marco de este proyecto tales como: sistema de estacionamientos, vivienda para familias de ingresos medios, centros de eventos, animación urbana, y otros;</v>
      </c>
      <c r="C124" s="107" t="s">
        <v>353</v>
      </c>
      <c r="D124" s="107" t="s">
        <v>354</v>
      </c>
      <c r="E124" s="112">
        <f>'Presupuesto Detallado'!H79</f>
        <v>0</v>
      </c>
      <c r="F124" s="107">
        <v>3</v>
      </c>
      <c r="G124" s="101" t="s">
        <v>355</v>
      </c>
      <c r="H124" s="113" t="s">
        <v>359</v>
      </c>
      <c r="I124" s="107">
        <v>2017</v>
      </c>
      <c r="J124" s="98">
        <v>2022</v>
      </c>
      <c r="K124" s="110"/>
    </row>
    <row r="125" spans="1:11" ht="15" x14ac:dyDescent="0.2">
      <c r="A125" s="185">
        <f>A124+1</f>
        <v>21</v>
      </c>
      <c r="B125" s="186" t="str">
        <f>'Presupuesto Detallado'!C176</f>
        <v>IMPREVISTOS</v>
      </c>
      <c r="C125" s="187"/>
      <c r="D125" s="187"/>
      <c r="E125" s="188">
        <f>'Presupuesto Detallado'!H176</f>
        <v>2600000</v>
      </c>
      <c r="F125" s="187">
        <v>5</v>
      </c>
      <c r="G125" s="189"/>
      <c r="H125" s="190"/>
      <c r="I125" s="187"/>
      <c r="J125" s="187"/>
      <c r="K125" s="185"/>
    </row>
    <row r="126" spans="1:11" ht="15" x14ac:dyDescent="0.2">
      <c r="A126" s="132" t="s">
        <v>7</v>
      </c>
      <c r="B126" s="133"/>
      <c r="C126" s="116"/>
      <c r="D126" s="116"/>
      <c r="E126" s="131">
        <f>SUM(E105:E125)</f>
        <v>55238000</v>
      </c>
      <c r="F126" s="116"/>
      <c r="G126" s="134"/>
      <c r="H126" s="134"/>
      <c r="I126" s="116"/>
      <c r="J126" s="116"/>
      <c r="K126" s="135"/>
    </row>
    <row r="127" spans="1:11" ht="45" x14ac:dyDescent="0.2">
      <c r="A127" s="132" t="s">
        <v>364</v>
      </c>
      <c r="E127" s="136">
        <f>E126+E103+E84+E93+E24</f>
        <v>90000000</v>
      </c>
      <c r="G127" s="93"/>
      <c r="H127" s="93"/>
    </row>
    <row r="128" spans="1:11" ht="15" thickBot="1" x14ac:dyDescent="0.25">
      <c r="G128" s="93"/>
      <c r="H128" s="93"/>
    </row>
    <row r="129" spans="1:11" ht="58.5" thickBot="1" x14ac:dyDescent="0.25">
      <c r="B129" s="137" t="s">
        <v>365</v>
      </c>
      <c r="E129" s="136"/>
      <c r="G129" s="93"/>
      <c r="H129" s="93"/>
    </row>
    <row r="130" spans="1:11" ht="44.25" thickBot="1" x14ac:dyDescent="0.25">
      <c r="A130" s="85"/>
      <c r="B130" s="138" t="s">
        <v>366</v>
      </c>
      <c r="H130" s="85"/>
      <c r="I130" s="85"/>
      <c r="J130" s="85"/>
      <c r="K130" s="85"/>
    </row>
    <row r="131" spans="1:11" ht="30" thickBot="1" x14ac:dyDescent="0.25">
      <c r="A131" s="85"/>
      <c r="B131" s="139" t="s">
        <v>367</v>
      </c>
      <c r="H131" s="85"/>
      <c r="I131" s="85"/>
      <c r="J131" s="85"/>
      <c r="K131" s="85"/>
    </row>
  </sheetData>
  <autoFilter ref="E1:E140"/>
  <mergeCells count="8">
    <mergeCell ref="A104:K104"/>
    <mergeCell ref="A94:K94"/>
    <mergeCell ref="A25:K25"/>
    <mergeCell ref="A1:K1"/>
    <mergeCell ref="A2:K2"/>
    <mergeCell ref="I3:J3"/>
    <mergeCell ref="A5:K5"/>
    <mergeCell ref="A85:K8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B24" sqref="B24"/>
    </sheetView>
  </sheetViews>
  <sheetFormatPr defaultColWidth="69.42578125" defaultRowHeight="12.75" x14ac:dyDescent="0.2"/>
  <cols>
    <col min="1" max="1" width="69.42578125" style="44"/>
    <col min="2" max="2" width="27.5703125" style="44" customWidth="1"/>
    <col min="3" max="16384" width="69.42578125" style="44"/>
  </cols>
  <sheetData>
    <row r="1" spans="1:5" ht="15.75" thickBot="1" x14ac:dyDescent="0.25">
      <c r="A1" s="250" t="str">
        <f>'[1]3. Presupuesto detallado'!A1:P1</f>
        <v>Proyecto Total</v>
      </c>
      <c r="B1" s="250"/>
      <c r="C1" s="250"/>
    </row>
    <row r="2" spans="1:5" ht="15.75" x14ac:dyDescent="0.2">
      <c r="A2" s="251" t="s">
        <v>368</v>
      </c>
      <c r="B2" s="252"/>
      <c r="C2" s="253"/>
    </row>
    <row r="3" spans="1:5" ht="15.75" x14ac:dyDescent="0.2">
      <c r="A3" s="140" t="s">
        <v>369</v>
      </c>
      <c r="B3" s="141" t="s">
        <v>370</v>
      </c>
      <c r="C3" s="142" t="s">
        <v>371</v>
      </c>
    </row>
    <row r="4" spans="1:5" ht="21" customHeight="1" thickBot="1" x14ac:dyDescent="0.25">
      <c r="A4" s="143" t="s">
        <v>372</v>
      </c>
      <c r="B4" s="144">
        <v>2017</v>
      </c>
      <c r="C4" s="145">
        <v>2021</v>
      </c>
    </row>
    <row r="5" spans="1:5" x14ac:dyDescent="0.2">
      <c r="A5" s="254"/>
      <c r="B5" s="254"/>
      <c r="C5" s="254"/>
    </row>
    <row r="6" spans="1:5" ht="15.75" x14ac:dyDescent="0.2">
      <c r="A6" s="255" t="s">
        <v>373</v>
      </c>
      <c r="B6" s="256"/>
      <c r="C6" s="257"/>
    </row>
    <row r="7" spans="1:5" ht="13.5" thickBot="1" x14ac:dyDescent="0.25">
      <c r="A7" s="146"/>
      <c r="B7" s="258"/>
      <c r="C7" s="259"/>
    </row>
    <row r="8" spans="1:5" ht="13.5" thickBot="1" x14ac:dyDescent="0.25">
      <c r="A8" s="254"/>
      <c r="B8" s="254"/>
      <c r="C8" s="254"/>
    </row>
    <row r="9" spans="1:5" ht="15.75" x14ac:dyDescent="0.2">
      <c r="A9" s="247" t="s">
        <v>374</v>
      </c>
      <c r="B9" s="248"/>
      <c r="C9" s="249"/>
    </row>
    <row r="10" spans="1:5" ht="63.75" customHeight="1" x14ac:dyDescent="0.2">
      <c r="A10" s="140" t="s">
        <v>375</v>
      </c>
      <c r="B10" s="141" t="s">
        <v>376</v>
      </c>
      <c r="C10" s="142" t="s">
        <v>377</v>
      </c>
      <c r="D10" s="184"/>
      <c r="E10" s="184"/>
    </row>
    <row r="11" spans="1:5" x14ac:dyDescent="0.2">
      <c r="A11" s="147" t="s">
        <v>378</v>
      </c>
      <c r="B11" s="148">
        <f>'Plan de Adquisiciones Global'!E24</f>
        <v>8092000</v>
      </c>
      <c r="C11" s="148">
        <f t="shared" ref="C11:C14" si="0">+B11</f>
        <v>8092000</v>
      </c>
    </row>
    <row r="12" spans="1:5" x14ac:dyDescent="0.2">
      <c r="A12" s="147" t="s">
        <v>5</v>
      </c>
      <c r="B12" s="148">
        <f>'Plan de Adquisiciones Global'!E93</f>
        <v>5200000</v>
      </c>
      <c r="C12" s="148">
        <f t="shared" si="0"/>
        <v>5200000</v>
      </c>
    </row>
    <row r="13" spans="1:5" x14ac:dyDescent="0.2">
      <c r="A13" s="147" t="s">
        <v>379</v>
      </c>
      <c r="B13" s="148">
        <f>'Plan de Adquisiciones Global'!E84</f>
        <v>16560000</v>
      </c>
      <c r="C13" s="148">
        <f t="shared" si="0"/>
        <v>16560000</v>
      </c>
    </row>
    <row r="14" spans="1:5" x14ac:dyDescent="0.2">
      <c r="A14" s="149" t="s">
        <v>6</v>
      </c>
      <c r="B14" s="148">
        <f>'Plan de Adquisiciones Global'!E126</f>
        <v>55238000</v>
      </c>
      <c r="C14" s="148">
        <f t="shared" si="0"/>
        <v>55238000</v>
      </c>
    </row>
    <row r="15" spans="1:5" x14ac:dyDescent="0.2">
      <c r="A15" s="183" t="s">
        <v>396</v>
      </c>
      <c r="B15" s="148">
        <f>'Plan de Adquisiciones Global'!E103</f>
        <v>4910000</v>
      </c>
      <c r="C15" s="148">
        <f t="shared" ref="C15" si="1">+B15</f>
        <v>4910000</v>
      </c>
    </row>
    <row r="16" spans="1:5" ht="16.5" thickBot="1" x14ac:dyDescent="0.25">
      <c r="A16" s="150" t="s">
        <v>7</v>
      </c>
      <c r="B16" s="151">
        <f>SUM(B11:B15)</f>
        <v>90000000</v>
      </c>
      <c r="C16" s="151">
        <f>SUM(C11:C15)</f>
        <v>90000000</v>
      </c>
    </row>
    <row r="17" spans="1:3" ht="13.5" thickBot="1" x14ac:dyDescent="0.25"/>
    <row r="18" spans="1:3" ht="15.75" x14ac:dyDescent="0.2">
      <c r="A18" s="247" t="s">
        <v>380</v>
      </c>
      <c r="B18" s="248"/>
      <c r="C18" s="249"/>
    </row>
    <row r="19" spans="1:3" ht="72.75" customHeight="1" x14ac:dyDescent="0.2">
      <c r="A19" s="176" t="s">
        <v>381</v>
      </c>
      <c r="B19" s="141" t="s">
        <v>376</v>
      </c>
      <c r="C19" s="177" t="s">
        <v>382</v>
      </c>
    </row>
    <row r="20" spans="1:3" x14ac:dyDescent="0.2">
      <c r="A20" s="152" t="str">
        <f>'Presupuesto Detallado'!C4</f>
        <v>Componente I: Consolidación de la Oferta de Turismo Cultural</v>
      </c>
      <c r="B20" s="148">
        <f>'Presupuesto Detallado'!D4</f>
        <v>49160000</v>
      </c>
      <c r="C20" s="148">
        <f>+B20</f>
        <v>49160000</v>
      </c>
    </row>
    <row r="21" spans="1:3" x14ac:dyDescent="0.2">
      <c r="A21" s="152" t="str">
        <f>'Presupuesto Detallado'!C48</f>
        <v>Componente II. Mejora de las condiciones de habitabilidad para los residentes de la CCSD</v>
      </c>
      <c r="B21" s="148">
        <f>'Presupuesto Detallado'!D48</f>
        <v>11692000</v>
      </c>
      <c r="C21" s="148">
        <f t="shared" ref="C21:C28" si="2">+B21</f>
        <v>11692000</v>
      </c>
    </row>
    <row r="22" spans="1:3" x14ac:dyDescent="0.2">
      <c r="A22" s="152" t="str">
        <f>'Presupuesto Detallado'!C70</f>
        <v>Componente III. Desarrollo de las Económias Locales</v>
      </c>
      <c r="B22" s="148">
        <f>'Presupuesto Detallado'!D70</f>
        <v>10046000</v>
      </c>
      <c r="C22" s="148">
        <f t="shared" si="2"/>
        <v>10046000</v>
      </c>
    </row>
    <row r="23" spans="1:3" x14ac:dyDescent="0.2">
      <c r="A23" s="152" t="str">
        <f>'Presupuesto Detallado'!C88</f>
        <v>Componente IV. Fortalecimiento de la Gestión Turística Cultural y Urbana</v>
      </c>
      <c r="B23" s="148">
        <f>'Presupuesto Detallado'!D88</f>
        <v>10818000</v>
      </c>
      <c r="C23" s="148">
        <f t="shared" si="2"/>
        <v>10818000</v>
      </c>
    </row>
    <row r="24" spans="1:3" x14ac:dyDescent="0.2">
      <c r="A24" s="152" t="str">
        <f>'Plan de Ejecución Plurianual'!A41</f>
        <v>PRODUCTO 5.1: Personal de la Unidad - Honorarios Profesionales 1/</v>
      </c>
      <c r="B24" s="148">
        <f>'Plan de Ejecución Plurianual'!B41</f>
        <v>4484000</v>
      </c>
      <c r="C24" s="148">
        <f t="shared" si="2"/>
        <v>4484000</v>
      </c>
    </row>
    <row r="25" spans="1:3" x14ac:dyDescent="0.2">
      <c r="A25" s="152" t="str">
        <f>'Presupuesto Detallado'!C171</f>
        <v>PRODUCTO 5.2: GASTOS OPERATIVOS/ ADMINISTRATIVOS</v>
      </c>
      <c r="B25" s="148">
        <f>SUM('Presupuesto Detallado'!D171:D173)</f>
        <v>600000</v>
      </c>
      <c r="C25" s="148">
        <f t="shared" si="2"/>
        <v>600000</v>
      </c>
    </row>
    <row r="26" spans="1:3" x14ac:dyDescent="0.2">
      <c r="A26" s="152" t="str">
        <f>'Plan de Ejecución Plurianual'!A45</f>
        <v>Evaluación</v>
      </c>
      <c r="B26" s="148">
        <f>'Presupuesto Detallado'!D175</f>
        <v>350000</v>
      </c>
      <c r="C26" s="148">
        <f t="shared" si="2"/>
        <v>350000</v>
      </c>
    </row>
    <row r="27" spans="1:3" x14ac:dyDescent="0.2">
      <c r="A27" s="153" t="s">
        <v>337</v>
      </c>
      <c r="B27" s="154">
        <f>'Presupuesto Detallado'!D174</f>
        <v>250000</v>
      </c>
      <c r="C27" s="148">
        <f t="shared" si="2"/>
        <v>250000</v>
      </c>
    </row>
    <row r="28" spans="1:3" x14ac:dyDescent="0.2">
      <c r="A28" s="153" t="str">
        <f>'Plan de Ejecución Plurianual'!A47</f>
        <v>Imprevisto</v>
      </c>
      <c r="B28" s="154">
        <f>'Plan de Ejecución Plurianual'!B48</f>
        <v>2600000</v>
      </c>
      <c r="C28" s="148">
        <f t="shared" si="2"/>
        <v>2600000</v>
      </c>
    </row>
    <row r="29" spans="1:3" ht="16.5" thickBot="1" x14ac:dyDescent="0.25">
      <c r="A29" s="150" t="s">
        <v>7</v>
      </c>
      <c r="B29" s="151">
        <f>SUM(B20:B28)</f>
        <v>90000000</v>
      </c>
      <c r="C29" s="151">
        <f>SUM(C20:C28)</f>
        <v>90000000</v>
      </c>
    </row>
  </sheetData>
  <mergeCells count="8">
    <mergeCell ref="A9:C9"/>
    <mergeCell ref="A18:C18"/>
    <mergeCell ref="A1:C1"/>
    <mergeCell ref="A2:C2"/>
    <mergeCell ref="A5:C5"/>
    <mergeCell ref="A6:C6"/>
    <mergeCell ref="B7:C7"/>
    <mergeCell ref="A8:C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workbookViewId="0">
      <selection activeCell="C19" sqref="C19"/>
    </sheetView>
  </sheetViews>
  <sheetFormatPr defaultRowHeight="12.75" x14ac:dyDescent="0.2"/>
  <cols>
    <col min="1" max="1" width="57.7109375" style="44" customWidth="1"/>
    <col min="2" max="2" width="12.5703125" style="44" customWidth="1"/>
    <col min="3" max="3" width="10.42578125" style="44" customWidth="1"/>
    <col min="4" max="4" width="12.7109375" style="44" customWidth="1"/>
    <col min="5" max="9" width="10.140625" style="44" bestFit="1" customWidth="1"/>
    <col min="10" max="10" width="9.28515625" style="44" bestFit="1" customWidth="1"/>
    <col min="11" max="16384" width="9.140625" style="44"/>
  </cols>
  <sheetData>
    <row r="1" spans="1:5" ht="13.5" thickBot="1" x14ac:dyDescent="0.25">
      <c r="A1" s="260" t="s">
        <v>383</v>
      </c>
      <c r="B1" s="261"/>
      <c r="C1" s="261"/>
      <c r="D1" s="261"/>
      <c r="E1" s="261"/>
    </row>
    <row r="2" spans="1:5" ht="13.5" thickBot="1" x14ac:dyDescent="0.25">
      <c r="A2" s="45" t="s">
        <v>384</v>
      </c>
      <c r="B2" s="46" t="s">
        <v>385</v>
      </c>
      <c r="C2" s="46" t="s">
        <v>386</v>
      </c>
      <c r="D2" s="46" t="s">
        <v>7</v>
      </c>
      <c r="E2" s="46" t="s">
        <v>326</v>
      </c>
    </row>
    <row r="3" spans="1:5" ht="13.5" thickBot="1" x14ac:dyDescent="0.25">
      <c r="A3" s="47" t="s">
        <v>387</v>
      </c>
      <c r="B3" s="48">
        <f>SUM(B4:B7)</f>
        <v>81716000</v>
      </c>
      <c r="C3" s="48">
        <f>SUM(C4:C7)</f>
        <v>0</v>
      </c>
      <c r="D3" s="48">
        <f>B3+C3</f>
        <v>81716000</v>
      </c>
      <c r="E3" s="49">
        <f t="shared" ref="E3:E13" si="0">D3/$D$14*100</f>
        <v>90.795555555555552</v>
      </c>
    </row>
    <row r="4" spans="1:5" ht="12.75" customHeight="1" thickBot="1" x14ac:dyDescent="0.25">
      <c r="A4" s="50" t="str">
        <f>'Presupuesto Detallado'!C4</f>
        <v>Componente I: Consolidación de la Oferta de Turismo Cultural</v>
      </c>
      <c r="B4" s="51">
        <f>'Presupuesto Detallado'!D4</f>
        <v>49160000</v>
      </c>
      <c r="C4" s="52">
        <v>0</v>
      </c>
      <c r="D4" s="48">
        <f t="shared" ref="D4:D14" si="1">B4+C4</f>
        <v>49160000</v>
      </c>
      <c r="E4" s="49">
        <f t="shared" si="0"/>
        <v>54.622222222222227</v>
      </c>
    </row>
    <row r="5" spans="1:5" ht="24.75" thickBot="1" x14ac:dyDescent="0.25">
      <c r="A5" s="50" t="str">
        <f>'Presupuesto Detallado'!C48</f>
        <v>Componente II. Mejora de las condiciones de habitabilidad para los residentes de la CCSD</v>
      </c>
      <c r="B5" s="51">
        <f>'Presupuesto Detallado'!D48</f>
        <v>11692000</v>
      </c>
      <c r="C5" s="51">
        <v>0</v>
      </c>
      <c r="D5" s="48">
        <f t="shared" si="1"/>
        <v>11692000</v>
      </c>
      <c r="E5" s="49">
        <f t="shared" si="0"/>
        <v>12.991111111111111</v>
      </c>
    </row>
    <row r="6" spans="1:5" ht="26.25" customHeight="1" thickBot="1" x14ac:dyDescent="0.25">
      <c r="A6" s="50" t="str">
        <f>'Presupuesto Detallado'!C70</f>
        <v>Componente III. Desarrollo de las Económias Locales</v>
      </c>
      <c r="B6" s="51">
        <f>'Presupuesto Detallado'!D70</f>
        <v>10046000</v>
      </c>
      <c r="C6" s="51">
        <v>0</v>
      </c>
      <c r="D6" s="48">
        <f t="shared" si="1"/>
        <v>10046000</v>
      </c>
      <c r="E6" s="49">
        <f t="shared" si="0"/>
        <v>11.162222222222223</v>
      </c>
    </row>
    <row r="7" spans="1:5" ht="26.25" customHeight="1" thickBot="1" x14ac:dyDescent="0.25">
      <c r="A7" s="50" t="str">
        <f>'Presupuesto Detallado'!C88</f>
        <v>Componente IV. Fortalecimiento de la Gestión Turística Cultural y Urbana</v>
      </c>
      <c r="B7" s="51">
        <f>'Presupuesto Detallado'!D88</f>
        <v>10818000</v>
      </c>
      <c r="C7" s="51">
        <v>0</v>
      </c>
      <c r="D7" s="48">
        <f t="shared" si="1"/>
        <v>10818000</v>
      </c>
      <c r="E7" s="49">
        <f t="shared" si="0"/>
        <v>12.02</v>
      </c>
    </row>
    <row r="8" spans="1:5" ht="13.5" thickBot="1" x14ac:dyDescent="0.25">
      <c r="A8" s="47" t="s">
        <v>388</v>
      </c>
      <c r="B8" s="48">
        <f>SUM(B9:B12)</f>
        <v>5684000</v>
      </c>
      <c r="C8" s="48">
        <f>SUM(C9:C12)</f>
        <v>0</v>
      </c>
      <c r="D8" s="48">
        <f t="shared" si="1"/>
        <v>5684000</v>
      </c>
      <c r="E8" s="49">
        <f t="shared" si="0"/>
        <v>6.315555555555556</v>
      </c>
    </row>
    <row r="9" spans="1:5" ht="13.5" thickBot="1" x14ac:dyDescent="0.25">
      <c r="A9" s="50" t="s">
        <v>389</v>
      </c>
      <c r="B9" s="51">
        <f>'Presupuesto Detallado'!D142</f>
        <v>4484000</v>
      </c>
      <c r="C9" s="52">
        <v>0</v>
      </c>
      <c r="D9" s="48">
        <f t="shared" si="1"/>
        <v>4484000</v>
      </c>
      <c r="E9" s="49">
        <f t="shared" si="0"/>
        <v>4.9822222222222221</v>
      </c>
    </row>
    <row r="10" spans="1:5" ht="13.5" thickBot="1" x14ac:dyDescent="0.25">
      <c r="A10" s="50" t="s">
        <v>390</v>
      </c>
      <c r="B10" s="51">
        <f>SUM('Presupuesto Detallado'!D171:D173)</f>
        <v>600000</v>
      </c>
      <c r="C10" s="52">
        <v>0</v>
      </c>
      <c r="D10" s="48">
        <f t="shared" si="1"/>
        <v>600000</v>
      </c>
      <c r="E10" s="49">
        <f t="shared" si="0"/>
        <v>0.66666666666666674</v>
      </c>
    </row>
    <row r="11" spans="1:5" ht="13.5" thickBot="1" x14ac:dyDescent="0.25">
      <c r="A11" s="50" t="s">
        <v>391</v>
      </c>
      <c r="B11" s="51">
        <f>'Presupuesto Detallado'!D175</f>
        <v>350000</v>
      </c>
      <c r="C11" s="52"/>
      <c r="D11" s="48">
        <f t="shared" si="1"/>
        <v>350000</v>
      </c>
      <c r="E11" s="49">
        <f t="shared" si="0"/>
        <v>0.3888888888888889</v>
      </c>
    </row>
    <row r="12" spans="1:5" ht="13.5" thickBot="1" x14ac:dyDescent="0.25">
      <c r="A12" s="50" t="s">
        <v>392</v>
      </c>
      <c r="B12" s="51">
        <f>'Presupuesto Detallado'!D174</f>
        <v>250000</v>
      </c>
      <c r="C12" s="52">
        <v>0</v>
      </c>
      <c r="D12" s="48">
        <f t="shared" si="1"/>
        <v>250000</v>
      </c>
      <c r="E12" s="49">
        <f t="shared" si="0"/>
        <v>0.27777777777777779</v>
      </c>
    </row>
    <row r="13" spans="1:5" ht="13.5" thickBot="1" x14ac:dyDescent="0.25">
      <c r="A13" s="47" t="s">
        <v>393</v>
      </c>
      <c r="B13" s="51">
        <f>'Presupuesto Detallado'!D176</f>
        <v>2600000</v>
      </c>
      <c r="C13" s="52"/>
      <c r="D13" s="48">
        <f t="shared" si="1"/>
        <v>2600000</v>
      </c>
      <c r="E13" s="49">
        <f t="shared" si="0"/>
        <v>2.8888888888888888</v>
      </c>
    </row>
    <row r="14" spans="1:5" ht="13.5" thickBot="1" x14ac:dyDescent="0.25">
      <c r="A14" s="53" t="s">
        <v>7</v>
      </c>
      <c r="B14" s="54">
        <f>B8+B3+B13</f>
        <v>90000000</v>
      </c>
      <c r="C14" s="54">
        <f>C8+C3</f>
        <v>0</v>
      </c>
      <c r="D14" s="54">
        <f t="shared" si="1"/>
        <v>90000000</v>
      </c>
      <c r="E14" s="55">
        <f>D14/$D$14*100</f>
        <v>100</v>
      </c>
    </row>
    <row r="15" spans="1:5" ht="13.5" thickBot="1" x14ac:dyDescent="0.25">
      <c r="A15" s="53" t="s">
        <v>326</v>
      </c>
      <c r="B15" s="56">
        <f>B14/D14*100</f>
        <v>100</v>
      </c>
      <c r="C15" s="174">
        <f>C14/D14*100</f>
        <v>0</v>
      </c>
      <c r="D15" s="56">
        <f t="shared" ref="D15" si="2">B15+C15</f>
        <v>100</v>
      </c>
      <c r="E15" s="56"/>
    </row>
    <row r="20" spans="2:10" ht="13.5" thickBot="1" x14ac:dyDescent="0.25">
      <c r="B20" s="262" t="s">
        <v>394</v>
      </c>
      <c r="C20" s="263"/>
      <c r="D20" s="263"/>
      <c r="E20" s="263"/>
      <c r="F20" s="263"/>
      <c r="G20" s="264"/>
      <c r="H20" s="264"/>
      <c r="I20" s="264"/>
      <c r="J20" s="264"/>
    </row>
    <row r="21" spans="2:10" ht="15.75" thickBot="1" x14ac:dyDescent="0.3">
      <c r="B21" s="57" t="s">
        <v>395</v>
      </c>
      <c r="C21" s="58" t="s">
        <v>327</v>
      </c>
      <c r="D21" s="58" t="s">
        <v>328</v>
      </c>
      <c r="E21" s="58" t="s">
        <v>329</v>
      </c>
      <c r="F21" s="58" t="s">
        <v>330</v>
      </c>
      <c r="G21" s="58" t="s">
        <v>331</v>
      </c>
      <c r="H21" s="58" t="s">
        <v>332</v>
      </c>
      <c r="I21" s="59" t="s">
        <v>7</v>
      </c>
      <c r="J21" s="60" t="s">
        <v>326</v>
      </c>
    </row>
    <row r="22" spans="2:10" ht="13.5" thickBot="1" x14ac:dyDescent="0.25">
      <c r="B22" s="61" t="s">
        <v>385</v>
      </c>
      <c r="C22" s="62">
        <f>$B$14*C25/100</f>
        <v>4452646.666666667</v>
      </c>
      <c r="D22" s="62">
        <f t="shared" ref="D22:G22" si="3">$B$14*D25/100</f>
        <v>8890666.666666666</v>
      </c>
      <c r="E22" s="62">
        <f t="shared" si="3"/>
        <v>12347566.666666664</v>
      </c>
      <c r="F22" s="62">
        <f t="shared" si="3"/>
        <v>16848166.666666668</v>
      </c>
      <c r="G22" s="62">
        <f t="shared" si="3"/>
        <v>23731716.666666672</v>
      </c>
      <c r="H22" s="62">
        <f t="shared" ref="H22" si="4">$B$14*H25/100</f>
        <v>23729236.666666672</v>
      </c>
      <c r="I22" s="63">
        <f>SUM(C22:H22)</f>
        <v>90000000</v>
      </c>
      <c r="J22" s="64">
        <f>I22/I24*100</f>
        <v>100</v>
      </c>
    </row>
    <row r="23" spans="2:10" ht="13.5" thickBot="1" x14ac:dyDescent="0.25">
      <c r="B23" s="61" t="s">
        <v>386</v>
      </c>
      <c r="C23" s="62">
        <f t="shared" ref="C23:H23" si="5">$C$12*C25/100</f>
        <v>0</v>
      </c>
      <c r="D23" s="62">
        <f t="shared" si="5"/>
        <v>0</v>
      </c>
      <c r="E23" s="62">
        <f t="shared" si="5"/>
        <v>0</v>
      </c>
      <c r="F23" s="62">
        <f t="shared" si="5"/>
        <v>0</v>
      </c>
      <c r="G23" s="62">
        <f t="shared" si="5"/>
        <v>0</v>
      </c>
      <c r="H23" s="62">
        <f t="shared" si="5"/>
        <v>0</v>
      </c>
      <c r="I23" s="63">
        <f>SUM(C23:G23)</f>
        <v>0</v>
      </c>
      <c r="J23" s="64">
        <f>I23/I24*100</f>
        <v>0</v>
      </c>
    </row>
    <row r="24" spans="2:10" ht="13.5" thickBot="1" x14ac:dyDescent="0.25">
      <c r="B24" s="65" t="s">
        <v>7</v>
      </c>
      <c r="C24" s="66">
        <f>'Plan de Ejecución Plurianual'!D2</f>
        <v>4452646.666666667</v>
      </c>
      <c r="D24" s="66">
        <f t="shared" ref="D24:G24" si="6">D22+D23</f>
        <v>8890666.666666666</v>
      </c>
      <c r="E24" s="66">
        <f t="shared" si="6"/>
        <v>12347566.666666664</v>
      </c>
      <c r="F24" s="66">
        <f t="shared" si="6"/>
        <v>16848166.666666668</v>
      </c>
      <c r="G24" s="66">
        <f t="shared" si="6"/>
        <v>23731716.666666672</v>
      </c>
      <c r="H24" s="66">
        <f t="shared" ref="H24" si="7">H22+H23</f>
        <v>23729236.666666672</v>
      </c>
      <c r="I24" s="66">
        <f>I22+I23</f>
        <v>90000000</v>
      </c>
      <c r="J24" s="67">
        <v>100</v>
      </c>
    </row>
    <row r="25" spans="2:10" ht="13.5" thickBot="1" x14ac:dyDescent="0.25">
      <c r="B25" s="68" t="s">
        <v>326</v>
      </c>
      <c r="C25" s="69">
        <f>'Plan de Ejecución Plurianual'!C2</f>
        <v>4.9473851851851851</v>
      </c>
      <c r="D25" s="69">
        <f>'Plan de Ejecución Plurianual'!E2</f>
        <v>9.8785185185185185</v>
      </c>
      <c r="E25" s="69">
        <f>'Plan de Ejecución Plurianual'!G2</f>
        <v>13.719518518518518</v>
      </c>
      <c r="F25" s="69">
        <f>'Plan de Ejecución Plurianual'!I2</f>
        <v>18.720185185185187</v>
      </c>
      <c r="G25" s="69">
        <f>'Plan de Ejecución Plurianual'!K2</f>
        <v>26.368574074074075</v>
      </c>
      <c r="H25" s="69">
        <f>'Plan de Ejecución Plurianual'!M2</f>
        <v>26.36581851851852</v>
      </c>
      <c r="I25" s="69">
        <f>SUM(C25:H25)</f>
        <v>100</v>
      </c>
      <c r="J25" s="70"/>
    </row>
  </sheetData>
  <mergeCells count="2">
    <mergeCell ref="A1:E1"/>
    <mergeCell ref="B20:J20"/>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169"/>
  <sheetViews>
    <sheetView topLeftCell="F13" zoomScale="394" zoomScaleNormal="394" workbookViewId="0">
      <selection activeCell="D121" sqref="D121"/>
    </sheetView>
  </sheetViews>
  <sheetFormatPr defaultRowHeight="14.25" x14ac:dyDescent="0.2"/>
  <cols>
    <col min="1" max="1" width="7.85546875" style="92" bestFit="1" customWidth="1"/>
    <col min="2" max="2" width="72.85546875" style="93" customWidth="1"/>
    <col min="3" max="3" width="17.5703125" style="94" customWidth="1"/>
    <col min="4" max="4" width="16.42578125" style="93" customWidth="1"/>
    <col min="5" max="5" width="24.42578125" style="93" customWidth="1"/>
    <col min="6" max="6" width="22.7109375" style="93" customWidth="1"/>
    <col min="7" max="7" width="18" style="94" customWidth="1"/>
    <col min="8" max="8" width="31" style="94" bestFit="1" customWidth="1"/>
    <col min="9" max="9" width="17.28515625" style="93" customWidth="1"/>
    <col min="10" max="10" width="16.140625" style="93" customWidth="1"/>
    <col min="11" max="11" width="93" style="93" customWidth="1"/>
    <col min="12" max="16384" width="9.140625" style="85"/>
  </cols>
  <sheetData>
    <row r="1" spans="1:11" ht="108" customHeight="1" x14ac:dyDescent="0.25">
      <c r="A1" s="242" t="str">
        <f>'Presupuesto Detallado'!C1</f>
        <v xml:space="preserve">PROGRAMA INTEGRAL DE DESARROLLO TURISTICO Y URBANO DE LA CCSD (PIDTUR-CC)
ESQUEMA PRESUPUESTARIO , ESTRUCTURA DESGLOSADA
</v>
      </c>
      <c r="B1" s="243"/>
      <c r="C1" s="243"/>
      <c r="D1" s="243"/>
      <c r="E1" s="243"/>
      <c r="F1" s="243"/>
      <c r="G1" s="243"/>
      <c r="H1" s="243"/>
      <c r="I1" s="243"/>
      <c r="J1" s="243"/>
      <c r="K1" s="243"/>
    </row>
    <row r="2" spans="1:11" ht="15" x14ac:dyDescent="0.2">
      <c r="A2" s="244" t="s">
        <v>339</v>
      </c>
      <c r="B2" s="244"/>
      <c r="C2" s="244"/>
      <c r="D2" s="244"/>
      <c r="E2" s="244"/>
      <c r="F2" s="244"/>
      <c r="G2" s="244"/>
      <c r="H2" s="244"/>
      <c r="I2" s="244"/>
      <c r="J2" s="244"/>
      <c r="K2" s="244"/>
    </row>
    <row r="3" spans="1:11" ht="15" x14ac:dyDescent="0.2">
      <c r="I3" s="245" t="s">
        <v>340</v>
      </c>
      <c r="J3" s="246"/>
    </row>
    <row r="4" spans="1:11" ht="75" customHeight="1" x14ac:dyDescent="0.2">
      <c r="A4" s="95" t="s">
        <v>341</v>
      </c>
      <c r="B4" s="96" t="s">
        <v>342</v>
      </c>
      <c r="C4" s="96" t="s">
        <v>343</v>
      </c>
      <c r="D4" s="96" t="s">
        <v>344</v>
      </c>
      <c r="E4" s="96" t="s">
        <v>345</v>
      </c>
      <c r="F4" s="96" t="s">
        <v>346</v>
      </c>
      <c r="G4" s="96" t="s">
        <v>347</v>
      </c>
      <c r="H4" s="96" t="s">
        <v>348</v>
      </c>
      <c r="I4" s="96" t="s">
        <v>349</v>
      </c>
      <c r="J4" s="96" t="s">
        <v>350</v>
      </c>
      <c r="K4" s="96" t="s">
        <v>351</v>
      </c>
    </row>
    <row r="5" spans="1:11" ht="29.25" customHeight="1" thickBot="1" x14ac:dyDescent="0.25">
      <c r="A5" s="236" t="s">
        <v>352</v>
      </c>
      <c r="B5" s="237"/>
      <c r="C5" s="237"/>
      <c r="D5" s="237"/>
      <c r="E5" s="237"/>
      <c r="F5" s="237"/>
      <c r="G5" s="237"/>
      <c r="H5" s="237"/>
      <c r="I5" s="237"/>
      <c r="J5" s="237"/>
      <c r="K5" s="238"/>
    </row>
    <row r="6" spans="1:11" ht="18" customHeight="1" x14ac:dyDescent="0.2">
      <c r="A6" s="97">
        <v>1</v>
      </c>
      <c r="B6" s="88" t="str">
        <f>'Presupuesto Detallado'!C17</f>
        <v>Especialista de proyectos de infraestructura</v>
      </c>
      <c r="C6" s="98" t="s">
        <v>353</v>
      </c>
      <c r="D6" s="99" t="s">
        <v>354</v>
      </c>
      <c r="E6" s="100">
        <f>'Presupuesto Detallado'!D17</f>
        <v>252000</v>
      </c>
      <c r="F6" s="98">
        <v>1</v>
      </c>
      <c r="G6" s="101" t="s">
        <v>355</v>
      </c>
      <c r="H6" s="101" t="s">
        <v>356</v>
      </c>
      <c r="I6" s="98">
        <v>2017</v>
      </c>
      <c r="J6" s="98">
        <v>2022</v>
      </c>
      <c r="K6" s="89"/>
    </row>
    <row r="7" spans="1:11" x14ac:dyDescent="0.2">
      <c r="A7" s="102">
        <f>A6+1</f>
        <v>2</v>
      </c>
      <c r="B7" s="88" t="str">
        <f>'Presupuesto Detallado'!C18</f>
        <v>Especialista de Oferta Turística Complementaria</v>
      </c>
      <c r="C7" s="98" t="s">
        <v>353</v>
      </c>
      <c r="D7" s="98" t="s">
        <v>354</v>
      </c>
      <c r="E7" s="100">
        <f>'Presupuesto Detallado'!D18</f>
        <v>252000</v>
      </c>
      <c r="F7" s="98">
        <v>1</v>
      </c>
      <c r="G7" s="101" t="s">
        <v>355</v>
      </c>
      <c r="H7" s="101" t="s">
        <v>356</v>
      </c>
      <c r="I7" s="98">
        <v>2017</v>
      </c>
      <c r="J7" s="98">
        <v>2022</v>
      </c>
      <c r="K7" s="90"/>
    </row>
    <row r="8" spans="1:11" ht="15" thickBot="1" x14ac:dyDescent="0.25">
      <c r="A8" s="102">
        <f t="shared" ref="A8:A23" si="0">A7+1</f>
        <v>3</v>
      </c>
      <c r="B8" s="88" t="str">
        <f>'Presupuesto Detallado'!C23</f>
        <v>Analista Especialista en Património</v>
      </c>
      <c r="C8" s="98"/>
      <c r="D8" s="98"/>
      <c r="E8" s="100">
        <f>'Presupuesto Detallado'!D23</f>
        <v>216000</v>
      </c>
      <c r="F8" s="98">
        <v>1</v>
      </c>
      <c r="G8" s="101" t="s">
        <v>355</v>
      </c>
      <c r="H8" s="101" t="s">
        <v>356</v>
      </c>
      <c r="I8" s="98">
        <v>2017</v>
      </c>
      <c r="J8" s="98">
        <v>2022</v>
      </c>
      <c r="K8" s="91"/>
    </row>
    <row r="9" spans="1:11" ht="28.5" x14ac:dyDescent="0.2">
      <c r="A9" s="102">
        <f t="shared" si="0"/>
        <v>4</v>
      </c>
      <c r="B9" s="88" t="str">
        <f>'Presupuesto Detallado'!C29</f>
        <v xml:space="preserve">PROYECTO Y SUPERVISIÓN DE OBRA:  Adecuación y Mantenimiento Planta Física Alcázar de Colón </v>
      </c>
      <c r="C9" s="98" t="s">
        <v>353</v>
      </c>
      <c r="D9" s="99" t="s">
        <v>354</v>
      </c>
      <c r="E9" s="100">
        <f>'Presupuesto Detallado'!D29</f>
        <v>40000</v>
      </c>
      <c r="F9" s="98">
        <v>1</v>
      </c>
      <c r="G9" s="101" t="s">
        <v>355</v>
      </c>
      <c r="H9" s="101" t="s">
        <v>356</v>
      </c>
      <c r="I9" s="98">
        <v>2017</v>
      </c>
      <c r="J9" s="98">
        <v>2019</v>
      </c>
      <c r="K9" s="89"/>
    </row>
    <row r="10" spans="1:11" x14ac:dyDescent="0.2">
      <c r="A10" s="102">
        <f t="shared" si="0"/>
        <v>5</v>
      </c>
      <c r="B10" s="88" t="str">
        <f>'Presupuesto Detallado'!C37</f>
        <v xml:space="preserve">Especialista de Museos </v>
      </c>
      <c r="C10" s="98"/>
      <c r="D10" s="99"/>
      <c r="E10" s="100">
        <f>'Presupuesto Detallado'!D37</f>
        <v>252000</v>
      </c>
      <c r="F10" s="98">
        <v>1</v>
      </c>
      <c r="G10" s="101" t="s">
        <v>355</v>
      </c>
      <c r="H10" s="101" t="s">
        <v>356</v>
      </c>
      <c r="I10" s="98">
        <v>2017</v>
      </c>
      <c r="J10" s="98">
        <v>2019</v>
      </c>
      <c r="K10" s="91"/>
    </row>
    <row r="11" spans="1:11" ht="28.5" x14ac:dyDescent="0.2">
      <c r="A11" s="102">
        <f t="shared" si="0"/>
        <v>6</v>
      </c>
      <c r="B11" s="88" t="str">
        <f>'Presupuesto Detallado'!C52</f>
        <v>Estudios historicos del entorno (evolución de la zona, del inmueble y estudio de arqueología del color en laboratorio).</v>
      </c>
      <c r="C11" s="98" t="s">
        <v>353</v>
      </c>
      <c r="D11" s="98" t="s">
        <v>354</v>
      </c>
      <c r="E11" s="100">
        <f>'Presupuesto Detallado'!D52</f>
        <v>50000</v>
      </c>
      <c r="F11" s="98">
        <v>2</v>
      </c>
      <c r="G11" s="101" t="s">
        <v>355</v>
      </c>
      <c r="H11" s="101" t="s">
        <v>356</v>
      </c>
      <c r="I11" s="98">
        <v>2017</v>
      </c>
      <c r="J11" s="98">
        <v>2018</v>
      </c>
      <c r="K11" s="90"/>
    </row>
    <row r="12" spans="1:11" ht="42.75" x14ac:dyDescent="0.2">
      <c r="A12" s="102">
        <f t="shared" si="0"/>
        <v>7</v>
      </c>
      <c r="B12" s="88" t="str">
        <f>'Presupuesto Detallado'!C55</f>
        <v>Capacitacion y seguimiento a las familias. Incluye: trabajo social para empoderar y capacitar a las familias en educacion financiera y en construccion entre otros</v>
      </c>
      <c r="C12" s="98" t="s">
        <v>353</v>
      </c>
      <c r="D12" s="98" t="s">
        <v>354</v>
      </c>
      <c r="E12" s="100">
        <f>'Presupuesto Detallado'!E55</f>
        <v>60000</v>
      </c>
      <c r="F12" s="98">
        <v>2</v>
      </c>
      <c r="G12" s="101" t="s">
        <v>355</v>
      </c>
      <c r="H12" s="101" t="s">
        <v>356</v>
      </c>
      <c r="I12" s="98">
        <v>2017</v>
      </c>
      <c r="J12" s="98">
        <v>2020</v>
      </c>
      <c r="K12" s="90"/>
    </row>
    <row r="13" spans="1:11" x14ac:dyDescent="0.2">
      <c r="A13" s="102">
        <f t="shared" si="0"/>
        <v>8</v>
      </c>
      <c r="B13" s="88" t="str">
        <f>'Presupuesto Detallado'!C56</f>
        <v>Especialista gestión social y vivienda</v>
      </c>
      <c r="C13" s="98"/>
      <c r="D13" s="98"/>
      <c r="E13" s="100">
        <f>'Presupuesto Detallado'!E56</f>
        <v>252000</v>
      </c>
      <c r="F13" s="98">
        <v>2</v>
      </c>
      <c r="G13" s="101" t="s">
        <v>355</v>
      </c>
      <c r="H13" s="101" t="s">
        <v>356</v>
      </c>
      <c r="I13" s="98">
        <v>2017</v>
      </c>
      <c r="J13" s="98">
        <v>2022</v>
      </c>
      <c r="K13" s="90"/>
    </row>
    <row r="14" spans="1:11" ht="87" customHeight="1" x14ac:dyDescent="0.2">
      <c r="A14" s="102">
        <f t="shared" si="0"/>
        <v>9</v>
      </c>
      <c r="B14" s="88" t="str">
        <f>'Presupuesto Detallado'!C58</f>
        <v>Actualización de reglamento operativo del Programa de recuperacion de Fachadas. Incluye definición de: a)  criterios de selección de beneficiarios; b) modelo financiero; c) esquemas de articulación con otros acciones de la operación;  d) mecanismos de ejecución y supervisión; e) seguimiento y control; y f) propuesta de mecanismos de recuperacion total o parcial de la inversion publica en fachadas a traves de mecanismos de captura de plusvalias y/o cofinanciacion.</v>
      </c>
      <c r="C14" s="98" t="s">
        <v>353</v>
      </c>
      <c r="D14" s="98" t="s">
        <v>354</v>
      </c>
      <c r="E14" s="100">
        <f>'Presupuesto Detallado'!E58</f>
        <v>25000</v>
      </c>
      <c r="F14" s="98">
        <v>2</v>
      </c>
      <c r="G14" s="101" t="s">
        <v>355</v>
      </c>
      <c r="H14" s="101" t="s">
        <v>356</v>
      </c>
      <c r="I14" s="98">
        <v>2017</v>
      </c>
      <c r="J14" s="98">
        <v>2017</v>
      </c>
      <c r="K14" s="90"/>
    </row>
    <row r="15" spans="1:11" ht="23.25" customHeight="1" x14ac:dyDescent="0.2">
      <c r="A15" s="102">
        <f t="shared" si="0"/>
        <v>10</v>
      </c>
      <c r="B15" s="88" t="str">
        <f>'Presupuesto Detallado'!C87</f>
        <v xml:space="preserve">Especialista en gestión  cultural </v>
      </c>
      <c r="C15" s="98"/>
      <c r="D15" s="98"/>
      <c r="E15" s="100">
        <f>'Presupuesto Detallado'!D87</f>
        <v>216000</v>
      </c>
      <c r="F15" s="98">
        <v>3</v>
      </c>
      <c r="G15" s="101" t="s">
        <v>355</v>
      </c>
      <c r="H15" s="101" t="s">
        <v>356</v>
      </c>
      <c r="I15" s="98">
        <v>2017</v>
      </c>
      <c r="J15" s="98">
        <v>2022</v>
      </c>
      <c r="K15" s="90"/>
    </row>
    <row r="16" spans="1:11" ht="23.25" customHeight="1" x14ac:dyDescent="0.2">
      <c r="A16" s="102">
        <f t="shared" si="0"/>
        <v>11</v>
      </c>
      <c r="B16" s="88" t="str">
        <f>'Presupuesto Detallado'!C101</f>
        <v>Especialista Gestión Turística</v>
      </c>
      <c r="C16" s="98"/>
      <c r="D16" s="98"/>
      <c r="E16" s="100">
        <f>'Presupuesto Detallado'!D101</f>
        <v>252000</v>
      </c>
      <c r="F16" s="98">
        <v>3</v>
      </c>
      <c r="G16" s="101" t="s">
        <v>355</v>
      </c>
      <c r="H16" s="101" t="s">
        <v>356</v>
      </c>
      <c r="I16" s="98">
        <v>2017</v>
      </c>
      <c r="J16" s="98">
        <v>2022</v>
      </c>
      <c r="K16" s="90"/>
    </row>
    <row r="17" spans="1:11" ht="23.25" customHeight="1" x14ac:dyDescent="0.2">
      <c r="A17" s="102">
        <f t="shared" si="0"/>
        <v>12</v>
      </c>
      <c r="B17" s="88" t="str">
        <f>'Presupuesto Detallado'!C106</f>
        <v>Analista Técnico Planificación</v>
      </c>
      <c r="C17" s="98"/>
      <c r="D17" s="98"/>
      <c r="E17" s="100">
        <f>'Presupuesto Detallado'!D106</f>
        <v>216000</v>
      </c>
      <c r="F17" s="98">
        <v>3</v>
      </c>
      <c r="G17" s="101" t="s">
        <v>355</v>
      </c>
      <c r="H17" s="101" t="s">
        <v>356</v>
      </c>
      <c r="I17" s="98">
        <v>2017</v>
      </c>
      <c r="J17" s="98">
        <v>2022</v>
      </c>
      <c r="K17" s="90"/>
    </row>
    <row r="18" spans="1:11" ht="28.5" customHeight="1" x14ac:dyDescent="0.2">
      <c r="A18" s="102">
        <f t="shared" si="0"/>
        <v>13</v>
      </c>
      <c r="B18" s="88" t="str">
        <f>'Presupuesto Detallado'!C108</f>
        <v>Diseño e implementación Plan de Rutas Turística. Talleres, socialización, implementación de rutas.alianza tour operadores para puesta en operación de las rutas.  Creacion de aplicacion inteligente.</v>
      </c>
      <c r="C18" s="98" t="s">
        <v>353</v>
      </c>
      <c r="D18" s="98" t="s">
        <v>354</v>
      </c>
      <c r="E18" s="100">
        <f>'Presupuesto Detallado'!E108</f>
        <v>250000</v>
      </c>
      <c r="F18" s="98">
        <v>4</v>
      </c>
      <c r="G18" s="101" t="s">
        <v>355</v>
      </c>
      <c r="H18" s="101" t="s">
        <v>356</v>
      </c>
      <c r="I18" s="98">
        <v>2017</v>
      </c>
      <c r="J18" s="98">
        <v>2017</v>
      </c>
      <c r="K18" s="90"/>
    </row>
    <row r="19" spans="1:11" ht="36" customHeight="1" x14ac:dyDescent="0.2">
      <c r="A19" s="102">
        <f t="shared" si="0"/>
        <v>14</v>
      </c>
      <c r="B19" s="88" t="str">
        <f>'Presupuesto Detallado'!C117</f>
        <v>1. Desarrollo de propuesta de actualización del marco normativo del ADN sobre patrimonio, urbanismo, inversión, movilidad, aseo público, y gestión del suelo y desarrollar normativas complementarias para mecanismos de seguimiento y control. (Especialistas - Patrimonialista, Urbanista y Abogado) 3 espertos*10 meses * 3.200 honorários= 96.000</v>
      </c>
      <c r="C19" s="98" t="s">
        <v>353</v>
      </c>
      <c r="D19" s="98" t="s">
        <v>354</v>
      </c>
      <c r="E19" s="100">
        <f>'Presupuesto Detallado'!E117</f>
        <v>100000</v>
      </c>
      <c r="F19" s="98">
        <v>4</v>
      </c>
      <c r="G19" s="101" t="s">
        <v>355</v>
      </c>
      <c r="H19" s="101" t="s">
        <v>356</v>
      </c>
      <c r="I19" s="98">
        <v>2017</v>
      </c>
      <c r="J19" s="98">
        <v>2017</v>
      </c>
      <c r="K19" s="88"/>
    </row>
    <row r="20" spans="1:11" ht="28.5" x14ac:dyDescent="0.2">
      <c r="A20" s="102">
        <f t="shared" si="0"/>
        <v>15</v>
      </c>
      <c r="B20" s="103" t="str">
        <f>'Presupuesto Detallado'!C118</f>
        <v>2.  Apoyo al proceso de implementación de la normativa, incluyendo la adecuación de los procesos y de los sistemas operativos y administrativos</v>
      </c>
      <c r="C20" s="98" t="s">
        <v>353</v>
      </c>
      <c r="D20" s="98" t="s">
        <v>354</v>
      </c>
      <c r="E20" s="100">
        <f>'Presupuesto Detallado'!E118</f>
        <v>450000</v>
      </c>
      <c r="F20" s="98">
        <v>4</v>
      </c>
      <c r="G20" s="101" t="s">
        <v>355</v>
      </c>
      <c r="H20" s="101" t="s">
        <v>357</v>
      </c>
      <c r="I20" s="98">
        <v>2018</v>
      </c>
      <c r="J20" s="98">
        <v>2020</v>
      </c>
      <c r="K20" s="103"/>
    </row>
    <row r="21" spans="1:11" ht="30" customHeight="1" x14ac:dyDescent="0.2">
      <c r="A21" s="102">
        <f t="shared" si="0"/>
        <v>16</v>
      </c>
      <c r="B21" s="103" t="str">
        <f>'Presupuesto Detallado'!C127</f>
        <v>3. Fortalecimiento del personal para apoyar las funciones de la DNPM</v>
      </c>
      <c r="C21" s="98" t="s">
        <v>353</v>
      </c>
      <c r="D21" s="98" t="s">
        <v>354</v>
      </c>
      <c r="E21" s="100">
        <f>'Presupuesto Detallado'!E127</f>
        <v>375000</v>
      </c>
      <c r="F21" s="98">
        <v>4</v>
      </c>
      <c r="G21" s="101" t="s">
        <v>355</v>
      </c>
      <c r="H21" s="101" t="s">
        <v>356</v>
      </c>
      <c r="I21" s="98">
        <v>2017</v>
      </c>
      <c r="J21" s="98">
        <v>2022</v>
      </c>
      <c r="K21" s="103"/>
    </row>
    <row r="22" spans="1:11" ht="36.75" customHeight="1" x14ac:dyDescent="0.2">
      <c r="A22" s="102">
        <f t="shared" si="0"/>
        <v>17</v>
      </c>
      <c r="B22" s="104" t="str">
        <f>'Presupuesto Detallado'!C142</f>
        <v>PRODUCTO 5.1: Personal de la Unidad - Honorarios Profesionales 1/</v>
      </c>
      <c r="C22" s="98" t="s">
        <v>353</v>
      </c>
      <c r="D22" s="98" t="s">
        <v>354</v>
      </c>
      <c r="E22" s="100">
        <f>'Presupuesto Detallado'!E142</f>
        <v>4484000</v>
      </c>
      <c r="F22" s="98">
        <v>5</v>
      </c>
      <c r="G22" s="101" t="s">
        <v>355</v>
      </c>
      <c r="H22" s="101" t="s">
        <v>356</v>
      </c>
      <c r="I22" s="98">
        <v>2017</v>
      </c>
      <c r="J22" s="98">
        <v>2022</v>
      </c>
      <c r="K22" s="103"/>
    </row>
    <row r="23" spans="1:11" ht="22.5" customHeight="1" x14ac:dyDescent="0.2">
      <c r="A23" s="102">
        <f t="shared" si="0"/>
        <v>18</v>
      </c>
      <c r="B23" s="103" t="str">
        <f>'Presupuesto Detallado'!C175</f>
        <v>PRODUCTO 5.7: EVALUACIÓN Y MONITOREO</v>
      </c>
      <c r="C23" s="98" t="s">
        <v>353</v>
      </c>
      <c r="D23" s="98" t="s">
        <v>354</v>
      </c>
      <c r="E23" s="100">
        <f>'Presupuesto Detallado'!E175</f>
        <v>350000</v>
      </c>
      <c r="F23" s="98">
        <v>5</v>
      </c>
      <c r="G23" s="101" t="s">
        <v>355</v>
      </c>
      <c r="H23" s="101" t="s">
        <v>356</v>
      </c>
      <c r="I23" s="98">
        <v>2017</v>
      </c>
      <c r="J23" s="98">
        <v>2022</v>
      </c>
      <c r="K23" s="103"/>
    </row>
    <row r="24" spans="1:11" ht="15" x14ac:dyDescent="0.2">
      <c r="A24" s="105"/>
      <c r="B24" s="106"/>
      <c r="C24" s="107"/>
      <c r="D24" s="107"/>
      <c r="E24" s="108">
        <f>SUM(E6:E23)</f>
        <v>8092000</v>
      </c>
      <c r="F24" s="107"/>
      <c r="G24" s="109"/>
      <c r="H24" s="109"/>
      <c r="I24" s="107"/>
      <c r="J24" s="107"/>
      <c r="K24" s="110"/>
    </row>
    <row r="25" spans="1:11" ht="15.75" thickBot="1" x14ac:dyDescent="0.25">
      <c r="A25" s="239" t="s">
        <v>360</v>
      </c>
      <c r="B25" s="240"/>
      <c r="C25" s="240"/>
      <c r="D25" s="240"/>
      <c r="E25" s="240"/>
      <c r="F25" s="240"/>
      <c r="G25" s="240"/>
      <c r="H25" s="240"/>
      <c r="I25" s="240"/>
      <c r="J25" s="240"/>
      <c r="K25" s="241"/>
    </row>
    <row r="26" spans="1:11" ht="134.25" customHeight="1" x14ac:dyDescent="0.2">
      <c r="A26" s="97">
        <v>1</v>
      </c>
      <c r="B26" s="195" t="str">
        <f>'Presupuesto Detallado'!C9</f>
        <v>Actualización diseño y supervisión de obras de reforma de calles priorizadas y estudios especializados (vulnerabilidad, estrategia intervención, movilidad, otros). (1.1.2, 1.1.3, 1.1.4).
Consiste en actualizar y ajustar el anteproyecto existente a los lineamientos definitivos de Fase I, contemplando los resultados de los estudios Geotécnico, Vulnerabilidad, Estrategia de Intervención, Movilidad durante la Obra; y ajustándose a la implementación del sistema de Movilidad Urbana y del manejo de los Residuos Sólidos, éstos dos últimos en coordinación con el Componente III.</v>
      </c>
      <c r="C26" s="196"/>
      <c r="D26" s="196"/>
      <c r="E26" s="197">
        <f>'Presupuesto Detallado'!F9</f>
        <v>550000</v>
      </c>
      <c r="F26" s="196">
        <v>1</v>
      </c>
      <c r="G26" s="198"/>
      <c r="H26" s="199"/>
      <c r="I26" s="199"/>
      <c r="J26" s="196"/>
      <c r="K26" s="106"/>
    </row>
    <row r="27" spans="1:11" ht="28.5" x14ac:dyDescent="0.2">
      <c r="A27" s="102">
        <f>A26+1</f>
        <v>2</v>
      </c>
      <c r="B27" s="195" t="str">
        <f>'Presupuesto Detallado'!C10</f>
        <v>ESTUDIO: Estrategia de intervención de calles.
Programación de trabajos y logística de etapas de obra</v>
      </c>
      <c r="C27" s="196"/>
      <c r="D27" s="196"/>
      <c r="E27" s="197">
        <f>'Presupuesto Detallado'!F10</f>
        <v>30000</v>
      </c>
      <c r="F27" s="196">
        <v>1</v>
      </c>
      <c r="G27" s="198"/>
      <c r="H27" s="199"/>
      <c r="I27" s="199"/>
      <c r="J27" s="196"/>
      <c r="K27" s="106"/>
    </row>
    <row r="28" spans="1:11" x14ac:dyDescent="0.2">
      <c r="A28" s="102">
        <f t="shared" ref="A28:A30" si="1">A27+1</f>
        <v>3</v>
      </c>
      <c r="B28" s="195" t="str">
        <f>'Presupuesto Detallado'!C22</f>
        <v>Supervisión de Obras</v>
      </c>
      <c r="C28" s="196"/>
      <c r="D28" s="196"/>
      <c r="E28" s="197">
        <f>'Presupuesto Detallado'!F22</f>
        <v>550000</v>
      </c>
      <c r="F28" s="196">
        <v>1</v>
      </c>
      <c r="G28" s="198"/>
      <c r="H28" s="199"/>
      <c r="I28" s="199"/>
      <c r="J28" s="196"/>
      <c r="K28" s="106"/>
    </row>
    <row r="29" spans="1:11" x14ac:dyDescent="0.2">
      <c r="A29" s="102">
        <f t="shared" si="1"/>
        <v>4</v>
      </c>
      <c r="B29" s="195" t="str">
        <f>'Presupuesto Detallado'!C39</f>
        <v>DIRECCIÓN y SUPERVISIÓN: Implementación Física PMUS</v>
      </c>
      <c r="C29" s="196"/>
      <c r="D29" s="196"/>
      <c r="E29" s="197">
        <f>'Presupuesto Detallado'!F39</f>
        <v>30000</v>
      </c>
      <c r="F29" s="196">
        <v>1</v>
      </c>
      <c r="G29" s="198"/>
      <c r="H29" s="199"/>
      <c r="I29" s="199"/>
      <c r="J29" s="196"/>
      <c r="K29" s="106"/>
    </row>
    <row r="30" spans="1:11" ht="28.5" x14ac:dyDescent="0.2">
      <c r="A30" s="102">
        <f t="shared" si="1"/>
        <v>5</v>
      </c>
      <c r="B30" s="195" t="str">
        <f>'Presupuesto Detallado'!C46</f>
        <v>SUPERVISIÓN: Ampliación 200 cámaras  (Diseño previsto en primer operación)</v>
      </c>
      <c r="C30" s="196"/>
      <c r="D30" s="196"/>
      <c r="E30" s="197">
        <f>'Presupuesto Detallado'!F46</f>
        <v>30000</v>
      </c>
      <c r="F30" s="196">
        <v>1</v>
      </c>
      <c r="G30" s="198"/>
      <c r="H30" s="199"/>
      <c r="I30" s="199"/>
      <c r="J30" s="196"/>
      <c r="K30" s="106"/>
    </row>
    <row r="31" spans="1:11" ht="17.25" customHeight="1" x14ac:dyDescent="0.2">
      <c r="A31" s="202"/>
      <c r="B31" s="203" t="s">
        <v>417</v>
      </c>
      <c r="C31" s="204" t="s">
        <v>353</v>
      </c>
      <c r="D31" s="204" t="s">
        <v>354</v>
      </c>
      <c r="E31" s="205">
        <f>SUM(E26:E30)</f>
        <v>1190000</v>
      </c>
      <c r="F31" s="204"/>
      <c r="G31" s="206" t="s">
        <v>355</v>
      </c>
      <c r="H31" s="207" t="s">
        <v>361</v>
      </c>
      <c r="I31" s="204">
        <v>2017</v>
      </c>
      <c r="J31" s="204">
        <v>2022</v>
      </c>
      <c r="K31" s="202"/>
    </row>
    <row r="32" spans="1:11" ht="57" x14ac:dyDescent="0.2">
      <c r="A32" s="102">
        <f>A30+1</f>
        <v>6</v>
      </c>
      <c r="B32" s="195" t="str">
        <f>'Presupuesto Detallado'!C25</f>
        <v>Realización Proyecto Ejecutivo y supervisión de la obra Proyecto Parque Lineal Ribera del Ozama (Paisajismo, Accesos Priorizados y conectividad: Estacionamientos, movilidad, accesos cruceristas, vínculos ribera este y oeste de la ría).</v>
      </c>
      <c r="C32" s="196"/>
      <c r="D32" s="196"/>
      <c r="E32" s="197">
        <f>'Presupuesto Detallado'!F25</f>
        <v>180000</v>
      </c>
      <c r="F32" s="196">
        <v>1</v>
      </c>
      <c r="G32" s="198"/>
      <c r="H32" s="199"/>
      <c r="I32" s="199"/>
      <c r="J32" s="196"/>
      <c r="K32" s="106"/>
    </row>
    <row r="33" spans="1:11" ht="28.5" x14ac:dyDescent="0.2">
      <c r="A33" s="102">
        <f>A32+1</f>
        <v>7</v>
      </c>
      <c r="B33" s="195" t="str">
        <f>'Presupuesto Detallado'!C33</f>
        <v xml:space="preserve">PROYECTO Y SUPERVISIÓN DE OBRA:  Adecuación y Mantenimiento Planta Física Museo Casas Reales y techado patios </v>
      </c>
      <c r="C33" s="196"/>
      <c r="D33" s="196"/>
      <c r="E33" s="197">
        <f>'Presupuesto Detallado'!F33</f>
        <v>120000</v>
      </c>
      <c r="F33" s="196">
        <v>1</v>
      </c>
      <c r="G33" s="198"/>
      <c r="H33" s="199"/>
      <c r="I33" s="199"/>
      <c r="J33" s="196"/>
      <c r="K33" s="106"/>
    </row>
    <row r="34" spans="1:11" ht="42.75" x14ac:dyDescent="0.2">
      <c r="A34" s="102">
        <f t="shared" ref="A34:A35" si="2">A33+1</f>
        <v>8</v>
      </c>
      <c r="B34" s="195" t="str">
        <f>'Presupuesto Detallado'!C66</f>
        <v>DISEÑO y SUPERVISIÓN: Reforma de plazas tradicionales y su entorno en sector norte de Ciudad Colonial: plaza de San Lázaro (1100 m2), plaza San Miguel (1620 m2) y Parque Colón (100 U$S/m2)</v>
      </c>
      <c r="C34" s="196"/>
      <c r="D34" s="196"/>
      <c r="E34" s="197">
        <f>'Presupuesto Detallado'!F66</f>
        <v>250000</v>
      </c>
      <c r="F34" s="196">
        <v>2</v>
      </c>
      <c r="G34" s="198"/>
      <c r="H34" s="199"/>
      <c r="I34" s="199"/>
      <c r="J34" s="196"/>
      <c r="K34" s="106"/>
    </row>
    <row r="35" spans="1:11" ht="28.5" x14ac:dyDescent="0.2">
      <c r="A35" s="102">
        <f t="shared" si="2"/>
        <v>9</v>
      </c>
      <c r="B35" s="195" t="str">
        <f>'Presupuesto Detallado'!C68</f>
        <v>DISEÑO Y SUPERVISIÓN DE OBRA: Reintegración de Fuertes y ronda de la Muralla. Estudio Arqueológico previo.</v>
      </c>
      <c r="C35" s="196"/>
      <c r="D35" s="196"/>
      <c r="E35" s="197">
        <f>'Presupuesto Detallado'!F68</f>
        <v>300000</v>
      </c>
      <c r="F35" s="196">
        <v>2</v>
      </c>
      <c r="G35" s="198"/>
      <c r="H35" s="199"/>
      <c r="I35" s="199"/>
      <c r="J35" s="196"/>
      <c r="K35" s="106"/>
    </row>
    <row r="36" spans="1:11" ht="17.25" customHeight="1" x14ac:dyDescent="0.2">
      <c r="A36" s="202"/>
      <c r="B36" s="203" t="s">
        <v>418</v>
      </c>
      <c r="C36" s="204" t="s">
        <v>353</v>
      </c>
      <c r="D36" s="204" t="s">
        <v>354</v>
      </c>
      <c r="E36" s="205">
        <f>SUM(E32:E35)</f>
        <v>850000</v>
      </c>
      <c r="F36" s="204"/>
      <c r="G36" s="206" t="s">
        <v>355</v>
      </c>
      <c r="H36" s="207" t="s">
        <v>361</v>
      </c>
      <c r="I36" s="204">
        <v>2017</v>
      </c>
      <c r="J36" s="204">
        <v>2022</v>
      </c>
      <c r="K36" s="202"/>
    </row>
    <row r="37" spans="1:11" x14ac:dyDescent="0.2">
      <c r="A37" s="102">
        <f>A35+1</f>
        <v>10</v>
      </c>
      <c r="B37" s="195" t="str">
        <f>'Presupuesto Detallado'!C15</f>
        <v>Supervisión de obras de soterrado de cables eléctricos - 1.1.5</v>
      </c>
      <c r="C37" s="196" t="s">
        <v>353</v>
      </c>
      <c r="D37" s="196" t="s">
        <v>354</v>
      </c>
      <c r="E37" s="197">
        <f>'Presupuesto Detallado'!F15</f>
        <v>255000</v>
      </c>
      <c r="F37" s="196">
        <v>1</v>
      </c>
      <c r="G37" s="198" t="s">
        <v>355</v>
      </c>
      <c r="H37" s="199" t="s">
        <v>361</v>
      </c>
      <c r="I37" s="196">
        <v>2019</v>
      </c>
      <c r="J37" s="196">
        <v>2022</v>
      </c>
      <c r="K37" s="106"/>
    </row>
    <row r="38" spans="1:11" s="123" customFormat="1" ht="46.5" customHeight="1" x14ac:dyDescent="0.2">
      <c r="A38" s="102">
        <f>A37+1</f>
        <v>11</v>
      </c>
      <c r="B38" s="119" t="str">
        <f>'Presupuesto Detallado'!C6</f>
        <v>GEOTÉCNICO: Estudio Geotécnico para las obras de renovación de calles.
Estudios Geotécnicos en general que provean datos precisos para la correcta definición de las obras de remozamiento de calles.</v>
      </c>
      <c r="C38" s="120" t="s">
        <v>353</v>
      </c>
      <c r="D38" s="120" t="s">
        <v>354</v>
      </c>
      <c r="E38" s="112">
        <f>'Presupuesto Detallado'!F6</f>
        <v>100000</v>
      </c>
      <c r="F38" s="107">
        <v>1</v>
      </c>
      <c r="G38" s="101" t="s">
        <v>355</v>
      </c>
      <c r="H38" s="121" t="s">
        <v>361</v>
      </c>
      <c r="I38" s="107">
        <v>2017</v>
      </c>
      <c r="J38" s="98">
        <v>2017</v>
      </c>
      <c r="K38" s="122"/>
    </row>
    <row r="39" spans="1:11" s="192" customFormat="1" ht="39.75" customHeight="1" x14ac:dyDescent="0.2">
      <c r="A39" s="102">
        <f t="shared" ref="A39:A84" si="3">A38+1</f>
        <v>12</v>
      </c>
      <c r="B39" s="119" t="str">
        <f>'Presupuesto Detallado'!C7</f>
        <v>ESTUDIO: Estudio de vulnerabilidad de inmuebles. 
Estudios de estado actual de los inmuebles a ser intervenidos y acciones para evitar riesgos durante las obras de renovación de calles</v>
      </c>
      <c r="C39" s="191" t="s">
        <v>353</v>
      </c>
      <c r="D39" s="191" t="s">
        <v>354</v>
      </c>
      <c r="E39" s="100">
        <f>'Presupuesto Detallado'!F7</f>
        <v>100000</v>
      </c>
      <c r="F39" s="98">
        <v>1</v>
      </c>
      <c r="G39" s="101" t="s">
        <v>355</v>
      </c>
      <c r="H39" s="101" t="s">
        <v>361</v>
      </c>
      <c r="I39" s="98">
        <v>2017</v>
      </c>
      <c r="J39" s="98">
        <v>2017</v>
      </c>
      <c r="K39" s="119"/>
    </row>
    <row r="40" spans="1:11" s="192" customFormat="1" ht="32.25" customHeight="1" x14ac:dyDescent="0.2">
      <c r="A40" s="102">
        <f t="shared" si="3"/>
        <v>13</v>
      </c>
      <c r="B40" s="119" t="str">
        <f>'Presupuesto Detallado'!C8</f>
        <v>ESTUDIO: Estudios arqueológicos previos.
Incluye geo escaneado y supervisión de arqueología de obra.</v>
      </c>
      <c r="C40" s="191" t="s">
        <v>353</v>
      </c>
      <c r="D40" s="191" t="s">
        <v>354</v>
      </c>
      <c r="E40" s="100">
        <f>'Presupuesto Detallado'!F8</f>
        <v>375000</v>
      </c>
      <c r="F40" s="98">
        <v>1</v>
      </c>
      <c r="G40" s="101" t="s">
        <v>355</v>
      </c>
      <c r="H40" s="101" t="s">
        <v>361</v>
      </c>
      <c r="I40" s="98">
        <v>2017</v>
      </c>
      <c r="J40" s="98">
        <v>2017</v>
      </c>
      <c r="K40" s="119"/>
    </row>
    <row r="41" spans="1:11" ht="98.25" customHeight="1" x14ac:dyDescent="0.2">
      <c r="A41" s="102">
        <f t="shared" si="3"/>
        <v>14</v>
      </c>
      <c r="B41" s="103" t="str">
        <f>'Presupuesto Detallado'!C50</f>
        <v xml:space="preserve">Diseno del Reglamento Operativo del Programa de Mejoramiento de Vivienda y Titulacion. Incluye: i) identificación de modelos y tipologías de intervención; ii) criterios de selección de beneficiarios; iii) criterios de definición de la intervención, iv) definición de mecanismos de corresponsabilidad, v) formas de ejecución y supervisión e) esquema de acompañamiento social
</v>
      </c>
      <c r="C41" s="107" t="s">
        <v>353</v>
      </c>
      <c r="D41" s="107" t="s">
        <v>354</v>
      </c>
      <c r="E41" s="112">
        <f>'Presupuesto Detallado'!F50</f>
        <v>25000</v>
      </c>
      <c r="F41" s="107">
        <v>2</v>
      </c>
      <c r="G41" s="101" t="s">
        <v>355</v>
      </c>
      <c r="H41" s="121" t="s">
        <v>361</v>
      </c>
      <c r="I41" s="107">
        <v>2017</v>
      </c>
      <c r="J41" s="98">
        <v>2017</v>
      </c>
      <c r="K41" s="106"/>
    </row>
    <row r="42" spans="1:11" ht="168" customHeight="1" x14ac:dyDescent="0.2">
      <c r="A42" s="102">
        <f t="shared" si="3"/>
        <v>15</v>
      </c>
      <c r="B42" s="103" t="str">
        <f>'Presupuesto Detallado'!C51</f>
        <v>Trabajo social para la seleccion de familias y levantamiento de informacion. Incluye: i) evaluar zonas de trabajo, ii) revisar estudios previos, iii) organizar reunión de presentación del proyecto a líderes comunitarios de la zona, iv) formar un comité con la comunidad encargado de la preselección de familias, v) preparar plan de acción para el levantamiento, vi) contacto inicial con las familias, vii) aplicar encuesta social, viii) realizar evaluación de la vivienda, ix) evaluar  capacidad financiera de las familias y la situación de tenencia, x) diseñar plan de mejora, xi) definir aporte familia, xii) socializar los resultados del proceso con toda la comunidad, xiii) Estudios arqueológicos previos cuando corresponda. El levantamiento técnico se realizará a 320 familias (las 200 que serán atendidas más un 60% de margen de familias que probablemente se retiran.</v>
      </c>
      <c r="C42" s="107" t="s">
        <v>353</v>
      </c>
      <c r="D42" s="107" t="s">
        <v>354</v>
      </c>
      <c r="E42" s="112">
        <f>'Presupuesto Detallado'!F51</f>
        <v>500000</v>
      </c>
      <c r="F42" s="107">
        <v>2</v>
      </c>
      <c r="G42" s="101" t="s">
        <v>355</v>
      </c>
      <c r="H42" s="121" t="s">
        <v>361</v>
      </c>
      <c r="I42" s="107">
        <v>2017</v>
      </c>
      <c r="J42" s="98">
        <v>2020</v>
      </c>
      <c r="K42" s="106"/>
    </row>
    <row r="43" spans="1:11" ht="41.25" customHeight="1" x14ac:dyDescent="0.2">
      <c r="A43" s="102">
        <f t="shared" si="3"/>
        <v>16</v>
      </c>
      <c r="B43" s="103" t="str">
        <f>'Presupuesto Detallado'!C53</f>
        <v xml:space="preserve">Gestión para la ejecución del programa de mejoramiento de vivienda y titulación. Incluye: contratación y supervisión de las obras de la intervención constructiva y del proceso de titulación. </v>
      </c>
      <c r="C43" s="107" t="s">
        <v>353</v>
      </c>
      <c r="D43" s="107" t="s">
        <v>354</v>
      </c>
      <c r="E43" s="112">
        <f>'Presupuesto Detallado'!F53</f>
        <v>340000</v>
      </c>
      <c r="F43" s="107">
        <v>2</v>
      </c>
      <c r="G43" s="101" t="s">
        <v>355</v>
      </c>
      <c r="H43" s="113" t="s">
        <v>359</v>
      </c>
      <c r="I43" s="107">
        <v>2018</v>
      </c>
      <c r="J43" s="98">
        <v>2020</v>
      </c>
      <c r="K43" s="106"/>
    </row>
    <row r="44" spans="1:11" ht="28.5" x14ac:dyDescent="0.2">
      <c r="A44" s="102">
        <f t="shared" si="3"/>
        <v>17</v>
      </c>
      <c r="B44" s="103" t="str">
        <f>'Presupuesto Detallado'!C59</f>
        <v>Gestión de recuperacion  de Fachadas. Incluye: organización de la demanda, contratación, seguimiento social y supervisión</v>
      </c>
      <c r="C44" s="107" t="s">
        <v>353</v>
      </c>
      <c r="D44" s="107" t="s">
        <v>354</v>
      </c>
      <c r="E44" s="112">
        <f>'Presupuesto Detallado'!F59</f>
        <v>250000</v>
      </c>
      <c r="F44" s="107">
        <v>2</v>
      </c>
      <c r="G44" s="101" t="s">
        <v>355</v>
      </c>
      <c r="H44" s="121" t="s">
        <v>361</v>
      </c>
      <c r="I44" s="107">
        <v>2018</v>
      </c>
      <c r="J44" s="98">
        <v>2022</v>
      </c>
      <c r="K44" s="106"/>
    </row>
    <row r="45" spans="1:11" ht="42.75" x14ac:dyDescent="0.2">
      <c r="A45" s="102">
        <f t="shared" si="3"/>
        <v>18</v>
      </c>
      <c r="B45" s="103" t="str">
        <f>'Presupuesto Detallado'!C61</f>
        <v>Identificación de propiedades potenciales para el desarrollo de vivienda asequible. Incluye: Levantamiento de información georreferenciada de propiedades con potencial de desarrollo</v>
      </c>
      <c r="C45" s="107" t="s">
        <v>353</v>
      </c>
      <c r="D45" s="107" t="s">
        <v>354</v>
      </c>
      <c r="E45" s="112">
        <f>'Presupuesto Detallado'!F61</f>
        <v>150000</v>
      </c>
      <c r="F45" s="107">
        <v>2</v>
      </c>
      <c r="G45" s="101" t="s">
        <v>355</v>
      </c>
      <c r="H45" s="121" t="s">
        <v>361</v>
      </c>
      <c r="I45" s="107">
        <v>2017</v>
      </c>
      <c r="J45" s="98">
        <v>2017</v>
      </c>
      <c r="K45" s="106"/>
    </row>
    <row r="46" spans="1:11" ht="71.25" x14ac:dyDescent="0.2">
      <c r="A46" s="102">
        <f t="shared" si="3"/>
        <v>19</v>
      </c>
      <c r="B46" s="103" t="str">
        <f>'Presupuesto Detallado'!C62</f>
        <v>Propuesta modelos de negocio rentables para el desarrollo de vivienda asequible. Estructuración de modelos financieros para proveer vivienda asequible incluyendo mecanismos como: i) mezcla de usos para compensar rentabilidades, ii) vivienda de alquiler institucional, y iii) asociaciones público-privadas en propiedades del estado o la iglesia</v>
      </c>
      <c r="C46" s="107" t="s">
        <v>353</v>
      </c>
      <c r="D46" s="107" t="s">
        <v>354</v>
      </c>
      <c r="E46" s="112">
        <f>'Presupuesto Detallado'!F62</f>
        <v>100000</v>
      </c>
      <c r="F46" s="107">
        <v>2</v>
      </c>
      <c r="G46" s="101" t="s">
        <v>355</v>
      </c>
      <c r="H46" s="121" t="s">
        <v>361</v>
      </c>
      <c r="I46" s="107">
        <v>2018</v>
      </c>
      <c r="J46" s="98">
        <v>2018</v>
      </c>
      <c r="K46" s="106"/>
    </row>
    <row r="47" spans="1:11" ht="71.25" x14ac:dyDescent="0.2">
      <c r="A47" s="102">
        <f t="shared" si="3"/>
        <v>20</v>
      </c>
      <c r="B47" s="103" t="str">
        <f>'Presupuesto Detallado'!C63</f>
        <v>Desarrollo de diseños arquitectónicos y ferias de constructores. Incluye que para ciertas propiedades identificadas como de potencial desarrollo, se desarrolle un diseño arquitectónico que respete el carácter patrimonial pero que permita la rentabilidad. Presentación en ferias para incentivar a los constructores</v>
      </c>
      <c r="C47" s="107" t="s">
        <v>353</v>
      </c>
      <c r="D47" s="107" t="s">
        <v>354</v>
      </c>
      <c r="E47" s="112">
        <f>'Presupuesto Detallado'!F63</f>
        <v>250000</v>
      </c>
      <c r="F47" s="107">
        <v>2</v>
      </c>
      <c r="G47" s="101" t="s">
        <v>355</v>
      </c>
      <c r="H47" s="121" t="s">
        <v>361</v>
      </c>
      <c r="I47" s="107">
        <v>2018</v>
      </c>
      <c r="J47" s="98">
        <v>2018</v>
      </c>
      <c r="K47" s="106"/>
    </row>
    <row r="48" spans="1:11" ht="42.75" x14ac:dyDescent="0.2">
      <c r="A48" s="102">
        <f t="shared" si="3"/>
        <v>21</v>
      </c>
      <c r="B48" s="103" t="str">
        <f>'Presupuesto Detallado'!C72</f>
        <v>Plan de desarrollo del mercado:  (i) la preparación del modelo de negocio y gestión; (ii) preparación e implantación de un plan para gestión comercial y financiera (iii) propuesta arquitectonica</v>
      </c>
      <c r="C48" s="107" t="s">
        <v>353</v>
      </c>
      <c r="D48" s="107" t="s">
        <v>354</v>
      </c>
      <c r="E48" s="112">
        <f>'Presupuesto Detallado'!F72</f>
        <v>350000</v>
      </c>
      <c r="F48" s="107">
        <v>3</v>
      </c>
      <c r="G48" s="101" t="s">
        <v>355</v>
      </c>
      <c r="H48" s="121" t="s">
        <v>361</v>
      </c>
      <c r="I48" s="107">
        <v>2018</v>
      </c>
      <c r="J48" s="98">
        <v>2018</v>
      </c>
      <c r="K48" s="106"/>
    </row>
    <row r="49" spans="1:11" ht="57" x14ac:dyDescent="0.2">
      <c r="A49" s="102">
        <f t="shared" si="3"/>
        <v>22</v>
      </c>
      <c r="B49" s="103" t="str">
        <f>'Presupuesto Detallado'!C74</f>
        <v>Asistencia técnica y apoyo a la adecuacion de negocios (i) capacitación a las MyPEs en gestión empresarial, comercialización y otros temas; (ii) promoción y desarrollo de acciones conjuntas de nuevos servicios; (iii) adecuacion y adaptacion de imagen fisica de los negocios</v>
      </c>
      <c r="C49" s="107" t="s">
        <v>353</v>
      </c>
      <c r="D49" s="107" t="s">
        <v>354</v>
      </c>
      <c r="E49" s="112">
        <f>'Presupuesto Detallado'!F74</f>
        <v>500000</v>
      </c>
      <c r="F49" s="107">
        <v>3</v>
      </c>
      <c r="G49" s="101" t="s">
        <v>355</v>
      </c>
      <c r="H49" s="121" t="s">
        <v>361</v>
      </c>
      <c r="I49" s="107">
        <v>2017</v>
      </c>
      <c r="J49" s="98">
        <v>2022</v>
      </c>
      <c r="K49" s="106"/>
    </row>
    <row r="50" spans="1:11" x14ac:dyDescent="0.2">
      <c r="A50" s="102">
        <f t="shared" si="3"/>
        <v>23</v>
      </c>
      <c r="B50" s="103" t="str">
        <f>'Presupuesto Detallado'!C76</f>
        <v>Plan de Contingencia de Apoyo a Negocios afectados por las obras (ESG)</v>
      </c>
      <c r="C50" s="107" t="s">
        <v>353</v>
      </c>
      <c r="D50" s="107" t="s">
        <v>354</v>
      </c>
      <c r="E50" s="112">
        <f>'Presupuesto Detallado'!F76</f>
        <v>200000</v>
      </c>
      <c r="F50" s="107">
        <v>3</v>
      </c>
      <c r="G50" s="101" t="s">
        <v>355</v>
      </c>
      <c r="H50" s="121" t="s">
        <v>361</v>
      </c>
      <c r="I50" s="107">
        <v>2017</v>
      </c>
      <c r="J50" s="98">
        <v>2022</v>
      </c>
      <c r="K50" s="106"/>
    </row>
    <row r="51" spans="1:11" ht="57" x14ac:dyDescent="0.2">
      <c r="A51" s="102">
        <f t="shared" si="3"/>
        <v>24</v>
      </c>
      <c r="B51" s="103" t="str">
        <f>'Presupuesto Detallado'!C79</f>
        <v>El diseño e implementación de una estrategia para promover proyectos de asociación público privado en la CCSD en el marco de este proyecto tales como: sistema de estacionamientos, vivienda para familias de ingresos medios, centros de eventos, animación urbana, y otros;</v>
      </c>
      <c r="C51" s="107" t="s">
        <v>353</v>
      </c>
      <c r="D51" s="107" t="s">
        <v>354</v>
      </c>
      <c r="E51" s="112">
        <f>'Presupuesto Detallado'!F79</f>
        <v>1600000</v>
      </c>
      <c r="F51" s="107">
        <v>3</v>
      </c>
      <c r="G51" s="101" t="s">
        <v>355</v>
      </c>
      <c r="H51" s="121" t="s">
        <v>361</v>
      </c>
      <c r="I51" s="107">
        <v>2018</v>
      </c>
      <c r="J51" s="98">
        <v>2018</v>
      </c>
      <c r="K51" s="106"/>
    </row>
    <row r="52" spans="1:11" ht="28.5" x14ac:dyDescent="0.2">
      <c r="A52" s="102">
        <f t="shared" si="3"/>
        <v>25</v>
      </c>
      <c r="B52" s="103" t="str">
        <f>'Presupuesto Detallado'!C81</f>
        <v>Plan de Formación en servicios turísticos y conexos. Mecanismo sostenibilidad del centro y cursos.</v>
      </c>
      <c r="C52" s="107" t="s">
        <v>353</v>
      </c>
      <c r="D52" s="107" t="s">
        <v>354</v>
      </c>
      <c r="E52" s="112">
        <f>'Presupuesto Detallado'!F81</f>
        <v>200000</v>
      </c>
      <c r="F52" s="107">
        <v>3</v>
      </c>
      <c r="G52" s="101" t="s">
        <v>355</v>
      </c>
      <c r="H52" s="121" t="s">
        <v>361</v>
      </c>
      <c r="I52" s="107">
        <v>2019</v>
      </c>
      <c r="J52" s="98">
        <v>2019</v>
      </c>
      <c r="K52" s="106"/>
    </row>
    <row r="53" spans="1:11" ht="71.25" x14ac:dyDescent="0.2">
      <c r="A53" s="102">
        <f t="shared" si="3"/>
        <v>26</v>
      </c>
      <c r="B53" s="103" t="str">
        <f>'Presupuesto Detallado'!C82</f>
        <v>Programa apoyo escuelas técnicas. 1 - formación de docentes; bajo estándares de calidad NEO;  2 - plan de mejora de las siguientes escuelas técnicas: Escuela Taller del Ministerio de Trabajo, Politécnico que responde al Ministerio de Educación, y Escuelas de Bellas Artes del Ministerio de Cultura. Alianza interinstitucional y público-privada.</v>
      </c>
      <c r="C53" s="107" t="s">
        <v>353</v>
      </c>
      <c r="D53" s="107" t="s">
        <v>354</v>
      </c>
      <c r="E53" s="112">
        <f>'Presupuesto Detallado'!F82</f>
        <v>350000</v>
      </c>
      <c r="F53" s="107">
        <v>3</v>
      </c>
      <c r="G53" s="101" t="s">
        <v>355</v>
      </c>
      <c r="H53" s="121" t="s">
        <v>361</v>
      </c>
      <c r="I53" s="107">
        <v>2018</v>
      </c>
      <c r="J53" s="98">
        <v>2022</v>
      </c>
      <c r="K53" s="106"/>
    </row>
    <row r="54" spans="1:11" s="193" customFormat="1" ht="42.75" x14ac:dyDescent="0.2">
      <c r="A54" s="102">
        <f t="shared" si="3"/>
        <v>27</v>
      </c>
      <c r="B54" s="103" t="str">
        <f>'Presupuesto Detallado'!C85</f>
        <v xml:space="preserve">Contratación equipo gestor del Plan para el seguimiento  permanente durante el periodo de ejecución del programa y que se genere un sistema para la operación y monitoreo de las actividades. </v>
      </c>
      <c r="C54" s="98" t="s">
        <v>353</v>
      </c>
      <c r="D54" s="98" t="s">
        <v>354</v>
      </c>
      <c r="E54" s="100">
        <f>'Presupuesto Detallado'!F85</f>
        <v>150000</v>
      </c>
      <c r="F54" s="98">
        <v>3</v>
      </c>
      <c r="G54" s="101" t="s">
        <v>355</v>
      </c>
      <c r="H54" s="101" t="s">
        <v>361</v>
      </c>
      <c r="I54" s="98">
        <v>2017</v>
      </c>
      <c r="J54" s="98">
        <v>2022</v>
      </c>
      <c r="K54" s="103"/>
    </row>
    <row r="55" spans="1:11" ht="43.5" customHeight="1" x14ac:dyDescent="0.2">
      <c r="A55" s="102">
        <f t="shared" si="3"/>
        <v>28</v>
      </c>
      <c r="B55" s="103" t="str">
        <f>'Presupuesto Detallado'!C90</f>
        <v>Asistencia para la implementación de un mecanismo de gobernanza de la ciudad, el cual será diseñado por los actores locales y acompañamiento de la UNESCO</v>
      </c>
      <c r="C55" s="107" t="s">
        <v>353</v>
      </c>
      <c r="D55" s="107" t="s">
        <v>354</v>
      </c>
      <c r="E55" s="112">
        <f>'Presupuesto Detallado'!F90</f>
        <v>250000</v>
      </c>
      <c r="F55" s="107">
        <v>4</v>
      </c>
      <c r="G55" s="101" t="s">
        <v>355</v>
      </c>
      <c r="H55" s="121" t="s">
        <v>361</v>
      </c>
      <c r="I55" s="107">
        <v>2018</v>
      </c>
      <c r="J55" s="98">
        <v>2022</v>
      </c>
      <c r="K55" s="106"/>
    </row>
    <row r="56" spans="1:11" ht="45" customHeight="1" x14ac:dyDescent="0.2">
      <c r="A56" s="102">
        <f t="shared" si="3"/>
        <v>29</v>
      </c>
      <c r="B56" s="103" t="str">
        <f>'Presupuesto Detallado'!C91</f>
        <v>Identificación de mecanismos o medidas de política que permitan generar recursos adicionales para financiar los costos de administración y mantenimiento de las inversiones realizadas</v>
      </c>
      <c r="C56" s="107" t="s">
        <v>353</v>
      </c>
      <c r="D56" s="107" t="s">
        <v>354</v>
      </c>
      <c r="E56" s="112">
        <f>'Presupuesto Detallado'!F91</f>
        <v>100000</v>
      </c>
      <c r="F56" s="107">
        <v>4</v>
      </c>
      <c r="G56" s="101" t="s">
        <v>355</v>
      </c>
      <c r="H56" s="121" t="s">
        <v>361</v>
      </c>
      <c r="I56" s="107">
        <v>2017</v>
      </c>
      <c r="J56" s="98">
        <v>2017</v>
      </c>
      <c r="K56" s="106"/>
    </row>
    <row r="57" spans="1:11" ht="28.5" x14ac:dyDescent="0.2">
      <c r="A57" s="102">
        <f t="shared" si="3"/>
        <v>30</v>
      </c>
      <c r="B57" s="103" t="str">
        <f>'Presupuesto Detallado'!C92</f>
        <v>Generación de normas y mecanismos de gestión interinstitucionales  y alianza público-privadas.</v>
      </c>
      <c r="C57" s="107" t="s">
        <v>353</v>
      </c>
      <c r="D57" s="107" t="s">
        <v>354</v>
      </c>
      <c r="E57" s="112">
        <f>'Presupuesto Detallado'!F92</f>
        <v>200000</v>
      </c>
      <c r="F57" s="107">
        <v>4</v>
      </c>
      <c r="G57" s="101" t="s">
        <v>355</v>
      </c>
      <c r="H57" s="121" t="s">
        <v>361</v>
      </c>
      <c r="I57" s="107">
        <v>2017</v>
      </c>
      <c r="J57" s="98">
        <v>2022</v>
      </c>
      <c r="K57" s="106"/>
    </row>
    <row r="58" spans="1:11" x14ac:dyDescent="0.2">
      <c r="A58" s="102">
        <f t="shared" si="3"/>
        <v>31</v>
      </c>
      <c r="B58" s="103" t="str">
        <f>'Presupuesto Detallado'!C93</f>
        <v>Plan de gestión de riesgos de la CCSD</v>
      </c>
      <c r="C58" s="107" t="s">
        <v>353</v>
      </c>
      <c r="D58" s="107" t="s">
        <v>354</v>
      </c>
      <c r="E58" s="112">
        <f>'Presupuesto Detallado'!F93</f>
        <v>150000</v>
      </c>
      <c r="F58" s="107">
        <v>5</v>
      </c>
      <c r="G58" s="101" t="s">
        <v>355</v>
      </c>
      <c r="H58" s="121" t="s">
        <v>361</v>
      </c>
      <c r="I58" s="107">
        <v>2018</v>
      </c>
      <c r="J58" s="98">
        <v>2022</v>
      </c>
      <c r="K58" s="106"/>
    </row>
    <row r="59" spans="1:11" ht="76.5" customHeight="1" x14ac:dyDescent="0.2">
      <c r="A59" s="102">
        <f t="shared" si="3"/>
        <v>32</v>
      </c>
      <c r="B59" s="103" t="str">
        <f>'Presupuesto Detallado'!C95</f>
        <v>Asistencia para el diseño e implementación de un Portal que integre los diversos sistemas de gestión de servicios de las instituciones presentes en la CCSD (plataforma para la gestión trámites on-line: entrega de permisos para eventos, uso de suelo, uso del espacio público, servicios turísticos, licencias de construcción, usos especiales, etc.), incluyendo equipamiento, software y capacitaciones.s.</v>
      </c>
      <c r="C59" s="107" t="s">
        <v>353</v>
      </c>
      <c r="D59" s="107" t="s">
        <v>354</v>
      </c>
      <c r="E59" s="112">
        <f>'Presupuesto Detallado'!F95</f>
        <v>500000</v>
      </c>
      <c r="F59" s="107">
        <v>4</v>
      </c>
      <c r="G59" s="101" t="s">
        <v>355</v>
      </c>
      <c r="H59" s="121" t="s">
        <v>361</v>
      </c>
      <c r="I59" s="107">
        <v>2018</v>
      </c>
      <c r="J59" s="98">
        <v>2022</v>
      </c>
      <c r="K59" s="106"/>
    </row>
    <row r="60" spans="1:11" ht="75.75" customHeight="1" x14ac:dyDescent="0.2">
      <c r="A60" s="102">
        <f t="shared" si="3"/>
        <v>33</v>
      </c>
      <c r="B60" s="103" t="str">
        <f>'Presupuesto Detallado'!C97</f>
        <v>Implementación de acciones de marketing turístico de Ciudad Colonial a mercados prioritarios, en base al Plan de Marketing en elaboración con financiamiento de 2587/OC-DR, y tratando de dar prioridad al uso de nuevas tecnologías adaptadas a las nuevas formas de consumo turístico (ej. viajes de prensa, campañas de promoción, redes sociales, aplicaciones inteligentes, etc.).</v>
      </c>
      <c r="C60" s="107" t="s">
        <v>353</v>
      </c>
      <c r="D60" s="107" t="s">
        <v>354</v>
      </c>
      <c r="E60" s="112">
        <f>'Presupuesto Detallado'!F97</f>
        <v>700000</v>
      </c>
      <c r="F60" s="107">
        <v>4</v>
      </c>
      <c r="G60" s="101" t="s">
        <v>355</v>
      </c>
      <c r="H60" s="121" t="s">
        <v>361</v>
      </c>
      <c r="I60" s="107">
        <v>2017</v>
      </c>
      <c r="J60" s="98">
        <v>2022</v>
      </c>
      <c r="K60" s="106"/>
    </row>
    <row r="61" spans="1:11" ht="121.5" customHeight="1" x14ac:dyDescent="0.2">
      <c r="A61" s="102">
        <f t="shared" si="3"/>
        <v>34</v>
      </c>
      <c r="B61" s="103" t="str">
        <f>'Presupuesto Detallado'!C99</f>
        <v>Observatorio Turístico de la Ciudad Colonial: combina la operación del  Sistema de Capacidad de Carga de CC y el piloto del Sistema de Información Turística Territorial (SITT), Sistema de información geográfica y Sistema de Calidad Turística, inversiones en el territorio, movilidad y animación urbana, y rutas turísticas. Funciones: Levantamiento de datos y generación de información estadística de Ciudad Colonial. Encuestas. Publicación de datos de inteligencia turística y actividades de socialización. Medición de las visitas turísticas y monitoreo a los umbrales de carga establecidos para los principales monumentos y espacios públicos de la Ciudad Colonial.</v>
      </c>
      <c r="C61" s="107" t="s">
        <v>353</v>
      </c>
      <c r="D61" s="107" t="s">
        <v>354</v>
      </c>
      <c r="E61" s="112">
        <f>'Presupuesto Detallado'!F99</f>
        <v>400000</v>
      </c>
      <c r="F61" s="107">
        <v>4</v>
      </c>
      <c r="G61" s="101" t="s">
        <v>355</v>
      </c>
      <c r="H61" s="121" t="s">
        <v>361</v>
      </c>
      <c r="I61" s="107">
        <v>2017</v>
      </c>
      <c r="J61" s="98">
        <v>2022</v>
      </c>
      <c r="K61" s="106"/>
    </row>
    <row r="62" spans="1:11" ht="44.25" customHeight="1" x14ac:dyDescent="0.2">
      <c r="A62" s="102">
        <f t="shared" si="3"/>
        <v>35</v>
      </c>
      <c r="B62" s="103" t="str">
        <f>'Presupuesto Detallado'!C100</f>
        <v>Diseño e implementación del Plan de programación de destino Ciudad Colonial-Santo Domingo y la incorporación de los atractivos del gran SD.</v>
      </c>
      <c r="C62" s="107" t="s">
        <v>353</v>
      </c>
      <c r="D62" s="107" t="s">
        <v>354</v>
      </c>
      <c r="E62" s="112">
        <f>'Presupuesto Detallado'!F100</f>
        <v>100000</v>
      </c>
      <c r="F62" s="107">
        <v>5</v>
      </c>
      <c r="G62" s="101" t="s">
        <v>355</v>
      </c>
      <c r="H62" s="121" t="s">
        <v>361</v>
      </c>
      <c r="I62" s="107">
        <v>2017</v>
      </c>
      <c r="J62" s="98">
        <v>2022</v>
      </c>
      <c r="K62" s="106"/>
    </row>
    <row r="63" spans="1:11" ht="57" x14ac:dyDescent="0.2">
      <c r="A63" s="102">
        <f t="shared" si="3"/>
        <v>36</v>
      </c>
      <c r="B63" s="103" t="str">
        <f>'Presupuesto Detallado'!C103</f>
        <v>Diseño de un sistema nacional de clasificación de hoteles, restaurantes y establecimientos turísticos: sensibilización a sector privado sobre la importancia del sistema, diseño de normas aplicables a nivel nacional en consenso con el sector privado y formación de inspectores del MITUR .</v>
      </c>
      <c r="C63" s="107" t="s">
        <v>353</v>
      </c>
      <c r="D63" s="107" t="s">
        <v>354</v>
      </c>
      <c r="E63" s="112">
        <f>'Presupuesto Detallado'!F103</f>
        <v>200000</v>
      </c>
      <c r="F63" s="107">
        <v>4</v>
      </c>
      <c r="G63" s="101" t="s">
        <v>355</v>
      </c>
      <c r="H63" s="121" t="s">
        <v>361</v>
      </c>
      <c r="I63" s="107">
        <v>2018</v>
      </c>
      <c r="J63" s="98">
        <v>2022</v>
      </c>
      <c r="K63" s="106"/>
    </row>
    <row r="64" spans="1:11" ht="57" x14ac:dyDescent="0.2">
      <c r="A64" s="102">
        <f t="shared" si="3"/>
        <v>37</v>
      </c>
      <c r="B64" s="103" t="str">
        <f>'Presupuesto Detallado'!C104</f>
        <v>Implementación del sistema de clasificación en Ciudad Colonial y Santo Domingo como primer piloto: sensibilización, formación y acompañamiento técnico de empresas turísticas para aplicación y cumplimiento de las normas.</v>
      </c>
      <c r="C64" s="107" t="s">
        <v>353</v>
      </c>
      <c r="D64" s="107" t="s">
        <v>354</v>
      </c>
      <c r="E64" s="112">
        <f>'Presupuesto Detallado'!F104</f>
        <v>150000</v>
      </c>
      <c r="F64" s="107">
        <v>4</v>
      </c>
      <c r="G64" s="101" t="s">
        <v>355</v>
      </c>
      <c r="H64" s="121" t="s">
        <v>361</v>
      </c>
      <c r="I64" s="107">
        <v>2017</v>
      </c>
      <c r="J64" s="98">
        <v>2022</v>
      </c>
      <c r="K64" s="106"/>
    </row>
    <row r="65" spans="1:11" ht="71.25" x14ac:dyDescent="0.2">
      <c r="A65" s="102">
        <f t="shared" si="3"/>
        <v>38</v>
      </c>
      <c r="B65" s="103" t="str">
        <f>'Presupuesto Detallado'!C105</f>
        <v>Ampliación del piloto del Sistema de Calidad Turística a nuevos establecimientos en la Ciudad Colonial y Santo Domingo: concientización de empresas, asistencia técnica y capacitación a empresas que voluntariamente opten por aplicar a sellos de certificación existentes y reconocidos internacionalmente.</v>
      </c>
      <c r="C65" s="107" t="s">
        <v>353</v>
      </c>
      <c r="D65" s="107" t="s">
        <v>354</v>
      </c>
      <c r="E65" s="112">
        <f>'Presupuesto Detallado'!F105</f>
        <v>200000</v>
      </c>
      <c r="F65" s="107">
        <v>4</v>
      </c>
      <c r="G65" s="101" t="s">
        <v>355</v>
      </c>
      <c r="H65" s="121" t="s">
        <v>361</v>
      </c>
      <c r="I65" s="107">
        <v>2017</v>
      </c>
      <c r="J65" s="98">
        <v>2022</v>
      </c>
      <c r="K65" s="106"/>
    </row>
    <row r="66" spans="1:11" ht="57" x14ac:dyDescent="0.2">
      <c r="A66" s="102">
        <f t="shared" si="3"/>
        <v>39</v>
      </c>
      <c r="B66" s="103" t="str">
        <f>'Presupuesto Detallado'!C112</f>
        <v>Preparación de la Estrategia Nacional de Turismo de la Republica Dominicana, de forma consensuada con los principales actores públicos y privados vinculados al sector, incluyendo la estrategia de turismo para Santo Domingo.</v>
      </c>
      <c r="C66" s="107" t="s">
        <v>353</v>
      </c>
      <c r="D66" s="107" t="s">
        <v>354</v>
      </c>
      <c r="E66" s="112">
        <f>'Presupuesto Detallado'!F112</f>
        <v>300000</v>
      </c>
      <c r="F66" s="107">
        <v>4</v>
      </c>
      <c r="G66" s="101" t="s">
        <v>355</v>
      </c>
      <c r="H66" s="121" t="s">
        <v>361</v>
      </c>
      <c r="I66" s="107">
        <v>2017</v>
      </c>
      <c r="J66" s="98">
        <v>2022</v>
      </c>
      <c r="K66" s="106"/>
    </row>
    <row r="67" spans="1:11" x14ac:dyDescent="0.2">
      <c r="A67" s="102">
        <f t="shared" si="3"/>
        <v>40</v>
      </c>
      <c r="B67" s="103" t="str">
        <f>'Presupuesto Detallado'!C113</f>
        <v>Fortalecimiento a la oficina de Planificación Institucional de MITUR</v>
      </c>
      <c r="C67" s="107" t="s">
        <v>353</v>
      </c>
      <c r="D67" s="107" t="s">
        <v>354</v>
      </c>
      <c r="E67" s="112">
        <f>'Presupuesto Detallado'!F113</f>
        <v>200000</v>
      </c>
      <c r="F67" s="107"/>
      <c r="G67" s="101"/>
      <c r="H67" s="121"/>
      <c r="I67" s="107"/>
      <c r="J67" s="98">
        <v>2022</v>
      </c>
      <c r="K67" s="106"/>
    </row>
    <row r="68" spans="1:11" ht="42.75" x14ac:dyDescent="0.2">
      <c r="A68" s="102">
        <f t="shared" si="3"/>
        <v>41</v>
      </c>
      <c r="B68" s="103" t="str">
        <f>'Presupuesto Detallado'!C114</f>
        <v>Diseño e implantación de un sistema de tramitación en línea de los servicios turísticos CCSD y SD, para su incorporación al sistema integrado de gestión de los servicios de la CCSD.</v>
      </c>
      <c r="C68" s="107" t="s">
        <v>353</v>
      </c>
      <c r="D68" s="107" t="s">
        <v>354</v>
      </c>
      <c r="E68" s="112">
        <f>'Presupuesto Detallado'!F114</f>
        <v>200000</v>
      </c>
      <c r="F68" s="107">
        <v>4</v>
      </c>
      <c r="G68" s="101" t="s">
        <v>355</v>
      </c>
      <c r="H68" s="121" t="s">
        <v>361</v>
      </c>
      <c r="I68" s="107">
        <v>2017</v>
      </c>
      <c r="J68" s="98">
        <v>2022</v>
      </c>
      <c r="K68" s="106"/>
    </row>
    <row r="69" spans="1:11" ht="42.75" x14ac:dyDescent="0.2">
      <c r="A69" s="102">
        <f t="shared" si="3"/>
        <v>42</v>
      </c>
      <c r="B69" s="103" t="str">
        <f>'Presupuesto Detallado'!C115</f>
        <v xml:space="preserve">Adecuación del modelo de servicios de guías y taxistas turístico, incluyendo revisión del marco legal, sistema informático de gestión y acompañamiento, capacitación y certificación </v>
      </c>
      <c r="C69" s="107" t="s">
        <v>353</v>
      </c>
      <c r="D69" s="107" t="s">
        <v>354</v>
      </c>
      <c r="E69" s="112">
        <f>'Presupuesto Detallado'!F115</f>
        <v>200000</v>
      </c>
      <c r="F69" s="107">
        <v>4</v>
      </c>
      <c r="G69" s="101" t="s">
        <v>355</v>
      </c>
      <c r="H69" s="121" t="s">
        <v>361</v>
      </c>
      <c r="I69" s="107">
        <v>2017</v>
      </c>
      <c r="J69" s="98">
        <v>2022</v>
      </c>
      <c r="K69" s="106"/>
    </row>
    <row r="70" spans="1:11" ht="42.75" x14ac:dyDescent="0.2">
      <c r="A70" s="102">
        <f t="shared" si="3"/>
        <v>43</v>
      </c>
      <c r="B70" s="103" t="str">
        <f>'Presupuesto Detallado'!C119</f>
        <v>3. Ventanilla única: Implementación de mejoras a los procesos operativos y de gestión de usos de suelo, supervisión y control del territorio. (Análisis de los procesos y desarrollo de la aplicación informatica)</v>
      </c>
      <c r="C70" s="107" t="s">
        <v>353</v>
      </c>
      <c r="D70" s="107" t="s">
        <v>354</v>
      </c>
      <c r="E70" s="112">
        <f>'Presupuesto Detallado'!F119</f>
        <v>500000</v>
      </c>
      <c r="F70" s="107">
        <v>4</v>
      </c>
      <c r="G70" s="101" t="s">
        <v>355</v>
      </c>
      <c r="H70" s="121" t="s">
        <v>361</v>
      </c>
      <c r="I70" s="107">
        <v>2017</v>
      </c>
      <c r="J70" s="98">
        <v>2022</v>
      </c>
      <c r="K70" s="106"/>
    </row>
    <row r="71" spans="1:11" ht="57" x14ac:dyDescent="0.2">
      <c r="A71" s="102">
        <f t="shared" si="3"/>
        <v>44</v>
      </c>
      <c r="B71" s="103" t="str">
        <f>'Presupuesto Detallado'!C120</f>
        <v>4. Actualización del sistema y ampliación de la capacidad Sistema Información Geográfica (SIG): Implementación de mejoras a los procesos operativos y de gestión de usos de suelo, supervisión y control del territorio. (Análisis de los procesos y desarrollo del sistema informático)</v>
      </c>
      <c r="C71" s="107" t="s">
        <v>353</v>
      </c>
      <c r="D71" s="107" t="s">
        <v>354</v>
      </c>
      <c r="E71" s="112">
        <f>'Presupuesto Detallado'!F120</f>
        <v>150000</v>
      </c>
      <c r="F71" s="107">
        <v>4</v>
      </c>
      <c r="G71" s="101" t="s">
        <v>355</v>
      </c>
      <c r="H71" s="121" t="s">
        <v>361</v>
      </c>
      <c r="I71" s="107">
        <v>2017</v>
      </c>
      <c r="J71" s="98">
        <v>2022</v>
      </c>
      <c r="K71" s="106"/>
    </row>
    <row r="72" spans="1:11" ht="42.75" x14ac:dyDescent="0.2">
      <c r="A72" s="102">
        <f t="shared" si="3"/>
        <v>45</v>
      </c>
      <c r="B72" s="103" t="str">
        <f>'Presupuesto Detallado'!C121</f>
        <v>5. Estrategia de Gestión de la Movilidad de la CCSD. Consiste en asistencia para desarrollar e implementar un plan de gestión de la movilidad de la CCSD.</v>
      </c>
      <c r="C72" s="107" t="s">
        <v>353</v>
      </c>
      <c r="D72" s="107" t="s">
        <v>354</v>
      </c>
      <c r="E72" s="112">
        <f>'Presupuesto Detallado'!F121</f>
        <v>200000</v>
      </c>
      <c r="F72" s="107">
        <v>4</v>
      </c>
      <c r="G72" s="101" t="s">
        <v>355</v>
      </c>
      <c r="H72" s="121" t="s">
        <v>361</v>
      </c>
      <c r="I72" s="107">
        <v>2017</v>
      </c>
      <c r="J72" s="98">
        <v>2022</v>
      </c>
      <c r="K72" s="106"/>
    </row>
    <row r="73" spans="1:11" ht="28.5" x14ac:dyDescent="0.2">
      <c r="A73" s="102">
        <f t="shared" si="3"/>
        <v>46</v>
      </c>
      <c r="B73" s="103" t="str">
        <f>'Presupuesto Detallado'!C122</f>
        <v>6. Fortalecimiento institucional para Gestión Mercado Modelo (reglamentos, tarifas)</v>
      </c>
      <c r="C73" s="107" t="s">
        <v>353</v>
      </c>
      <c r="D73" s="107" t="s">
        <v>354</v>
      </c>
      <c r="E73" s="112">
        <f>'Presupuesto Detallado'!F122</f>
        <v>200000</v>
      </c>
      <c r="F73" s="107">
        <v>4</v>
      </c>
      <c r="G73" s="101" t="s">
        <v>355</v>
      </c>
      <c r="H73" s="121" t="s">
        <v>361</v>
      </c>
      <c r="I73" s="107">
        <v>2017</v>
      </c>
      <c r="J73" s="98">
        <v>2022</v>
      </c>
      <c r="K73" s="106"/>
    </row>
    <row r="74" spans="1:11" ht="28.5" x14ac:dyDescent="0.2">
      <c r="A74" s="102">
        <f t="shared" si="3"/>
        <v>47</v>
      </c>
      <c r="B74" s="103" t="str">
        <f>'Presupuesto Detallado'!C125</f>
        <v>1. Implementacion de mejoras a los procesos de gestion de la DNPM en la ventanilla unica</v>
      </c>
      <c r="C74" s="107" t="s">
        <v>353</v>
      </c>
      <c r="D74" s="107" t="s">
        <v>354</v>
      </c>
      <c r="E74" s="112">
        <f>'Presupuesto Detallado'!F125</f>
        <v>265000</v>
      </c>
      <c r="F74" s="107">
        <v>4</v>
      </c>
      <c r="G74" s="101" t="s">
        <v>355</v>
      </c>
      <c r="H74" s="121" t="s">
        <v>361</v>
      </c>
      <c r="I74" s="107">
        <v>2017</v>
      </c>
      <c r="J74" s="98">
        <v>2022</v>
      </c>
      <c r="K74" s="106"/>
    </row>
    <row r="75" spans="1:11" x14ac:dyDescent="0.2">
      <c r="A75" s="102">
        <f t="shared" si="3"/>
        <v>48</v>
      </c>
      <c r="B75" s="103" t="str">
        <f>'Presupuesto Detallado'!C126</f>
        <v xml:space="preserve">2. Sistema de Gestion del Inventario para el Patrimonio Inmueble </v>
      </c>
      <c r="C75" s="107" t="s">
        <v>353</v>
      </c>
      <c r="D75" s="107" t="s">
        <v>354</v>
      </c>
      <c r="E75" s="112">
        <f>'Presupuesto Detallado'!F126</f>
        <v>350000</v>
      </c>
      <c r="F75" s="107">
        <v>4</v>
      </c>
      <c r="G75" s="101" t="s">
        <v>355</v>
      </c>
      <c r="H75" s="121" t="s">
        <v>361</v>
      </c>
      <c r="I75" s="107">
        <v>2017</v>
      </c>
      <c r="J75" s="98">
        <v>2022</v>
      </c>
      <c r="K75" s="106"/>
    </row>
    <row r="76" spans="1:11" ht="28.5" x14ac:dyDescent="0.2">
      <c r="A76" s="102">
        <f t="shared" si="3"/>
        <v>49</v>
      </c>
      <c r="B76" s="103" t="str">
        <f>'Presupuesto Detallado'!C128</f>
        <v>4. implantación de un programa de educación y difusión del patrimonio cultural</v>
      </c>
      <c r="C76" s="107" t="s">
        <v>353</v>
      </c>
      <c r="D76" s="107" t="s">
        <v>354</v>
      </c>
      <c r="E76" s="112">
        <f>'Presupuesto Detallado'!F128</f>
        <v>110000</v>
      </c>
      <c r="F76" s="107">
        <v>4</v>
      </c>
      <c r="G76" s="101" t="s">
        <v>355</v>
      </c>
      <c r="H76" s="121" t="s">
        <v>361</v>
      </c>
      <c r="I76" s="107">
        <v>2017</v>
      </c>
      <c r="J76" s="98">
        <v>2022</v>
      </c>
      <c r="K76" s="106"/>
    </row>
    <row r="77" spans="1:11" ht="28.5" x14ac:dyDescent="0.2">
      <c r="A77" s="102">
        <f t="shared" si="3"/>
        <v>50</v>
      </c>
      <c r="B77" s="103" t="str">
        <f>'Presupuesto Detallado'!C130</f>
        <v>5. Diseño e implantación de un sistema de gestión sostenible de museos en la CCSD.</v>
      </c>
      <c r="C77" s="107" t="s">
        <v>353</v>
      </c>
      <c r="D77" s="107" t="s">
        <v>354</v>
      </c>
      <c r="E77" s="112">
        <f>'Presupuesto Detallado'!F130</f>
        <v>200000</v>
      </c>
      <c r="F77" s="107">
        <v>4</v>
      </c>
      <c r="G77" s="101" t="s">
        <v>355</v>
      </c>
      <c r="H77" s="121" t="s">
        <v>361</v>
      </c>
      <c r="I77" s="107">
        <v>2017</v>
      </c>
      <c r="J77" s="98">
        <v>2022</v>
      </c>
      <c r="K77" s="106"/>
    </row>
    <row r="78" spans="1:11" ht="28.5" x14ac:dyDescent="0.2">
      <c r="A78" s="102">
        <f t="shared" si="3"/>
        <v>51</v>
      </c>
      <c r="B78" s="103" t="str">
        <f>'Presupuesto Detallado'!C132</f>
        <v>6. sistema de gestión del patrimonio subacuático en CCSD, incluyendo capacitación para catalogación, conservación, e interpretación.</v>
      </c>
      <c r="C78" s="107" t="s">
        <v>353</v>
      </c>
      <c r="D78" s="107" t="s">
        <v>354</v>
      </c>
      <c r="E78" s="112">
        <f>'Presupuesto Detallado'!F132</f>
        <v>200000</v>
      </c>
      <c r="F78" s="107">
        <v>4</v>
      </c>
      <c r="G78" s="101" t="s">
        <v>355</v>
      </c>
      <c r="H78" s="121" t="s">
        <v>361</v>
      </c>
      <c r="I78" s="107">
        <v>2017</v>
      </c>
      <c r="J78" s="98">
        <v>2022</v>
      </c>
      <c r="K78" s="106"/>
    </row>
    <row r="79" spans="1:11" ht="28.5" x14ac:dyDescent="0.2">
      <c r="A79" s="102">
        <f t="shared" si="3"/>
        <v>52</v>
      </c>
      <c r="B79" s="103" t="str">
        <f>'Presupuesto Detallado'!C134</f>
        <v>7. desarrollar e implementar un Programa de participación y animación cultural en la CCSD</v>
      </c>
      <c r="C79" s="107" t="s">
        <v>353</v>
      </c>
      <c r="D79" s="107" t="s">
        <v>354</v>
      </c>
      <c r="E79" s="112">
        <f>'Presupuesto Detallado'!F134</f>
        <v>200000</v>
      </c>
      <c r="F79" s="107">
        <v>4</v>
      </c>
      <c r="G79" s="101" t="s">
        <v>355</v>
      </c>
      <c r="H79" s="121" t="s">
        <v>361</v>
      </c>
      <c r="I79" s="107">
        <v>2017</v>
      </c>
      <c r="J79" s="98">
        <v>2022</v>
      </c>
      <c r="K79" s="106"/>
    </row>
    <row r="80" spans="1:11" ht="42.75" x14ac:dyDescent="0.2">
      <c r="A80" s="102">
        <f t="shared" si="3"/>
        <v>53</v>
      </c>
      <c r="B80" s="103" t="str">
        <f>'Presupuesto Detallado'!C136</f>
        <v>Diseño del Plan Maestro y Estrategia de Comunicación y Sensibilización del Programa (incluye: estrategia general y acciones puntuales para cada proyecto).</v>
      </c>
      <c r="C80" s="107" t="s">
        <v>353</v>
      </c>
      <c r="D80" s="107" t="s">
        <v>354</v>
      </c>
      <c r="E80" s="112">
        <f>'Presupuesto Detallado'!F136</f>
        <v>250000</v>
      </c>
      <c r="F80" s="107">
        <v>4</v>
      </c>
      <c r="G80" s="101" t="s">
        <v>355</v>
      </c>
      <c r="H80" s="121" t="s">
        <v>361</v>
      </c>
      <c r="I80" s="107">
        <v>2017</v>
      </c>
      <c r="J80" s="98">
        <v>2022</v>
      </c>
      <c r="K80" s="106"/>
    </row>
    <row r="81" spans="1:11" ht="28.5" x14ac:dyDescent="0.2">
      <c r="A81" s="102">
        <f t="shared" si="3"/>
        <v>54</v>
      </c>
      <c r="B81" s="103" t="str">
        <f>'Presupuesto Detallado'!C137</f>
        <v>Plan de Comunicación más el diseño y producción de 5 campañas de sensibilización durante 5 años. Colocación en Medios como aporte local.</v>
      </c>
      <c r="C81" s="107" t="s">
        <v>353</v>
      </c>
      <c r="D81" s="107" t="s">
        <v>354</v>
      </c>
      <c r="E81" s="112">
        <f>'Presupuesto Detallado'!F137</f>
        <v>1100000</v>
      </c>
      <c r="F81" s="107">
        <v>4</v>
      </c>
      <c r="G81" s="101" t="s">
        <v>355</v>
      </c>
      <c r="H81" s="121" t="s">
        <v>361</v>
      </c>
      <c r="I81" s="107">
        <v>2017</v>
      </c>
      <c r="J81" s="98">
        <v>2022</v>
      </c>
      <c r="K81" s="106"/>
    </row>
    <row r="82" spans="1:11" ht="21" customHeight="1" x14ac:dyDescent="0.2">
      <c r="A82" s="102">
        <f t="shared" si="3"/>
        <v>55</v>
      </c>
      <c r="B82" s="103" t="str">
        <f>'Presupuesto Detallado'!C138</f>
        <v>Programa de Conocimiento de Casos de Éxitos.</v>
      </c>
      <c r="C82" s="107" t="s">
        <v>353</v>
      </c>
      <c r="D82" s="107" t="s">
        <v>354</v>
      </c>
      <c r="E82" s="112">
        <f>'Presupuesto Detallado'!F138</f>
        <v>200000</v>
      </c>
      <c r="F82" s="107">
        <v>4</v>
      </c>
      <c r="G82" s="101" t="s">
        <v>355</v>
      </c>
      <c r="H82" s="121" t="s">
        <v>361</v>
      </c>
      <c r="I82" s="107">
        <v>2017</v>
      </c>
      <c r="J82" s="98">
        <v>2022</v>
      </c>
      <c r="K82" s="106"/>
    </row>
    <row r="83" spans="1:11" ht="42.75" x14ac:dyDescent="0.2">
      <c r="A83" s="102">
        <f t="shared" si="3"/>
        <v>56</v>
      </c>
      <c r="B83" s="103" t="str">
        <f>'Presupuesto Detallado'!C140</f>
        <v xml:space="preserve">Diseño e implementación del Plan de ade participación y relaciones comunitarias del Programa. Creacion de Oficina de Atención Social Comunitaria. </v>
      </c>
      <c r="C83" s="107" t="s">
        <v>353</v>
      </c>
      <c r="D83" s="107" t="s">
        <v>354</v>
      </c>
      <c r="E83" s="112">
        <f>'Presupuesto Detallado'!F140</f>
        <v>700000</v>
      </c>
      <c r="F83" s="107">
        <v>4</v>
      </c>
      <c r="G83" s="101" t="s">
        <v>355</v>
      </c>
      <c r="H83" s="121" t="s">
        <v>361</v>
      </c>
      <c r="I83" s="107">
        <v>2017</v>
      </c>
      <c r="J83" s="98">
        <v>2022</v>
      </c>
      <c r="K83" s="106"/>
    </row>
    <row r="84" spans="1:11" x14ac:dyDescent="0.2">
      <c r="A84" s="102">
        <f t="shared" si="3"/>
        <v>57</v>
      </c>
      <c r="B84" s="103" t="str">
        <f>'Presupuesto Detallado'!C174</f>
        <v>PRODUCTO 5.6: AUDITORIA</v>
      </c>
      <c r="C84" s="107" t="s">
        <v>353</v>
      </c>
      <c r="D84" s="107" t="s">
        <v>354</v>
      </c>
      <c r="E84" s="112">
        <f>'Presupuesto Detallado'!F174</f>
        <v>250000</v>
      </c>
      <c r="F84" s="107">
        <v>5</v>
      </c>
      <c r="G84" s="101" t="s">
        <v>355</v>
      </c>
      <c r="H84" s="121" t="s">
        <v>361</v>
      </c>
      <c r="I84" s="107">
        <v>2017</v>
      </c>
      <c r="J84" s="98">
        <v>2022</v>
      </c>
      <c r="K84" s="106"/>
    </row>
    <row r="85" spans="1:11" ht="15" x14ac:dyDescent="0.2">
      <c r="A85" s="124"/>
      <c r="B85" s="125"/>
      <c r="C85" s="126"/>
      <c r="D85" s="125"/>
      <c r="E85" s="127">
        <f>SUM(E37:E84)+E31+E36</f>
        <v>16560000</v>
      </c>
      <c r="F85" s="125"/>
      <c r="G85" s="126"/>
      <c r="H85" s="126"/>
      <c r="I85" s="125"/>
      <c r="J85" s="125"/>
      <c r="K85" s="128"/>
    </row>
    <row r="86" spans="1:11" ht="15" x14ac:dyDescent="0.2">
      <c r="A86" s="236" t="s">
        <v>358</v>
      </c>
      <c r="B86" s="237"/>
      <c r="C86" s="237"/>
      <c r="D86" s="237"/>
      <c r="E86" s="237"/>
      <c r="F86" s="237"/>
      <c r="G86" s="237"/>
      <c r="H86" s="237"/>
      <c r="I86" s="237"/>
      <c r="J86" s="237"/>
      <c r="K86" s="238"/>
    </row>
    <row r="87" spans="1:11" s="193" customFormat="1" ht="42.75" x14ac:dyDescent="0.2">
      <c r="A87" s="226">
        <v>1</v>
      </c>
      <c r="B87" s="103" t="str">
        <f>'Presupuesto Detallado'!C43</f>
        <v xml:space="preserve">Implementación de un sistema mejorado de recolección de residuos y limpieza urbana en la Ciudad Colonial: equipos, contenedores, obras y camiones.  </v>
      </c>
      <c r="C87" s="98"/>
      <c r="D87" s="98"/>
      <c r="E87" s="100">
        <f>'Presupuesto Detallado'!G43</f>
        <v>3000000</v>
      </c>
      <c r="F87" s="98">
        <v>1</v>
      </c>
      <c r="G87" s="101"/>
      <c r="H87" s="225"/>
      <c r="I87" s="225"/>
      <c r="J87" s="98"/>
      <c r="K87" s="103"/>
    </row>
    <row r="88" spans="1:11" s="193" customFormat="1" ht="25.5" customHeight="1" x14ac:dyDescent="0.2">
      <c r="A88" s="99">
        <f>A87+1</f>
        <v>2</v>
      </c>
      <c r="B88" s="103" t="str">
        <f>'Presupuesto Detallado'!C45</f>
        <v>SUMINISTRO y COLOCACIÓN: 400 luminarias</v>
      </c>
      <c r="C88" s="98"/>
      <c r="D88" s="98"/>
      <c r="E88" s="100">
        <f>'Presupuesto Detallado'!G45</f>
        <v>300000</v>
      </c>
      <c r="F88" s="98">
        <v>1</v>
      </c>
      <c r="G88" s="101"/>
      <c r="H88" s="225"/>
      <c r="I88" s="225"/>
      <c r="J88" s="98"/>
      <c r="K88" s="103"/>
    </row>
    <row r="89" spans="1:11" s="193" customFormat="1" ht="29.25" thickBot="1" x14ac:dyDescent="0.25">
      <c r="A89" s="99">
        <f t="shared" ref="A89:A93" si="4">A88+1</f>
        <v>3</v>
      </c>
      <c r="B89" s="103" t="str">
        <f>'Presupuesto Detallado'!C47</f>
        <v>INSTALACIÓN: Ampliación de red de cámaras y su respaldo informático (hardware y software) en 200 unidades exteriores.</v>
      </c>
      <c r="C89" s="98"/>
      <c r="D89" s="98"/>
      <c r="E89" s="100">
        <f>'Presupuesto Detallado'!G47</f>
        <v>900000</v>
      </c>
      <c r="F89" s="98">
        <v>1</v>
      </c>
      <c r="G89" s="101"/>
      <c r="H89" s="225"/>
      <c r="I89" s="225"/>
      <c r="J89" s="98"/>
      <c r="K89" s="103"/>
    </row>
    <row r="90" spans="1:11" s="193" customFormat="1" ht="28.5" x14ac:dyDescent="0.2">
      <c r="A90" s="99">
        <f>A89+1</f>
        <v>4</v>
      </c>
      <c r="B90" s="103" t="str">
        <f>'Presupuesto Detallado'!C78</f>
        <v>Fondo concursable para la generación de nuevos emprendimientos (20 nuevos emprendimientos) servicios para la ciudad o residentes</v>
      </c>
      <c r="C90" s="98" t="s">
        <v>353</v>
      </c>
      <c r="D90" s="98" t="s">
        <v>354</v>
      </c>
      <c r="E90" s="100">
        <f>'Presupuesto Detallado'!G78</f>
        <v>400000</v>
      </c>
      <c r="F90" s="98">
        <v>3</v>
      </c>
      <c r="G90" s="101" t="s">
        <v>355</v>
      </c>
      <c r="H90" s="225" t="s">
        <v>359</v>
      </c>
      <c r="I90" s="114">
        <v>2017</v>
      </c>
      <c r="J90" s="98">
        <v>2022</v>
      </c>
      <c r="K90" s="103"/>
    </row>
    <row r="91" spans="1:11" ht="15" thickBot="1" x14ac:dyDescent="0.25">
      <c r="A91" s="129">
        <f>A90+1</f>
        <v>5</v>
      </c>
      <c r="B91" s="106" t="str">
        <f>'Presupuesto Detallado'!C171</f>
        <v>PRODUCTO 5.2: GASTOS OPERATIVOS/ ADMINISTRATIVOS</v>
      </c>
      <c r="C91" s="98" t="s">
        <v>353</v>
      </c>
      <c r="D91" s="98" t="s">
        <v>354</v>
      </c>
      <c r="E91" s="100">
        <f>'Presupuesto Detallado'!G171</f>
        <v>480000</v>
      </c>
      <c r="F91" s="98">
        <v>5</v>
      </c>
      <c r="G91" s="101" t="s">
        <v>355</v>
      </c>
      <c r="H91" s="113" t="s">
        <v>359</v>
      </c>
      <c r="I91" s="98">
        <v>2017</v>
      </c>
      <c r="J91" s="98">
        <v>2022</v>
      </c>
      <c r="K91" s="103"/>
    </row>
    <row r="92" spans="1:11" ht="15" thickBot="1" x14ac:dyDescent="0.25">
      <c r="A92" s="129">
        <f t="shared" si="4"/>
        <v>6</v>
      </c>
      <c r="B92" s="106" t="str">
        <f>'Presupuesto Detallado'!C172</f>
        <v>PRODUCTO 5.3: EQUIPOS DE INFORMATICA Y SOFTWARE</v>
      </c>
      <c r="C92" s="107" t="s">
        <v>353</v>
      </c>
      <c r="D92" s="107" t="s">
        <v>354</v>
      </c>
      <c r="E92" s="112">
        <f>'Presupuesto Detallado'!G172</f>
        <v>60000</v>
      </c>
      <c r="F92" s="107">
        <v>5</v>
      </c>
      <c r="G92" s="101" t="s">
        <v>355</v>
      </c>
      <c r="H92" s="113" t="s">
        <v>398</v>
      </c>
      <c r="I92" s="114">
        <v>2017</v>
      </c>
      <c r="J92" s="98">
        <v>2022</v>
      </c>
      <c r="K92" s="106"/>
    </row>
    <row r="93" spans="1:11" x14ac:dyDescent="0.2">
      <c r="A93" s="129">
        <f t="shared" si="4"/>
        <v>7</v>
      </c>
      <c r="B93" s="106" t="str">
        <f>'Presupuesto Detallado'!C173</f>
        <v>PRODUCTO 5.4: MOBILIARIO Y EQUIPOS</v>
      </c>
      <c r="C93" s="107" t="s">
        <v>353</v>
      </c>
      <c r="D93" s="107" t="s">
        <v>354</v>
      </c>
      <c r="E93" s="112">
        <f>'Presupuesto Detallado'!G173</f>
        <v>60000</v>
      </c>
      <c r="F93" s="107">
        <v>5</v>
      </c>
      <c r="G93" s="101" t="s">
        <v>355</v>
      </c>
      <c r="H93" s="113" t="s">
        <v>398</v>
      </c>
      <c r="I93" s="114">
        <v>2017</v>
      </c>
      <c r="J93" s="98">
        <v>2022</v>
      </c>
      <c r="K93" s="106"/>
    </row>
    <row r="94" spans="1:11" ht="15" x14ac:dyDescent="0.2">
      <c r="A94" s="111"/>
      <c r="B94" s="106"/>
      <c r="C94" s="107"/>
      <c r="D94" s="107"/>
      <c r="E94" s="108">
        <f>SUM(E87:E93)</f>
        <v>5200000</v>
      </c>
      <c r="F94" s="107"/>
      <c r="G94" s="115"/>
      <c r="H94" s="107"/>
      <c r="I94" s="116"/>
      <c r="J94" s="116"/>
      <c r="K94" s="117"/>
    </row>
    <row r="95" spans="1:11" ht="15" x14ac:dyDescent="0.2">
      <c r="A95" s="236" t="s">
        <v>399</v>
      </c>
      <c r="B95" s="237"/>
      <c r="C95" s="237"/>
      <c r="D95" s="237"/>
      <c r="E95" s="237"/>
      <c r="F95" s="237"/>
      <c r="G95" s="237"/>
      <c r="H95" s="237"/>
      <c r="I95" s="237"/>
      <c r="J95" s="237"/>
      <c r="K95" s="238"/>
    </row>
    <row r="96" spans="1:11" ht="28.5" x14ac:dyDescent="0.2">
      <c r="A96" s="200">
        <v>1</v>
      </c>
      <c r="B96" s="195" t="str">
        <f>'Presupuesto Detallado'!C30</f>
        <v>IMPLEMENTACION MUSEOGRAFIA: Museo Alcázar de Colón (diseñada en 1era Operación)</v>
      </c>
      <c r="C96" s="196"/>
      <c r="D96" s="196"/>
      <c r="E96" s="197">
        <f>'Presupuesto Detallado'!I30</f>
        <v>400000</v>
      </c>
      <c r="F96" s="196">
        <v>1</v>
      </c>
      <c r="G96" s="198"/>
      <c r="H96" s="199"/>
      <c r="I96" s="196"/>
      <c r="J96" s="196"/>
      <c r="K96" s="106"/>
    </row>
    <row r="97" spans="1:11" ht="30.75" customHeight="1" x14ac:dyDescent="0.2">
      <c r="A97" s="201">
        <f t="shared" ref="A97:A99" si="5">A96+1</f>
        <v>2</v>
      </c>
      <c r="B97" s="195" t="str">
        <f>'Presupuesto Detallado'!C34</f>
        <v>IMPLEMENTACION MUSEOGRAFIA: Museo Casas Reales (diseñada en 1era Operación)</v>
      </c>
      <c r="C97" s="196"/>
      <c r="D97" s="196"/>
      <c r="E97" s="197">
        <f>'Presupuesto Detallado'!I34</f>
        <v>1000000</v>
      </c>
      <c r="F97" s="196">
        <v>1</v>
      </c>
      <c r="G97" s="198"/>
      <c r="H97" s="199"/>
      <c r="I97" s="196"/>
      <c r="J97" s="196"/>
      <c r="K97" s="110"/>
    </row>
    <row r="98" spans="1:11" ht="30.75" customHeight="1" x14ac:dyDescent="0.2">
      <c r="A98" s="201">
        <f t="shared" si="5"/>
        <v>3</v>
      </c>
      <c r="B98" s="195" t="str">
        <f>'Presupuesto Detallado'!C35</f>
        <v xml:space="preserve">IMPLEMENTACION MUSEOGRAFIA: Fortaleza  (diseñada en 1era Operación) </v>
      </c>
      <c r="C98" s="196"/>
      <c r="D98" s="196"/>
      <c r="E98" s="197">
        <f>'Presupuesto Detallado'!I35</f>
        <v>660000</v>
      </c>
      <c r="F98" s="196">
        <v>1</v>
      </c>
      <c r="G98" s="198"/>
      <c r="H98" s="199"/>
      <c r="I98" s="196"/>
      <c r="J98" s="196"/>
      <c r="K98" s="110"/>
    </row>
    <row r="99" spans="1:11" ht="30.75" customHeight="1" x14ac:dyDescent="0.2">
      <c r="A99" s="201">
        <f t="shared" si="5"/>
        <v>4</v>
      </c>
      <c r="B99" s="195" t="str">
        <f>'Presupuesto Detallado'!C36</f>
        <v xml:space="preserve">IMPLEMENTACION MUSEOGRAFIA: Museo de la Catedral (diseñada en 1era Operación) </v>
      </c>
      <c r="C99" s="196"/>
      <c r="D99" s="196"/>
      <c r="E99" s="197">
        <f>'Presupuesto Detallado'!I36</f>
        <v>500000</v>
      </c>
      <c r="F99" s="196">
        <v>1</v>
      </c>
      <c r="G99" s="198"/>
      <c r="H99" s="199"/>
      <c r="I99" s="196"/>
      <c r="J99" s="196"/>
      <c r="K99" s="110"/>
    </row>
    <row r="100" spans="1:11" ht="15" customHeight="1" x14ac:dyDescent="0.2">
      <c r="A100" s="202"/>
      <c r="B100" s="203" t="s">
        <v>419</v>
      </c>
      <c r="C100" s="204" t="s">
        <v>353</v>
      </c>
      <c r="D100" s="204" t="s">
        <v>354</v>
      </c>
      <c r="E100" s="205">
        <f>SUM(E96:E99)</f>
        <v>2560000</v>
      </c>
      <c r="F100" s="204"/>
      <c r="G100" s="206" t="s">
        <v>355</v>
      </c>
      <c r="H100" s="207" t="s">
        <v>359</v>
      </c>
      <c r="I100" s="204">
        <v>2018</v>
      </c>
      <c r="J100" s="204">
        <v>2021</v>
      </c>
      <c r="K100" s="202"/>
    </row>
    <row r="101" spans="1:11" ht="74.25" customHeight="1" x14ac:dyDescent="0.2">
      <c r="A101" s="129">
        <f>A99+1</f>
        <v>5</v>
      </c>
      <c r="B101" s="103" t="str">
        <f>'Presupuesto Detallado'!C16</f>
        <v xml:space="preserve">Protocolo inter institucional para el traspaso de la infraestructura a las instituciones responsables de su mantenimiento. Incluye mantenimiento menor de las nuevas infraestructuras terminadas (espacio público: calles y plazas) durante la vida del Programa CC.  Reemplazo de Bolardos, Adoquines, Luminarias y mobiliario urbano.  </v>
      </c>
      <c r="C101" s="107" t="s">
        <v>353</v>
      </c>
      <c r="D101" s="107" t="s">
        <v>354</v>
      </c>
      <c r="E101" s="112">
        <f>'Presupuesto Detallado'!I16</f>
        <v>750000</v>
      </c>
      <c r="F101" s="107">
        <v>1</v>
      </c>
      <c r="G101" s="101" t="s">
        <v>355</v>
      </c>
      <c r="H101" s="113" t="s">
        <v>359</v>
      </c>
      <c r="I101" s="107">
        <v>2017</v>
      </c>
      <c r="J101" s="98">
        <v>2022</v>
      </c>
      <c r="K101" s="106"/>
    </row>
    <row r="102" spans="1:11" ht="58.5" customHeight="1" x14ac:dyDescent="0.2">
      <c r="A102" s="129">
        <f>A101+1</f>
        <v>6</v>
      </c>
      <c r="B102" s="103" t="str">
        <f>'Presupuesto Detallado'!C84</f>
        <v>Actualización del Plan de Animación Cultural Urbana  para Ciudad Colonial (operación No. 2587/OC-DR) e implementación del Proyecto de Consolidación de la Oferta Cultural de Ciudad Colonial.</v>
      </c>
      <c r="C102" s="107" t="s">
        <v>353</v>
      </c>
      <c r="D102" s="107" t="s">
        <v>354</v>
      </c>
      <c r="E102" s="112">
        <f>'Presupuesto Detallado'!I84</f>
        <v>600000</v>
      </c>
      <c r="F102" s="107">
        <v>3</v>
      </c>
      <c r="G102" s="101" t="s">
        <v>355</v>
      </c>
      <c r="H102" s="113" t="s">
        <v>359</v>
      </c>
      <c r="I102" s="107">
        <v>2017</v>
      </c>
      <c r="J102" s="98">
        <v>2022</v>
      </c>
      <c r="K102" s="106"/>
    </row>
    <row r="103" spans="1:11" x14ac:dyDescent="0.2">
      <c r="A103" s="129">
        <f>A102+1</f>
        <v>7</v>
      </c>
      <c r="B103" s="104" t="str">
        <f>'Presupuesto Detallado'!C86</f>
        <v>Implementación espectáculo cultural teatralizado Fortaleza Ozama</v>
      </c>
      <c r="C103" s="107" t="s">
        <v>353</v>
      </c>
      <c r="D103" s="107" t="s">
        <v>354</v>
      </c>
      <c r="E103" s="112">
        <f>'Presupuesto Detallado'!I86</f>
        <v>500000</v>
      </c>
      <c r="F103" s="107">
        <v>3</v>
      </c>
      <c r="G103" s="101" t="s">
        <v>355</v>
      </c>
      <c r="H103" s="113" t="s">
        <v>359</v>
      </c>
      <c r="I103" s="107">
        <v>2019</v>
      </c>
      <c r="J103" s="98">
        <v>2019</v>
      </c>
      <c r="K103" s="106"/>
    </row>
    <row r="104" spans="1:11" ht="43.5" customHeight="1" x14ac:dyDescent="0.2">
      <c r="A104" s="129">
        <f>A103+1</f>
        <v>8</v>
      </c>
      <c r="B104" s="103" t="str">
        <f>'Presupuesto Detallado'!C110</f>
        <v>DISEÑO, SUMINISTRO y COLOCACIÓN: Señalización Turística general y acorde a las nuevas rutas turísticas diseñadas en la primera operación.</v>
      </c>
      <c r="C104" s="107" t="s">
        <v>353</v>
      </c>
      <c r="D104" s="107" t="s">
        <v>354</v>
      </c>
      <c r="E104" s="112">
        <f>'Presupuesto Detallado'!I110</f>
        <v>500000</v>
      </c>
      <c r="F104" s="107">
        <v>3</v>
      </c>
      <c r="G104" s="101" t="s">
        <v>355</v>
      </c>
      <c r="H104" s="113" t="s">
        <v>359</v>
      </c>
      <c r="I104" s="107">
        <v>2017</v>
      </c>
      <c r="J104" s="98">
        <v>2022</v>
      </c>
      <c r="K104" s="106"/>
    </row>
    <row r="105" spans="1:11" ht="15" x14ac:dyDescent="0.2">
      <c r="A105" s="111"/>
      <c r="B105" s="106"/>
      <c r="C105" s="107"/>
      <c r="D105" s="107"/>
      <c r="E105" s="108">
        <f>SUM(E101:E104)+E100</f>
        <v>4910000</v>
      </c>
      <c r="F105" s="107"/>
      <c r="G105" s="115"/>
      <c r="H105" s="107"/>
      <c r="I105" s="116"/>
      <c r="J105" s="116"/>
      <c r="K105" s="117"/>
    </row>
    <row r="106" spans="1:11" ht="30" customHeight="1" x14ac:dyDescent="0.2">
      <c r="A106" s="236" t="s">
        <v>363</v>
      </c>
      <c r="B106" s="237"/>
      <c r="C106" s="237"/>
      <c r="D106" s="237"/>
      <c r="E106" s="237"/>
      <c r="F106" s="237"/>
      <c r="G106" s="237"/>
      <c r="H106" s="237"/>
      <c r="I106" s="237"/>
      <c r="J106" s="237"/>
      <c r="K106" s="238"/>
    </row>
    <row r="107" spans="1:11" ht="90" customHeight="1" x14ac:dyDescent="0.2">
      <c r="A107" s="129">
        <v>1</v>
      </c>
      <c r="B107" s="106" t="str">
        <f>'Presupuesto Detallado'!C11</f>
        <v>OBRA: NIVEL A -Calle El Conde y Escalinatas (entre Palo Hincado y Avenida del Puerto) 1,000 mts Lineales. 
Corrección del sistema de suministro de agua, drenaje pluvial, alcantarillas, obra civil de infraestructura cableado eléctrico y de telecomunicación,. Acabados nivel A, nueva pavimentación, iluminación, mobiliario, señalización y arborización. "Proyecto Revitalización Integral Calle el Conde".</v>
      </c>
      <c r="C107" s="107"/>
      <c r="D107" s="107"/>
      <c r="E107" s="112">
        <f>'Presupuesto Detallado'!H11</f>
        <v>3500000</v>
      </c>
      <c r="F107" s="107">
        <v>1</v>
      </c>
      <c r="G107" s="101"/>
      <c r="H107" s="113"/>
      <c r="I107" s="107"/>
      <c r="J107" s="98"/>
      <c r="K107" s="130"/>
    </row>
    <row r="108" spans="1:11" ht="76.5" customHeight="1" x14ac:dyDescent="0.2">
      <c r="A108" s="129">
        <f>A107+1</f>
        <v>2</v>
      </c>
      <c r="B108" s="106" t="str">
        <f>'Presupuesto Detallado'!C12</f>
        <v>OBRA: NIVEL B - Calles Padre Billini y Mercedes entre Palo Hincado y Hostos, Duarte entre Avenida Mella y Billini. 2030 mts. 
Consiste en la Reforma Integral de las calles: Infraestructura (agua potable, alcantarillas, pluviales, obra civil electricidad y telecomunicaciones) y Acabados  de nivel B (pavimentos, mobiliario urbano, señalización, arborización), incluye seguridad y salud.</v>
      </c>
      <c r="C108" s="107"/>
      <c r="D108" s="107"/>
      <c r="E108" s="112">
        <f>'Presupuesto Detallado'!H12</f>
        <v>5300000</v>
      </c>
      <c r="F108" s="107">
        <v>1</v>
      </c>
      <c r="G108" s="101"/>
      <c r="H108" s="113"/>
      <c r="I108" s="107"/>
      <c r="J108" s="98"/>
      <c r="K108" s="130"/>
    </row>
    <row r="109" spans="1:11" ht="99.75" x14ac:dyDescent="0.2">
      <c r="A109" s="129">
        <f t="shared" ref="A109:A113" si="6">A108+1</f>
        <v>3</v>
      </c>
      <c r="B109" s="106" t="str">
        <f>'Presupuesto Detallado'!C13</f>
        <v>OBRA: NIVEL C - Calles Nouel de Palo Hincado a Meriño,  Hostos entre Isidro Pérez y JGGarcia, Las Damas entre Mercedes y Plaza Pellerano Alfau, Mercedes entre Católica y Las Damas, Billini entre Católica y Las Damas, Luperón de Meriño a Mercedes, Calles y Espacios Públicos Santa Bárbara 3.400 mts 
Consiste en nuevo pavimento, ampliar aceras, mobiliario urbano, vegetación, paisajismo, otros. Acabados nivel B.</v>
      </c>
      <c r="C109" s="107"/>
      <c r="D109" s="107"/>
      <c r="E109" s="112">
        <f>'Presupuesto Detallado'!H13</f>
        <v>4850000</v>
      </c>
      <c r="F109" s="107">
        <v>1</v>
      </c>
      <c r="G109" s="101"/>
      <c r="H109" s="113"/>
      <c r="I109" s="107"/>
      <c r="J109" s="98"/>
      <c r="K109" s="130"/>
    </row>
    <row r="110" spans="1:11" ht="99.75" x14ac:dyDescent="0.2">
      <c r="A110" s="129">
        <f t="shared" si="6"/>
        <v>4</v>
      </c>
      <c r="B110" s="106" t="str">
        <f>'Presupuesto Detallado'!C21</f>
        <v>OBRA: NIVEL A - Calles Restauración y Juan isidro Pérez (entre Duarte y Hostos), Hostos (entre Isidro Pérez y Restauración), Tejera (entre Hostos y Meriño). 500 metros lineales. Incluye un parqueo.
Consiste en la Reforma Integral de las calles: Infraestructura (agua potable, alcantarillas, pluviales, obra civil electricidad y telecomunicaciones) y Acabados  de nivel A (pavimentos, mobiliario urbano, señalización, arborización), incluye seguridad y salud.</v>
      </c>
      <c r="C110" s="181"/>
      <c r="D110" s="182"/>
      <c r="E110" s="112">
        <f>'Presupuesto Detallado'!H21</f>
        <v>2320000</v>
      </c>
      <c r="F110" s="107">
        <v>1</v>
      </c>
      <c r="G110" s="181"/>
      <c r="H110" s="181"/>
      <c r="I110" s="182"/>
      <c r="J110" s="182"/>
      <c r="K110" s="110"/>
    </row>
    <row r="111" spans="1:11" ht="28.5" x14ac:dyDescent="0.2">
      <c r="A111" s="129">
        <f t="shared" si="6"/>
        <v>5</v>
      </c>
      <c r="B111" s="103" t="str">
        <f>'Presupuesto Detallado'!C109</f>
        <v>Adecuación de servicios públicos en dependencias del Estado. gestión del servicio. Acceso a discapacitados.</v>
      </c>
      <c r="C111" s="107"/>
      <c r="D111" s="107"/>
      <c r="E111" s="112">
        <f>'Presupuesto Detallado'!F109</f>
        <v>200000</v>
      </c>
      <c r="F111" s="107">
        <v>4</v>
      </c>
      <c r="G111" s="101"/>
      <c r="H111" s="121"/>
      <c r="I111" s="107"/>
      <c r="J111" s="98"/>
      <c r="K111" s="106"/>
    </row>
    <row r="112" spans="1:11" ht="43.5" customHeight="1" x14ac:dyDescent="0.2">
      <c r="A112" s="129">
        <f t="shared" si="6"/>
        <v>6</v>
      </c>
      <c r="B112" s="106" t="str">
        <f>'Presupuesto Detallado'!C40</f>
        <v>OBRA: Ejecución Implementación Física PMUS
Suministro y colocación de señalética, marcas, carteles, elementos urbanos de tráfico correspondientes a la nueva movilidad urbana</v>
      </c>
      <c r="C112" s="107"/>
      <c r="D112" s="107"/>
      <c r="E112" s="112">
        <f>'Presupuesto Detallado'!H40</f>
        <v>340000</v>
      </c>
      <c r="F112" s="107">
        <v>1</v>
      </c>
      <c r="G112" s="101"/>
      <c r="H112" s="113"/>
      <c r="I112" s="107"/>
      <c r="J112" s="98"/>
      <c r="K112" s="110"/>
    </row>
    <row r="113" spans="1:11" ht="51" customHeight="1" x14ac:dyDescent="0.2">
      <c r="A113" s="129">
        <f t="shared" si="6"/>
        <v>7</v>
      </c>
      <c r="B113" s="106" t="str">
        <f>'Presupuesto Detallado'!C41</f>
        <v xml:space="preserve">OBRA: Diseño y ejecución de obra de una de las locaciones de Estacionamiento del Sistema de Estacionamientos propuesto </v>
      </c>
      <c r="C113" s="107"/>
      <c r="D113" s="107"/>
      <c r="E113" s="112">
        <f>'Presupuesto Detallado'!H41</f>
        <v>2308000</v>
      </c>
      <c r="F113" s="107">
        <v>1</v>
      </c>
      <c r="G113" s="101"/>
      <c r="H113" s="113"/>
      <c r="I113" s="107"/>
      <c r="J113" s="98"/>
      <c r="K113" s="110"/>
    </row>
    <row r="114" spans="1:11" ht="57" x14ac:dyDescent="0.2">
      <c r="A114" s="129">
        <f>A113+1</f>
        <v>8</v>
      </c>
      <c r="B114" s="106" t="str">
        <f>'Presupuesto Detallado'!C14</f>
        <v>OBRA SOTERRADO: NIVEL A y B -  Soterrado de cableado eléctrico.  (1.1.6). 3030 mts lineales 
Consiste en el soterrado de cableado eléctrico, retiro de postes y suministro y construcción de centros transformadores y obra civil.</v>
      </c>
      <c r="C114" s="107"/>
      <c r="D114" s="107"/>
      <c r="E114" s="112">
        <f>'Presupuesto Detallado'!H14</f>
        <v>8500000</v>
      </c>
      <c r="F114" s="107">
        <v>1</v>
      </c>
      <c r="G114" s="101"/>
      <c r="H114" s="113"/>
      <c r="I114" s="107"/>
      <c r="J114" s="98"/>
      <c r="K114" s="130"/>
    </row>
    <row r="115" spans="1:11" ht="15.75" customHeight="1" x14ac:dyDescent="0.2">
      <c r="A115" s="202"/>
      <c r="B115" s="203" t="s">
        <v>417</v>
      </c>
      <c r="C115" s="204" t="s">
        <v>353</v>
      </c>
      <c r="D115" s="204" t="s">
        <v>354</v>
      </c>
      <c r="E115" s="205">
        <f>SUM(E107:E114)</f>
        <v>27318000</v>
      </c>
      <c r="F115" s="204"/>
      <c r="G115" s="206" t="s">
        <v>355</v>
      </c>
      <c r="H115" s="207" t="s">
        <v>359</v>
      </c>
      <c r="I115" s="204">
        <v>2018</v>
      </c>
      <c r="J115" s="204">
        <v>2022</v>
      </c>
      <c r="K115" s="202"/>
    </row>
    <row r="116" spans="1:11" ht="42.75" x14ac:dyDescent="0.2">
      <c r="A116" s="129">
        <f>A114+1</f>
        <v>9</v>
      </c>
      <c r="B116" s="227" t="str">
        <f>'Presupuesto Detallado'!C26</f>
        <v>Obra Proyecto Parque Lineal Ribera del Ozama (Paisajismo, Accesos Priorizados y conectividad: Estacionamientos, movilidad, accesos cruceristas, vínculos ribera este y oeste de la ría).</v>
      </c>
      <c r="C116" s="228"/>
      <c r="D116" s="228"/>
      <c r="E116" s="229">
        <f>'Presupuesto Detallado'!H26</f>
        <v>1650000</v>
      </c>
      <c r="F116" s="107">
        <v>1</v>
      </c>
      <c r="G116" s="101"/>
      <c r="H116" s="113"/>
      <c r="I116" s="107"/>
      <c r="J116" s="98"/>
      <c r="K116" s="110"/>
    </row>
    <row r="117" spans="1:11" ht="42.75" x14ac:dyDescent="0.2">
      <c r="A117" s="129">
        <f>A116+1</f>
        <v>10</v>
      </c>
      <c r="B117" s="106" t="str">
        <f>'Presupuesto Detallado'!C67</f>
        <v>OBRA:  Reforma de plazas tradicionales y su entorno en sector norte de Ciudad Colonial: plaza de San Lázaro (1100 m2), plaza San Miguel (1620 m2) y Parque Colón (100 U$S/m2).</v>
      </c>
      <c r="C117" s="107"/>
      <c r="D117" s="107"/>
      <c r="E117" s="112">
        <f>'Presupuesto Detallado'!H67</f>
        <v>1500000</v>
      </c>
      <c r="F117" s="107">
        <v>2</v>
      </c>
      <c r="G117" s="101"/>
      <c r="H117" s="113"/>
      <c r="I117" s="107"/>
      <c r="J117" s="98"/>
      <c r="K117" s="110"/>
    </row>
    <row r="118" spans="1:11" ht="91.5" customHeight="1" x14ac:dyDescent="0.2">
      <c r="A118" s="129">
        <f t="shared" ref="A118:A122" si="7">A117+1</f>
        <v>11</v>
      </c>
      <c r="B118" s="227" t="str">
        <f>'Presupuesto Detallado'!C69</f>
        <v>OBRA: Reintegración  de Fuertes y ronda de la Muralla: incluyendo a) Consolidación, limpieza y reparación de pavimentos en Fuertes (San Miguel, San Antón y Santa Bárbara); b) remozamiento de las puerta de Atarazanas y Don Diego; c) Recuperación de la ronda de la muralla desde el Fuerte de San Miguel hasta la Fortaleza de Santo Domingo (Ozama).</v>
      </c>
      <c r="C118" s="228"/>
      <c r="D118" s="228"/>
      <c r="E118" s="229">
        <f>'Presupuesto Detallado'!H69</f>
        <v>4840000</v>
      </c>
      <c r="F118" s="107">
        <v>2</v>
      </c>
      <c r="G118" s="101"/>
      <c r="H118" s="113"/>
      <c r="I118" s="107"/>
      <c r="J118" s="98"/>
      <c r="K118" s="110"/>
    </row>
    <row r="119" spans="1:11" ht="42.75" x14ac:dyDescent="0.2">
      <c r="A119" s="129">
        <f t="shared" si="7"/>
        <v>12</v>
      </c>
      <c r="B119" s="227" t="str">
        <f>'Presupuesto Detallado'!C20</f>
        <v>Obras de rehabilitación del Monasterio de San Francisco (Capilla de la Tercera Orden, Centro de Interpretación, y Parque Arqueológico, sujeto a consenso). Etapa 1</v>
      </c>
      <c r="C119" s="228"/>
      <c r="D119" s="228"/>
      <c r="E119" s="229">
        <f>'Presupuesto Detallado'!H20</f>
        <v>6500000</v>
      </c>
      <c r="F119" s="107">
        <v>1</v>
      </c>
      <c r="G119" s="101"/>
      <c r="H119" s="113"/>
      <c r="I119" s="107"/>
      <c r="J119" s="98"/>
      <c r="K119" s="130"/>
    </row>
    <row r="120" spans="1:11" ht="42.75" x14ac:dyDescent="0.2">
      <c r="A120" s="129">
        <f t="shared" si="7"/>
        <v>13</v>
      </c>
      <c r="B120" s="106" t="str">
        <f>'Presupuesto Detallado'!C28</f>
        <v>OBRA: Adecuación y Mantenimiento Planta Física Alcázar de Colón.
Consiste en adecuación de la climatización, conservación, impermeabilización, fumigación, y nuevos baños.</v>
      </c>
      <c r="C120" s="107"/>
      <c r="D120" s="107"/>
      <c r="E120" s="112">
        <f>'Presupuesto Detallado'!H28</f>
        <v>350000</v>
      </c>
      <c r="F120" s="107">
        <v>1</v>
      </c>
      <c r="G120" s="101"/>
      <c r="H120" s="113"/>
      <c r="I120" s="107"/>
      <c r="J120" s="98"/>
      <c r="K120" s="110"/>
    </row>
    <row r="121" spans="1:11" ht="42.75" x14ac:dyDescent="0.2">
      <c r="A121" s="129">
        <f t="shared" si="7"/>
        <v>14</v>
      </c>
      <c r="B121" s="106" t="str">
        <f>'Presupuesto Detallado'!C31</f>
        <v>OBRA: Adecuación y Mantenimiento Planta Física Casas Reales.
Consiste en la adecuación de la climatización, conservación, nuevo ascensor, reformas.</v>
      </c>
      <c r="C121" s="107"/>
      <c r="D121" s="107"/>
      <c r="E121" s="112">
        <f>'Presupuesto Detallado'!H31</f>
        <v>2000000</v>
      </c>
      <c r="F121" s="107">
        <v>1</v>
      </c>
      <c r="G121" s="101"/>
      <c r="H121" s="113"/>
      <c r="I121" s="107"/>
      <c r="J121" s="98"/>
      <c r="K121" s="110"/>
    </row>
    <row r="122" spans="1:11" ht="42.75" x14ac:dyDescent="0.2">
      <c r="A122" s="129">
        <f t="shared" si="7"/>
        <v>15</v>
      </c>
      <c r="B122" s="106" t="str">
        <f>'Presupuesto Detallado'!C32</f>
        <v>OBRA: Techado patios Museo Casas Reales.
Consiste en el techado mediante cristal en transparencia de los patios interiores, uno para librería café y otro para eventos.</v>
      </c>
      <c r="C122" s="107"/>
      <c r="D122" s="107"/>
      <c r="E122" s="112">
        <f>'Presupuesto Detallado'!H32</f>
        <v>700000</v>
      </c>
      <c r="F122" s="107">
        <v>1</v>
      </c>
      <c r="G122" s="101"/>
      <c r="H122" s="113"/>
      <c r="I122" s="107"/>
      <c r="J122" s="98"/>
      <c r="K122" s="110"/>
    </row>
    <row r="123" spans="1:11" ht="14.25" customHeight="1" x14ac:dyDescent="0.2">
      <c r="A123" s="202"/>
      <c r="B123" s="203" t="s">
        <v>418</v>
      </c>
      <c r="C123" s="204" t="s">
        <v>353</v>
      </c>
      <c r="D123" s="204" t="s">
        <v>354</v>
      </c>
      <c r="E123" s="205">
        <f>SUM(E116:E122)</f>
        <v>17540000</v>
      </c>
      <c r="F123" s="204"/>
      <c r="G123" s="206" t="s">
        <v>355</v>
      </c>
      <c r="H123" s="207" t="s">
        <v>359</v>
      </c>
      <c r="I123" s="204">
        <v>2017</v>
      </c>
      <c r="J123" s="204">
        <v>2022</v>
      </c>
      <c r="K123" s="202"/>
    </row>
    <row r="124" spans="1:11" ht="48.75" customHeight="1" x14ac:dyDescent="0.2">
      <c r="A124" s="129">
        <f>A122+1</f>
        <v>16</v>
      </c>
      <c r="B124" s="103" t="str">
        <f>'Presupuesto Detallado'!C54</f>
        <v xml:space="preserve">Obras de Mejoramiento de Vivienda y Titulación de 200 unidades acuerdo a tipologías de intervención e identificación de necesidades en levantamiento de información </v>
      </c>
      <c r="C124" s="107"/>
      <c r="D124" s="107"/>
      <c r="E124" s="112">
        <f>'Presupuesto Detallado'!H54</f>
        <v>1300000</v>
      </c>
      <c r="F124" s="107">
        <v>2</v>
      </c>
      <c r="G124" s="101"/>
      <c r="H124" s="113"/>
      <c r="I124" s="107"/>
      <c r="J124" s="98"/>
      <c r="K124" s="106"/>
    </row>
    <row r="125" spans="1:11" ht="50.25" customHeight="1" x14ac:dyDescent="0.2">
      <c r="A125" s="129">
        <f>A124+1</f>
        <v>17</v>
      </c>
      <c r="B125" s="106" t="str">
        <f>'Presupuesto Detallado'!C60</f>
        <v>Obras de recuperacion de 120 Fachadas. Incluye: Restauración y rehabilitación de fachadas de edificios de valor patrimonial categorías 1, 2 y 3 en toda la CCSD</v>
      </c>
      <c r="C125" s="107"/>
      <c r="D125" s="107"/>
      <c r="E125" s="112">
        <f>'Presupuesto Detallado'!H60</f>
        <v>1500000</v>
      </c>
      <c r="F125" s="107">
        <v>2</v>
      </c>
      <c r="G125" s="101"/>
      <c r="H125" s="113"/>
      <c r="I125" s="107"/>
      <c r="J125" s="98"/>
      <c r="K125" s="110"/>
    </row>
    <row r="126" spans="1:11" ht="25.5" customHeight="1" x14ac:dyDescent="0.2">
      <c r="A126" s="129">
        <f t="shared" ref="A126:A127" si="8">A125+1</f>
        <v>18</v>
      </c>
      <c r="B126" s="106" t="str">
        <f>'Presupuesto Detallado'!C73</f>
        <v>Ejecución  y supervisión de la remodelación de la infraestructura física del Mercado Modelo</v>
      </c>
      <c r="C126" s="107"/>
      <c r="D126" s="107"/>
      <c r="E126" s="112">
        <f>'Presupuesto Detallado'!H73</f>
        <v>4000000</v>
      </c>
      <c r="F126" s="107">
        <v>3</v>
      </c>
      <c r="G126" s="101"/>
      <c r="H126" s="113"/>
      <c r="I126" s="107"/>
      <c r="J126" s="98"/>
      <c r="K126" s="110"/>
    </row>
    <row r="127" spans="1:11" ht="42.75" x14ac:dyDescent="0.2">
      <c r="A127" s="129">
        <f t="shared" si="8"/>
        <v>19</v>
      </c>
      <c r="B127" s="106" t="str">
        <f>'Presupuesto Detallado'!C77</f>
        <v xml:space="preserve">Implementación adecuación de (120) micro negocios ubicados en las rutas turísticas y lugares tradicionales en base a los lineamientos definidos en el Reglamento Operativo (aspectos físicos y asistencia técnica). </v>
      </c>
      <c r="C127" s="107"/>
      <c r="D127" s="107"/>
      <c r="E127" s="112">
        <f>'Presupuesto Detallado'!H77</f>
        <v>980000</v>
      </c>
      <c r="F127" s="107">
        <v>3</v>
      </c>
      <c r="G127" s="101"/>
      <c r="H127" s="113"/>
      <c r="I127" s="107"/>
      <c r="J127" s="98"/>
      <c r="K127" s="110"/>
    </row>
    <row r="128" spans="1:11" ht="15" customHeight="1" x14ac:dyDescent="0.2">
      <c r="A128" s="202"/>
      <c r="B128" s="203" t="s">
        <v>403</v>
      </c>
      <c r="C128" s="204" t="s">
        <v>353</v>
      </c>
      <c r="D128" s="204" t="s">
        <v>354</v>
      </c>
      <c r="E128" s="205">
        <f>SUM(E124:E127)</f>
        <v>7780000</v>
      </c>
      <c r="F128" s="204"/>
      <c r="G128" s="206" t="s">
        <v>355</v>
      </c>
      <c r="H128" s="207" t="s">
        <v>359</v>
      </c>
      <c r="I128" s="204">
        <v>2019</v>
      </c>
      <c r="J128" s="204">
        <v>2022</v>
      </c>
      <c r="K128" s="202"/>
    </row>
    <row r="129" spans="1:11" ht="15" x14ac:dyDescent="0.2">
      <c r="A129" s="185"/>
      <c r="B129" s="186" t="str">
        <f>'Presupuesto Detallado'!C176</f>
        <v>IMPREVISTOS</v>
      </c>
      <c r="C129" s="187"/>
      <c r="D129" s="187"/>
      <c r="E129" s="188">
        <f>'Presupuesto Detallado'!H176</f>
        <v>2600000</v>
      </c>
      <c r="F129" s="187">
        <v>5</v>
      </c>
      <c r="G129" s="189"/>
      <c r="H129" s="190"/>
      <c r="I129" s="187"/>
      <c r="J129" s="187"/>
      <c r="K129" s="185"/>
    </row>
    <row r="130" spans="1:11" ht="15" x14ac:dyDescent="0.2">
      <c r="A130" s="132" t="s">
        <v>7</v>
      </c>
      <c r="B130" s="133"/>
      <c r="C130" s="116"/>
      <c r="D130" s="116"/>
      <c r="E130" s="131">
        <f>E115+E123+E128+E129</f>
        <v>55238000</v>
      </c>
      <c r="F130" s="116"/>
      <c r="G130" s="134"/>
      <c r="H130" s="134"/>
      <c r="I130" s="116"/>
      <c r="J130" s="116"/>
      <c r="K130" s="135"/>
    </row>
    <row r="131" spans="1:11" ht="45" x14ac:dyDescent="0.2">
      <c r="A131" s="132" t="s">
        <v>364</v>
      </c>
      <c r="E131" s="136">
        <f>E130+E105+E85+E94+E24</f>
        <v>90000000</v>
      </c>
      <c r="G131" s="93"/>
      <c r="H131" s="93"/>
    </row>
    <row r="132" spans="1:11" ht="15" thickBot="1" x14ac:dyDescent="0.25">
      <c r="G132" s="93"/>
      <c r="H132" s="93"/>
    </row>
    <row r="133" spans="1:11" ht="72.75" thickBot="1" x14ac:dyDescent="0.25">
      <c r="B133" s="137" t="s">
        <v>365</v>
      </c>
      <c r="E133" s="136"/>
      <c r="G133" s="93"/>
      <c r="H133" s="93"/>
    </row>
    <row r="134" spans="1:11" ht="44.25" thickBot="1" x14ac:dyDescent="0.25">
      <c r="A134" s="85"/>
      <c r="B134" s="138" t="s">
        <v>366</v>
      </c>
      <c r="H134" s="85"/>
      <c r="I134" s="85"/>
      <c r="J134" s="85"/>
      <c r="K134" s="85"/>
    </row>
    <row r="135" spans="1:11" ht="30" thickBot="1" x14ac:dyDescent="0.25">
      <c r="A135" s="85"/>
      <c r="B135" s="139" t="s">
        <v>367</v>
      </c>
      <c r="H135" s="85"/>
      <c r="I135" s="85"/>
      <c r="J135" s="85"/>
      <c r="K135" s="85"/>
    </row>
    <row r="147" spans="2:11" ht="58.5" customHeight="1" x14ac:dyDescent="0.2">
      <c r="B147" s="219" t="s">
        <v>408</v>
      </c>
      <c r="C147" s="217" t="s">
        <v>6</v>
      </c>
      <c r="D147" s="217" t="s">
        <v>409</v>
      </c>
      <c r="E147" s="217" t="s">
        <v>410</v>
      </c>
      <c r="F147" s="217" t="s">
        <v>7</v>
      </c>
      <c r="H147" s="93"/>
      <c r="K147" s="85"/>
    </row>
    <row r="148" spans="2:11" ht="15" x14ac:dyDescent="0.2">
      <c r="B148" s="224" t="s">
        <v>416</v>
      </c>
      <c r="C148" s="218">
        <f>+E115</f>
        <v>27318000</v>
      </c>
      <c r="D148" s="218">
        <f>+E31+E37</f>
        <v>1445000</v>
      </c>
      <c r="E148" s="220"/>
      <c r="F148" s="221">
        <f>SUM(C148:E148)</f>
        <v>28763000</v>
      </c>
      <c r="H148" s="93"/>
      <c r="K148" s="85"/>
    </row>
    <row r="149" spans="2:11" ht="15" x14ac:dyDescent="0.2">
      <c r="B149" s="224" t="s">
        <v>413</v>
      </c>
      <c r="C149" s="218">
        <f>+E123</f>
        <v>17540000</v>
      </c>
      <c r="D149" s="218">
        <f>E36</f>
        <v>850000</v>
      </c>
      <c r="E149" s="218">
        <f>+E100</f>
        <v>2560000</v>
      </c>
      <c r="F149" s="221">
        <f>SUM(C149:E149)</f>
        <v>20950000</v>
      </c>
      <c r="H149" s="93"/>
      <c r="K149" s="85"/>
    </row>
    <row r="150" spans="2:11" ht="18" customHeight="1" x14ac:dyDescent="0.2">
      <c r="B150" s="224" t="s">
        <v>403</v>
      </c>
      <c r="C150" s="218">
        <f>E128</f>
        <v>7780000</v>
      </c>
      <c r="D150" s="220"/>
      <c r="E150" s="220"/>
      <c r="F150" s="221">
        <f>SUM(C150:E150)</f>
        <v>7780000</v>
      </c>
      <c r="H150" s="93"/>
      <c r="K150" s="85"/>
    </row>
    <row r="151" spans="2:11" ht="15" x14ac:dyDescent="0.2">
      <c r="B151" s="222" t="s">
        <v>400</v>
      </c>
      <c r="C151" s="215">
        <f>SUM(C148:C150)</f>
        <v>52638000</v>
      </c>
      <c r="D151" s="215">
        <f t="shared" ref="D151:F151" si="9">SUM(D148:D150)</f>
        <v>2295000</v>
      </c>
      <c r="E151" s="215">
        <f t="shared" si="9"/>
        <v>2560000</v>
      </c>
      <c r="F151" s="215">
        <f t="shared" si="9"/>
        <v>57493000</v>
      </c>
      <c r="H151" s="93"/>
      <c r="K151" s="85"/>
    </row>
    <row r="152" spans="2:11" ht="15" x14ac:dyDescent="0.2">
      <c r="B152" s="220" t="s">
        <v>402</v>
      </c>
      <c r="C152" s="211"/>
      <c r="D152" s="220"/>
      <c r="E152" s="220"/>
      <c r="F152" s="211">
        <f>+F151/90000000</f>
        <v>0.63881111111111111</v>
      </c>
      <c r="H152" s="93"/>
      <c r="K152" s="85"/>
    </row>
    <row r="154" spans="2:11" ht="15" x14ac:dyDescent="0.25">
      <c r="B154" s="216" t="s">
        <v>408</v>
      </c>
      <c r="C154" s="217"/>
    </row>
    <row r="155" spans="2:11" ht="15" x14ac:dyDescent="0.25">
      <c r="B155" s="212" t="s">
        <v>414</v>
      </c>
      <c r="C155" s="213">
        <f>SUM(C156:C157)</f>
        <v>28763000</v>
      </c>
    </row>
    <row r="156" spans="2:11" x14ac:dyDescent="0.2">
      <c r="B156" s="208" t="s">
        <v>6</v>
      </c>
      <c r="C156" s="210">
        <f>+E115</f>
        <v>27318000</v>
      </c>
    </row>
    <row r="157" spans="2:11" x14ac:dyDescent="0.2">
      <c r="B157" s="208" t="s">
        <v>407</v>
      </c>
      <c r="C157" s="210">
        <f>+E31+E37</f>
        <v>1445000</v>
      </c>
    </row>
    <row r="158" spans="2:11" ht="15" x14ac:dyDescent="0.25">
      <c r="B158" s="212" t="s">
        <v>415</v>
      </c>
      <c r="C158" s="213">
        <f>SUM(C159:C161)</f>
        <v>20950000</v>
      </c>
    </row>
    <row r="159" spans="2:11" x14ac:dyDescent="0.2">
      <c r="B159" s="208" t="s">
        <v>6</v>
      </c>
      <c r="C159" s="210">
        <f>+E123</f>
        <v>17540000</v>
      </c>
    </row>
    <row r="160" spans="2:11" x14ac:dyDescent="0.2">
      <c r="B160" s="208" t="s">
        <v>407</v>
      </c>
      <c r="C160" s="210">
        <f>+E36</f>
        <v>850000</v>
      </c>
    </row>
    <row r="161" spans="2:3" x14ac:dyDescent="0.2">
      <c r="B161" s="208" t="s">
        <v>401</v>
      </c>
      <c r="C161" s="210">
        <f>+E100</f>
        <v>2560000</v>
      </c>
    </row>
    <row r="162" spans="2:3" ht="16.5" customHeight="1" x14ac:dyDescent="0.25">
      <c r="B162" s="212" t="s">
        <v>403</v>
      </c>
      <c r="C162" s="213">
        <f>SUM(C163:C167)</f>
        <v>7780000</v>
      </c>
    </row>
    <row r="163" spans="2:3" x14ac:dyDescent="0.2">
      <c r="B163" s="208" t="s">
        <v>405</v>
      </c>
      <c r="C163" s="210">
        <f>+E124</f>
        <v>1300000</v>
      </c>
    </row>
    <row r="164" spans="2:3" x14ac:dyDescent="0.2">
      <c r="B164" s="208" t="s">
        <v>406</v>
      </c>
      <c r="C164" s="210">
        <f>+E125</f>
        <v>1500000</v>
      </c>
    </row>
    <row r="165" spans="2:3" x14ac:dyDescent="0.2">
      <c r="B165" s="208" t="s">
        <v>404</v>
      </c>
      <c r="C165" s="210">
        <f>+E126</f>
        <v>4000000</v>
      </c>
    </row>
    <row r="166" spans="2:3" x14ac:dyDescent="0.2">
      <c r="B166" s="208" t="s">
        <v>411</v>
      </c>
      <c r="C166" s="210">
        <f>200*1500</f>
        <v>300000</v>
      </c>
    </row>
    <row r="167" spans="2:3" x14ac:dyDescent="0.2">
      <c r="B167" s="209" t="s">
        <v>412</v>
      </c>
      <c r="C167" s="210">
        <f>(200*3000)+80000</f>
        <v>680000</v>
      </c>
    </row>
    <row r="168" spans="2:3" ht="15" x14ac:dyDescent="0.25">
      <c r="B168" s="214" t="s">
        <v>400</v>
      </c>
      <c r="C168" s="215">
        <f>+C155+C158+C162</f>
        <v>57493000</v>
      </c>
    </row>
    <row r="169" spans="2:3" ht="15" x14ac:dyDescent="0.2">
      <c r="B169" s="182" t="s">
        <v>402</v>
      </c>
      <c r="C169" s="211">
        <f>+C168/90000000</f>
        <v>0.63881111111111111</v>
      </c>
    </row>
  </sheetData>
  <autoFilter ref="E1:E169"/>
  <mergeCells count="8">
    <mergeCell ref="A95:K95"/>
    <mergeCell ref="A106:K106"/>
    <mergeCell ref="A1:K1"/>
    <mergeCell ref="A2:K2"/>
    <mergeCell ref="I3:J3"/>
    <mergeCell ref="A5:K5"/>
    <mergeCell ref="A25:K25"/>
    <mergeCell ref="A86:K8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AD72C66AA3545B4DBEB5F774A0D1EF01" ma:contentTypeVersion="0" ma:contentTypeDescription="A content type to manage public (operations) IDB documents" ma:contentTypeScope="" ma:versionID="8a3c4594b49f38bc1891b0271b45234a">
  <xsd:schema xmlns:xsd="http://www.w3.org/2001/XMLSchema" xmlns:xs="http://www.w3.org/2001/XMLSchema" xmlns:p="http://schemas.microsoft.com/office/2006/metadata/properties" xmlns:ns2="9c571b2f-e523-4ab2-ba2e-09e151a03ef4" targetNamespace="http://schemas.microsoft.com/office/2006/metadata/properties" ma:root="true" ma:fieldsID="6ea6d61a7ad7d64d7d317954e0798297"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950fe0f-781d-4eb3-a432-36b824324f74}" ma:internalName="TaxCatchAll" ma:showField="CatchAllData" ma:web="5edba027-932f-4932-b4c4-b13ec54d8ce1">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950fe0f-781d-4eb3-a432-36b824324f74}" ma:internalName="TaxCatchAllLabel" ma:readOnly="true" ma:showField="CatchAllDataLabel" ma:web="5edba027-932f-4932-b4c4-b13ec54d8ce1">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CSD/HUD</Division_x0020_or_x0020_Unit>
    <Other_x0020_Author xmlns="9c571b2f-e523-4ab2-ba2e-09e151a03ef4" xsi:nil="true"/>
    <Region xmlns="9c571b2f-e523-4ab2-ba2e-09e151a03ef4" xsi:nil="true"/>
    <IDBDocs_x0020_Number xmlns="9c571b2f-e523-4ab2-ba2e-09e151a03ef4">40354750</IDBDocs_x0020_Number>
    <Document_x0020_Author xmlns="9c571b2f-e523-4ab2-ba2e-09e151a03ef4">Perez Rincon, Belinda</Document_x0020_Author>
    <Publication_x0020_Type xmlns="9c571b2f-e523-4ab2-ba2e-09e151a03ef4" xsi:nil="true"/>
    <Operation_x0020_Type xmlns="9c571b2f-e523-4ab2-ba2e-09e151a03ef4" xsi:nil="true"/>
    <TaxCatchAll xmlns="9c571b2f-e523-4ab2-ba2e-09e151a03ef4">
      <Value>11</Value>
      <Value>12</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DR-L1084</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DU-DUR</Webtopic>
    <Identifier xmlns="9c571b2f-e523-4ab2-ba2e-09e151a03ef4">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514B5F54-9D96-4C7F-A9A2-DC71BB8A01EB}"/>
</file>

<file path=customXml/itemProps2.xml><?xml version="1.0" encoding="utf-8"?>
<ds:datastoreItem xmlns:ds="http://schemas.openxmlformats.org/officeDocument/2006/customXml" ds:itemID="{F153CFAA-D257-493E-82AC-2E8A1D7ACD50}"/>
</file>

<file path=customXml/itemProps3.xml><?xml version="1.0" encoding="utf-8"?>
<ds:datastoreItem xmlns:ds="http://schemas.openxmlformats.org/officeDocument/2006/customXml" ds:itemID="{5924A0FA-7F16-4B94-9DE3-56910B0D645A}"/>
</file>

<file path=customXml/itemProps4.xml><?xml version="1.0" encoding="utf-8"?>
<ds:datastoreItem xmlns:ds="http://schemas.openxmlformats.org/officeDocument/2006/customXml" ds:itemID="{3AA3711C-84DB-45AC-B3FF-3793F727DBB7}"/>
</file>

<file path=customXml/itemProps5.xml><?xml version="1.0" encoding="utf-8"?>
<ds:datastoreItem xmlns:ds="http://schemas.openxmlformats.org/officeDocument/2006/customXml" ds:itemID="{EDF107CF-D0C3-4393-9718-870C8BEA39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Presupuesto Detallado</vt:lpstr>
      <vt:lpstr>Plan de Ejecución Plurianual</vt:lpstr>
      <vt:lpstr>Plan de Adquisiciones Global</vt:lpstr>
      <vt:lpstr>Plan de Adquisición Sintetico</vt:lpstr>
      <vt:lpstr>Presupuesto POD</vt:lpstr>
      <vt:lpstr>Paquetes de contratacion</vt:lpstr>
    </vt:vector>
  </TitlesOfParts>
  <Company>Inter-American Development Bank</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Presupuesto Detallado </dc:title>
  <dc:creator>IADB</dc:creator>
  <cp:lastModifiedBy>IADB</cp:lastModifiedBy>
  <cp:revision/>
  <dcterms:created xsi:type="dcterms:W3CDTF">2016-01-29T20:46:51Z</dcterms:created>
  <dcterms:modified xsi:type="dcterms:W3CDTF">2016-10-19T22:23:27Z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0x01010046CF21643EE8D14686A648AA6DAD089200AD72C66AA3545B4DBEB5F774A0D1EF01</vt:lpwstr>
  </property>
  <property fmtid="{D5CDD505-2E9C-101B-9397-08002B2CF9AE}" pid="5" name="TaxKeywordTaxHTField">
    <vt:lpwstr/>
  </property>
  <property fmtid="{D5CDD505-2E9C-101B-9397-08002B2CF9AE}" pid="6" name="Series Operations IDB">
    <vt:lpwstr>11;#Unclassified|a6dff32e-d477-44cd-a56b-85efe9e0a56c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11;#Unclassified|a6dff32e-d477-44cd-a56b-85efe9e0a56c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12;#IDBDocs|cca77002-e150-4b2d-ab1f-1d7a7cdcae16</vt:lpwstr>
  </property>
</Properties>
</file>