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sharedStrings.xml" ContentType="application/vnd.openxmlformats-officedocument.spreadsheetml.sharedStrings+xml"/>
  <Override PartName="/xl/worksheets/sheet5.xml" ContentType="application/vnd.openxmlformats-officedocument.spreadsheetml.worksheet+xml"/>
  <Override PartName="/xl/worksheets/sheet6.xml" ContentType="application/vnd.openxmlformats-officedocument.spreadsheetml.worksheet+xml"/>
  <Override PartName="/xl/comments1.xml" ContentType="application/vnd.openxmlformats-officedocument.spreadsheetml.comments+xml"/>
  <Override PartName="/docProps/core.xml" ContentType="application/vnd.openxmlformats-package.core-properti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0" windowWidth="17520" windowHeight="9960"/>
  </bookViews>
  <sheets>
    <sheet name="Matriz de costos plurianual" sheetId="27" r:id="rId1"/>
    <sheet name="POA 2017" sheetId="28" r:id="rId2"/>
    <sheet name="COSTEO" sheetId="8" state="hidden" r:id="rId3"/>
    <sheet name="Dec. Adm. 607-2015" sheetId="12" state="hidden" r:id="rId4"/>
    <sheet name="COSTEO TD" sheetId="24" state="hidden" r:id="rId5"/>
    <sheet name="Hoja2" sheetId="26" state="hidden" r:id="rId6"/>
  </sheets>
  <definedNames>
    <definedName name="_xlnm._FilterDatabase" localSheetId="2" hidden="1">COSTEO!$B$4:$CP$111</definedName>
    <definedName name="_xlnm._FilterDatabase" localSheetId="4" hidden="1">'COSTEO TD'!$A$1:$CM$205</definedName>
    <definedName name="_xlnm._FilterDatabase" localSheetId="5" hidden="1">Hoja2!$A$4:$CO$274</definedName>
    <definedName name="_xlnm._FilterDatabase" localSheetId="0" hidden="1">'Matriz de costos plurianual'!$A$7:$CN$279</definedName>
    <definedName name="_xlnm._FilterDatabase" localSheetId="1" hidden="1">'POA 2017'!$B$4:$BZ$114</definedName>
    <definedName name="_xlnm.Print_Area" localSheetId="2">COSTEO!$B$1:$U$271</definedName>
    <definedName name="_xlnm.Print_Area" localSheetId="4">'COSTEO TD'!$A$1:$R$205</definedName>
    <definedName name="_xlnm.Print_Area" localSheetId="0">'Matriz de costos plurianual'!$A$3:$J$279</definedName>
    <definedName name="_xlnm.Print_Area" localSheetId="1">'POA 2017'!$B$1:$E$278</definedName>
  </definedNames>
  <calcPr calcId="145621"/>
</workbook>
</file>

<file path=xl/calcChain.xml><?xml version="1.0" encoding="utf-8"?>
<calcChain xmlns="http://schemas.openxmlformats.org/spreadsheetml/2006/main">
  <c r="Q278" i="27" l="1"/>
  <c r="P274" i="27" l="1"/>
  <c r="R278" i="27" l="1"/>
  <c r="R277" i="27"/>
  <c r="Q277" i="27"/>
  <c r="R276" i="27"/>
  <c r="R275" i="27"/>
  <c r="Q275" i="27"/>
  <c r="R274" i="27"/>
  <c r="Q274" i="27"/>
  <c r="R273" i="27"/>
  <c r="R272" i="27"/>
  <c r="Q272" i="27"/>
  <c r="R271" i="27"/>
  <c r="Q271" i="27"/>
  <c r="R270" i="27"/>
  <c r="Q270" i="27"/>
  <c r="R269" i="27"/>
  <c r="Q269" i="27"/>
  <c r="R268" i="27"/>
  <c r="Q268" i="27"/>
  <c r="R267" i="27"/>
  <c r="Q267" i="27"/>
  <c r="R266" i="27"/>
  <c r="R265" i="27"/>
  <c r="R264" i="27"/>
  <c r="Q264" i="27"/>
  <c r="R263" i="27"/>
  <c r="R262" i="27"/>
  <c r="Q262" i="27"/>
  <c r="R261" i="27"/>
  <c r="Q261" i="27"/>
  <c r="R260" i="27"/>
  <c r="Q260" i="27"/>
  <c r="R259" i="27"/>
  <c r="Q259" i="27"/>
  <c r="R258" i="27"/>
  <c r="Q258" i="27"/>
  <c r="R257" i="27"/>
  <c r="Q257" i="27"/>
  <c r="R256" i="27"/>
  <c r="Q256" i="27"/>
  <c r="R255" i="27"/>
  <c r="Q255" i="27"/>
  <c r="R254" i="27"/>
  <c r="Q254" i="27"/>
  <c r="R253" i="27"/>
  <c r="Q253" i="27"/>
  <c r="R252" i="27"/>
  <c r="Q252" i="27"/>
  <c r="R251" i="27"/>
  <c r="Q251" i="27"/>
  <c r="R250" i="27"/>
  <c r="Q250" i="27"/>
  <c r="R249" i="27"/>
  <c r="Q249" i="27"/>
  <c r="R248" i="27"/>
  <c r="Q248" i="27"/>
  <c r="R247" i="27"/>
  <c r="Q247" i="27"/>
  <c r="R246" i="27"/>
  <c r="Q246" i="27"/>
  <c r="R245" i="27"/>
  <c r="Q245" i="27"/>
  <c r="R244" i="27"/>
  <c r="Q244" i="27"/>
  <c r="R243" i="27"/>
  <c r="Q243" i="27"/>
  <c r="R242" i="27"/>
  <c r="Q242" i="27"/>
  <c r="R241" i="27"/>
  <c r="Q241" i="27"/>
  <c r="R240" i="27"/>
  <c r="Q240" i="27"/>
  <c r="R239" i="27"/>
  <c r="R238" i="27"/>
  <c r="R237" i="27"/>
  <c r="R236" i="27"/>
  <c r="Q236" i="27"/>
  <c r="R235" i="27"/>
  <c r="Q235" i="27"/>
  <c r="R234" i="27"/>
  <c r="Q234" i="27"/>
  <c r="R233" i="27"/>
  <c r="Q233" i="27"/>
  <c r="R232" i="27"/>
  <c r="Q232" i="27"/>
  <c r="R231" i="27"/>
  <c r="Q231" i="27"/>
  <c r="R230" i="27"/>
  <c r="Q230" i="27"/>
  <c r="R229" i="27"/>
  <c r="Q229" i="27"/>
  <c r="R228" i="27"/>
  <c r="Q228" i="27"/>
  <c r="R227" i="27"/>
  <c r="Q227" i="27"/>
  <c r="R226" i="27"/>
  <c r="Q226" i="27"/>
  <c r="R225" i="27"/>
  <c r="Q225" i="27"/>
  <c r="R224" i="27"/>
  <c r="Q224" i="27"/>
  <c r="R223" i="27"/>
  <c r="Q223" i="27"/>
  <c r="R222" i="27"/>
  <c r="Q222" i="27"/>
  <c r="R221" i="27"/>
  <c r="R220" i="27"/>
  <c r="R219" i="27"/>
  <c r="Q219" i="27"/>
  <c r="R218" i="27"/>
  <c r="Q218" i="27"/>
  <c r="R217" i="27"/>
  <c r="Q217" i="27"/>
  <c r="R216" i="27"/>
  <c r="Q216" i="27"/>
  <c r="R215" i="27"/>
  <c r="Q215" i="27"/>
  <c r="R214" i="27"/>
  <c r="Q214" i="27"/>
  <c r="R213" i="27"/>
  <c r="R212" i="27"/>
  <c r="Q212" i="27"/>
  <c r="R211" i="27"/>
  <c r="R210" i="27"/>
  <c r="R209" i="27"/>
  <c r="Q209" i="27"/>
  <c r="R208" i="27"/>
  <c r="Q208" i="27"/>
  <c r="R207" i="27"/>
  <c r="R206" i="27"/>
  <c r="Q206" i="27"/>
  <c r="R205" i="27"/>
  <c r="Q205" i="27"/>
  <c r="R204" i="27"/>
  <c r="R203" i="27"/>
  <c r="Q203" i="27"/>
  <c r="R202" i="27"/>
  <c r="Q202" i="27"/>
  <c r="R201" i="27"/>
  <c r="Q201" i="27"/>
  <c r="R200" i="27"/>
  <c r="Q200" i="27"/>
  <c r="R199" i="27"/>
  <c r="Q199" i="27"/>
  <c r="R198" i="27"/>
  <c r="Q198" i="27"/>
  <c r="R197" i="27"/>
  <c r="Q197" i="27"/>
  <c r="R196" i="27"/>
  <c r="Q196" i="27"/>
  <c r="R195" i="27"/>
  <c r="Q195" i="27"/>
  <c r="R194" i="27"/>
  <c r="Q194" i="27"/>
  <c r="R193" i="27"/>
  <c r="R192" i="27"/>
  <c r="Q192" i="27"/>
  <c r="R191" i="27"/>
  <c r="Q191" i="27"/>
  <c r="R190" i="27"/>
  <c r="Q190" i="27"/>
  <c r="R189" i="27"/>
  <c r="Q189" i="27"/>
  <c r="R188" i="27"/>
  <c r="Q188" i="27"/>
  <c r="R187" i="27"/>
  <c r="R186" i="27"/>
  <c r="R185" i="27"/>
  <c r="Q185" i="27"/>
  <c r="R184" i="27"/>
  <c r="Q184" i="27"/>
  <c r="R183" i="27"/>
  <c r="Q183" i="27"/>
  <c r="R182" i="27"/>
  <c r="Q182" i="27"/>
  <c r="R181" i="27"/>
  <c r="Q181" i="27"/>
  <c r="R180" i="27"/>
  <c r="Q180" i="27"/>
  <c r="R179" i="27"/>
  <c r="Q179" i="27"/>
  <c r="R178" i="27"/>
  <c r="Q178" i="27"/>
  <c r="R177" i="27"/>
  <c r="Q177" i="27"/>
  <c r="R176" i="27"/>
  <c r="Q176" i="27"/>
  <c r="R175" i="27"/>
  <c r="Q175" i="27"/>
  <c r="R174" i="27"/>
  <c r="Q174" i="27"/>
  <c r="R173" i="27"/>
  <c r="Q173" i="27"/>
  <c r="R172" i="27"/>
  <c r="Q172" i="27"/>
  <c r="R171" i="27"/>
  <c r="Q171" i="27"/>
  <c r="R170" i="27"/>
  <c r="Q170" i="27"/>
  <c r="R169" i="27"/>
  <c r="Q169" i="27"/>
  <c r="R168" i="27"/>
  <c r="Q168" i="27"/>
  <c r="R167" i="27"/>
  <c r="Q167" i="27"/>
  <c r="R166" i="27"/>
  <c r="Q166" i="27"/>
  <c r="R165" i="27"/>
  <c r="Q165" i="27"/>
  <c r="R164" i="27"/>
  <c r="Q164" i="27"/>
  <c r="R163" i="27"/>
  <c r="Q163" i="27"/>
  <c r="R162" i="27"/>
  <c r="Q162" i="27"/>
  <c r="R161" i="27"/>
  <c r="Q161" i="27"/>
  <c r="R160" i="27"/>
  <c r="Q160" i="27"/>
  <c r="R159" i="27"/>
  <c r="Q159" i="27"/>
  <c r="R158" i="27"/>
  <c r="Q158" i="27"/>
  <c r="R157" i="27"/>
  <c r="Q157" i="27"/>
  <c r="R156" i="27"/>
  <c r="Q156" i="27"/>
  <c r="R155" i="27"/>
  <c r="Q155" i="27"/>
  <c r="R154" i="27"/>
  <c r="Q154" i="27"/>
  <c r="R153" i="27"/>
  <c r="Q153" i="27"/>
  <c r="R152" i="27"/>
  <c r="R151" i="27"/>
  <c r="R150" i="27"/>
  <c r="Q150" i="27"/>
  <c r="R149" i="27"/>
  <c r="Q149" i="27"/>
  <c r="R148" i="27"/>
  <c r="Q148" i="27"/>
  <c r="R147" i="27"/>
  <c r="Q147" i="27"/>
  <c r="R146" i="27"/>
  <c r="Q146" i="27"/>
  <c r="R145" i="27"/>
  <c r="Q145" i="27"/>
  <c r="R144" i="27"/>
  <c r="Q144" i="27"/>
  <c r="R143" i="27"/>
  <c r="Q143" i="27"/>
  <c r="R142" i="27"/>
  <c r="Q142" i="27"/>
  <c r="R141" i="27"/>
  <c r="Q141" i="27"/>
  <c r="R140" i="27"/>
  <c r="Q140" i="27"/>
  <c r="R139" i="27"/>
  <c r="Q139" i="27"/>
  <c r="R138" i="27"/>
  <c r="Q138" i="27"/>
  <c r="R137" i="27"/>
  <c r="Q137" i="27"/>
  <c r="R136" i="27"/>
  <c r="Q136" i="27"/>
  <c r="R135" i="27"/>
  <c r="Q135" i="27"/>
  <c r="R134" i="27"/>
  <c r="Q134" i="27"/>
  <c r="R133" i="27"/>
  <c r="Q133" i="27"/>
  <c r="R132" i="27"/>
  <c r="Q132" i="27"/>
  <c r="R131" i="27"/>
  <c r="Q131" i="27"/>
  <c r="R130" i="27"/>
  <c r="Q130" i="27"/>
  <c r="R129" i="27"/>
  <c r="Q129" i="27"/>
  <c r="R128" i="27"/>
  <c r="Q128" i="27"/>
  <c r="R127" i="27"/>
  <c r="Q127" i="27"/>
  <c r="R126" i="27"/>
  <c r="Q126" i="27"/>
  <c r="R125" i="27"/>
  <c r="Q125" i="27"/>
  <c r="R124" i="27"/>
  <c r="Q124" i="27"/>
  <c r="R123" i="27"/>
  <c r="Q123" i="27"/>
  <c r="R122" i="27"/>
  <c r="Q122" i="27"/>
  <c r="R121" i="27"/>
  <c r="Q121" i="27"/>
  <c r="R120" i="27"/>
  <c r="Q120" i="27"/>
  <c r="R119" i="27"/>
  <c r="Q119" i="27"/>
  <c r="R118" i="27"/>
  <c r="Q118" i="27"/>
  <c r="R117" i="27"/>
  <c r="Q117" i="27"/>
  <c r="R116" i="27"/>
  <c r="Q116" i="27"/>
  <c r="R115" i="27"/>
  <c r="Q115" i="27"/>
  <c r="R114" i="27"/>
  <c r="R113" i="27"/>
  <c r="R112" i="27"/>
  <c r="R111" i="27"/>
  <c r="Q111" i="27"/>
  <c r="R110" i="27"/>
  <c r="Q110" i="27"/>
  <c r="R109" i="27"/>
  <c r="Q109" i="27"/>
  <c r="R108" i="27"/>
  <c r="Q108" i="27"/>
  <c r="R107" i="27"/>
  <c r="Q107" i="27"/>
  <c r="R106" i="27"/>
  <c r="Q106" i="27"/>
  <c r="R105" i="27"/>
  <c r="Q105" i="27"/>
  <c r="R104" i="27"/>
  <c r="Q104" i="27"/>
  <c r="R102" i="27"/>
  <c r="Q102" i="27"/>
  <c r="R101" i="27"/>
  <c r="Q101" i="27"/>
  <c r="R100" i="27"/>
  <c r="Q100" i="27"/>
  <c r="R99" i="27"/>
  <c r="Q99" i="27"/>
  <c r="R98" i="27"/>
  <c r="Q98" i="27"/>
  <c r="R97" i="27"/>
  <c r="Q97" i="27"/>
  <c r="R96" i="27"/>
  <c r="Q96" i="27"/>
  <c r="R95" i="27"/>
  <c r="Q95" i="27"/>
  <c r="R94" i="27"/>
  <c r="Q94" i="27"/>
  <c r="R93" i="27"/>
  <c r="Q93" i="27"/>
  <c r="R92" i="27"/>
  <c r="Q92" i="27"/>
  <c r="R91" i="27"/>
  <c r="Q91" i="27"/>
  <c r="R90" i="27"/>
  <c r="Q90" i="27"/>
  <c r="R89" i="27"/>
  <c r="Q89" i="27"/>
  <c r="R88" i="27"/>
  <c r="Q88" i="27"/>
  <c r="R87" i="27"/>
  <c r="Q87" i="27"/>
  <c r="R86" i="27"/>
  <c r="Q86" i="27"/>
  <c r="R85" i="27"/>
  <c r="Q85" i="27"/>
  <c r="R84" i="27"/>
  <c r="Q84" i="27"/>
  <c r="R83" i="27"/>
  <c r="Q83" i="27"/>
  <c r="R82" i="27"/>
  <c r="Q82" i="27"/>
  <c r="R81" i="27"/>
  <c r="Q81" i="27"/>
  <c r="R80" i="27"/>
  <c r="Q80" i="27"/>
  <c r="R79" i="27"/>
  <c r="Q79" i="27"/>
  <c r="R78" i="27"/>
  <c r="Q78" i="27"/>
  <c r="R77" i="27"/>
  <c r="Q77" i="27"/>
  <c r="R76" i="27"/>
  <c r="Q76" i="27"/>
  <c r="R75" i="27"/>
  <c r="R74" i="27"/>
  <c r="Q74" i="27"/>
  <c r="R73" i="27"/>
  <c r="Q73" i="27"/>
  <c r="R72" i="27"/>
  <c r="Q72" i="27"/>
  <c r="R71" i="27"/>
  <c r="Q71" i="27"/>
  <c r="R70" i="27"/>
  <c r="Q70" i="27"/>
  <c r="R69" i="27"/>
  <c r="Q69" i="27"/>
  <c r="R68" i="27"/>
  <c r="Q68" i="27"/>
  <c r="R67" i="27"/>
  <c r="Q67" i="27"/>
  <c r="R66" i="27"/>
  <c r="Q66" i="27"/>
  <c r="R65" i="27"/>
  <c r="Q65" i="27"/>
  <c r="R64" i="27"/>
  <c r="R63" i="27"/>
  <c r="Q63" i="27"/>
  <c r="R62" i="27"/>
  <c r="Q62" i="27"/>
  <c r="R61" i="27"/>
  <c r="Q61" i="27"/>
  <c r="R60" i="27"/>
  <c r="Q60" i="27"/>
  <c r="R59" i="27"/>
  <c r="Q59" i="27"/>
  <c r="R58" i="27"/>
  <c r="Q58" i="27"/>
  <c r="R57" i="27"/>
  <c r="Q57" i="27"/>
  <c r="R56" i="27"/>
  <c r="Q56" i="27"/>
  <c r="R55" i="27"/>
  <c r="Q55" i="27"/>
  <c r="R54" i="27"/>
  <c r="Q54" i="27"/>
  <c r="R53" i="27"/>
  <c r="Q53" i="27"/>
  <c r="R52" i="27"/>
  <c r="Q52" i="27"/>
  <c r="R51" i="27"/>
  <c r="Q51" i="27"/>
  <c r="R50" i="27"/>
  <c r="Q50" i="27"/>
  <c r="R49" i="27"/>
  <c r="Q49" i="27"/>
  <c r="R48" i="27"/>
  <c r="Q48" i="27"/>
  <c r="R47" i="27"/>
  <c r="Q47" i="27"/>
  <c r="R46" i="27"/>
  <c r="Q46" i="27"/>
  <c r="R45" i="27"/>
  <c r="Q45" i="27"/>
  <c r="R44" i="27"/>
  <c r="Q44" i="27"/>
  <c r="R43" i="27"/>
  <c r="Q43" i="27"/>
  <c r="R42" i="27"/>
  <c r="Q42" i="27"/>
  <c r="R41" i="27"/>
  <c r="Q41" i="27"/>
  <c r="R40" i="27"/>
  <c r="Q40" i="27"/>
  <c r="R39" i="27"/>
  <c r="Q39" i="27"/>
  <c r="R38" i="27"/>
  <c r="Q38" i="27"/>
  <c r="R37" i="27"/>
  <c r="Q37" i="27"/>
  <c r="R36" i="27"/>
  <c r="Q36" i="27"/>
  <c r="R35" i="27"/>
  <c r="Q35" i="27"/>
  <c r="R34" i="27"/>
  <c r="Q34" i="27"/>
  <c r="R33" i="27"/>
  <c r="Q33" i="27"/>
  <c r="R32" i="27"/>
  <c r="Q32" i="27"/>
  <c r="R31" i="27"/>
  <c r="Q31" i="27"/>
  <c r="R30" i="27"/>
  <c r="Q30" i="27"/>
  <c r="R29" i="27"/>
  <c r="Q29" i="27"/>
  <c r="R28" i="27"/>
  <c r="Q28" i="27"/>
  <c r="R27" i="27"/>
  <c r="Q27" i="27"/>
  <c r="R25" i="27"/>
  <c r="Q25" i="27"/>
  <c r="R24" i="27"/>
  <c r="R23" i="27"/>
  <c r="Q23" i="27"/>
  <c r="R22" i="27"/>
  <c r="R21" i="27"/>
  <c r="Q21" i="27"/>
  <c r="R20" i="27"/>
  <c r="Q20" i="27"/>
  <c r="R19" i="27"/>
  <c r="Q19" i="27"/>
  <c r="R18" i="27"/>
  <c r="Q18" i="27"/>
  <c r="R17" i="27"/>
  <c r="Q17" i="27"/>
  <c r="R16" i="27"/>
  <c r="Q16" i="27"/>
  <c r="R15" i="27"/>
  <c r="R14" i="27"/>
  <c r="Q14" i="27"/>
  <c r="R13" i="27"/>
  <c r="Q13" i="27"/>
  <c r="R12" i="27"/>
  <c r="Q12" i="27"/>
  <c r="R11" i="27"/>
  <c r="Q11" i="27"/>
  <c r="R10" i="27"/>
  <c r="Q10" i="27"/>
  <c r="R9" i="27"/>
  <c r="Q9" i="27"/>
  <c r="R8" i="27"/>
  <c r="Q8" i="27"/>
  <c r="O279" i="27"/>
  <c r="K15" i="27"/>
  <c r="Q15" i="27" s="1"/>
  <c r="I15" i="27"/>
  <c r="O276" i="27"/>
  <c r="Q276" i="27" s="1"/>
  <c r="S13" i="27"/>
  <c r="L278" i="28"/>
  <c r="J278" i="28"/>
  <c r="I278" i="28"/>
  <c r="S278" i="27"/>
  <c r="N279" i="27"/>
  <c r="L279" i="27"/>
  <c r="M77" i="28"/>
  <c r="K77" i="28"/>
  <c r="K278" i="28" s="1"/>
  <c r="M270" i="28"/>
  <c r="O270" i="28" s="1"/>
  <c r="N270" i="28"/>
  <c r="N195" i="28"/>
  <c r="M195" i="28"/>
  <c r="O195" i="28" s="1"/>
  <c r="B116" i="28"/>
  <c r="B115" i="28"/>
  <c r="N77" i="28"/>
  <c r="O77" i="28"/>
  <c r="B6" i="28"/>
  <c r="M103" i="27"/>
  <c r="P103" i="27" s="1"/>
  <c r="R103" i="27" s="1"/>
  <c r="M278" i="28" l="1"/>
  <c r="P279" i="27"/>
  <c r="S270" i="27"/>
  <c r="S195" i="27"/>
  <c r="J26" i="27" l="1"/>
  <c r="H278" i="28"/>
  <c r="G278" i="28"/>
  <c r="F278" i="28"/>
  <c r="O277" i="28"/>
  <c r="N277" i="28"/>
  <c r="O276" i="28"/>
  <c r="N276" i="28"/>
  <c r="O275" i="28"/>
  <c r="N275" i="28"/>
  <c r="O274" i="28"/>
  <c r="N274" i="28"/>
  <c r="O273" i="28"/>
  <c r="N273" i="28"/>
  <c r="O272" i="28"/>
  <c r="N272" i="28"/>
  <c r="O268" i="28"/>
  <c r="N268" i="28"/>
  <c r="O266" i="28"/>
  <c r="N266" i="28"/>
  <c r="O265" i="28"/>
  <c r="N265" i="28"/>
  <c r="O263" i="28"/>
  <c r="N263" i="28"/>
  <c r="O261" i="28"/>
  <c r="N261" i="28"/>
  <c r="O260" i="28"/>
  <c r="N260" i="28"/>
  <c r="O259" i="28"/>
  <c r="N259" i="28"/>
  <c r="O258" i="28"/>
  <c r="N258" i="28"/>
  <c r="O256" i="28"/>
  <c r="N256" i="28"/>
  <c r="O255" i="28"/>
  <c r="N255" i="28"/>
  <c r="O254" i="28"/>
  <c r="N254" i="28"/>
  <c r="O251" i="28"/>
  <c r="N251" i="28"/>
  <c r="O249" i="28"/>
  <c r="N249" i="28"/>
  <c r="O248" i="28"/>
  <c r="N248" i="28"/>
  <c r="O247" i="28"/>
  <c r="N247" i="28"/>
  <c r="O246" i="28"/>
  <c r="N246" i="28"/>
  <c r="O245" i="28"/>
  <c r="N245" i="28"/>
  <c r="O244" i="28"/>
  <c r="N244" i="28"/>
  <c r="O243" i="28"/>
  <c r="N243" i="28"/>
  <c r="O213" i="28"/>
  <c r="N213" i="28"/>
  <c r="O211" i="28"/>
  <c r="N211" i="28"/>
  <c r="O210" i="28"/>
  <c r="N210" i="28"/>
  <c r="O207" i="28"/>
  <c r="N207" i="28"/>
  <c r="O206" i="28"/>
  <c r="N206" i="28"/>
  <c r="O204" i="28"/>
  <c r="N204" i="28"/>
  <c r="O202" i="28"/>
  <c r="N202" i="28"/>
  <c r="O201" i="28"/>
  <c r="N201" i="28"/>
  <c r="O200" i="28"/>
  <c r="N200" i="28"/>
  <c r="O199" i="28"/>
  <c r="N199" i="28"/>
  <c r="O240" i="28"/>
  <c r="N240" i="28"/>
  <c r="O239" i="28"/>
  <c r="N239" i="28"/>
  <c r="O238" i="28"/>
  <c r="N238" i="28"/>
  <c r="O237" i="28"/>
  <c r="N237" i="28"/>
  <c r="O235" i="28"/>
  <c r="N235" i="28"/>
  <c r="O233" i="28"/>
  <c r="N233" i="28"/>
  <c r="O232" i="28"/>
  <c r="N232" i="28"/>
  <c r="O231" i="28"/>
  <c r="N231" i="28"/>
  <c r="O230" i="28"/>
  <c r="N230" i="28"/>
  <c r="O229" i="28"/>
  <c r="N229" i="28"/>
  <c r="O227" i="28"/>
  <c r="N227" i="28"/>
  <c r="O226" i="28"/>
  <c r="N226" i="28"/>
  <c r="O225" i="28"/>
  <c r="N225" i="28"/>
  <c r="O224" i="28"/>
  <c r="N224" i="28"/>
  <c r="O221" i="28"/>
  <c r="N221" i="28"/>
  <c r="O220" i="28"/>
  <c r="N220" i="28"/>
  <c r="O218" i="28"/>
  <c r="N218" i="28"/>
  <c r="O217" i="28"/>
  <c r="N217" i="28"/>
  <c r="O193" i="28"/>
  <c r="N193" i="28"/>
  <c r="O192" i="28"/>
  <c r="N192" i="28"/>
  <c r="O191" i="28"/>
  <c r="N191" i="28"/>
  <c r="O189" i="28"/>
  <c r="N189" i="28"/>
  <c r="O187" i="28"/>
  <c r="N187" i="28"/>
  <c r="O186" i="28"/>
  <c r="N186" i="28"/>
  <c r="O184" i="28"/>
  <c r="N184" i="28"/>
  <c r="O183" i="28"/>
  <c r="N183" i="28"/>
  <c r="O181" i="28"/>
  <c r="N181" i="28"/>
  <c r="O180" i="28"/>
  <c r="N180" i="28"/>
  <c r="O179" i="28"/>
  <c r="N179" i="28"/>
  <c r="O178" i="28"/>
  <c r="N178" i="28"/>
  <c r="O177" i="28"/>
  <c r="N177" i="28"/>
  <c r="O176" i="28"/>
  <c r="N176" i="28"/>
  <c r="O175" i="28"/>
  <c r="N175" i="28"/>
  <c r="O174" i="28"/>
  <c r="N174" i="28"/>
  <c r="O173" i="28"/>
  <c r="N173" i="28"/>
  <c r="O172" i="28"/>
  <c r="N172" i="28"/>
  <c r="O171" i="28"/>
  <c r="N171" i="28"/>
  <c r="O170" i="28"/>
  <c r="N170" i="28"/>
  <c r="O169" i="28"/>
  <c r="N169" i="28"/>
  <c r="O168" i="28"/>
  <c r="N168" i="28"/>
  <c r="O167" i="28"/>
  <c r="N167" i="28"/>
  <c r="O166" i="28"/>
  <c r="N166" i="28"/>
  <c r="O165" i="28"/>
  <c r="N165" i="28"/>
  <c r="O164" i="28"/>
  <c r="N164" i="28"/>
  <c r="O163" i="28"/>
  <c r="N163" i="28"/>
  <c r="O162" i="28"/>
  <c r="N162" i="28"/>
  <c r="O161" i="28"/>
  <c r="N161" i="28"/>
  <c r="O160" i="28"/>
  <c r="N160" i="28"/>
  <c r="O159" i="28"/>
  <c r="N159" i="28"/>
  <c r="O158" i="28"/>
  <c r="N158" i="28"/>
  <c r="O157" i="28"/>
  <c r="N157" i="28"/>
  <c r="O156" i="28"/>
  <c r="N156" i="28"/>
  <c r="O152" i="28"/>
  <c r="N152" i="28"/>
  <c r="O151" i="28"/>
  <c r="N151" i="28"/>
  <c r="O149" i="28"/>
  <c r="N149" i="28"/>
  <c r="O147" i="28"/>
  <c r="N147" i="28"/>
  <c r="O146" i="28"/>
  <c r="N146" i="28"/>
  <c r="O143" i="28"/>
  <c r="N143" i="28"/>
  <c r="O142" i="28"/>
  <c r="N142" i="28"/>
  <c r="O141" i="28"/>
  <c r="N141" i="28"/>
  <c r="O140" i="28"/>
  <c r="N140" i="28"/>
  <c r="O139" i="28"/>
  <c r="N139" i="28"/>
  <c r="O137" i="28"/>
  <c r="N137" i="28"/>
  <c r="O136" i="28"/>
  <c r="N136" i="28"/>
  <c r="O135" i="28"/>
  <c r="N135" i="28"/>
  <c r="O133" i="28"/>
  <c r="N133" i="28"/>
  <c r="O132" i="28"/>
  <c r="N132" i="28"/>
  <c r="O131" i="28"/>
  <c r="N131" i="28"/>
  <c r="O130" i="28"/>
  <c r="N130" i="28"/>
  <c r="O129" i="28"/>
  <c r="N129" i="28"/>
  <c r="O128" i="28"/>
  <c r="N128" i="28"/>
  <c r="O127" i="28"/>
  <c r="N127" i="28"/>
  <c r="O126" i="28"/>
  <c r="N126" i="28"/>
  <c r="O125" i="28"/>
  <c r="N125" i="28"/>
  <c r="O124" i="28"/>
  <c r="N124" i="28"/>
  <c r="O123" i="28"/>
  <c r="N123" i="28"/>
  <c r="O122" i="28"/>
  <c r="N122" i="28"/>
  <c r="O121" i="28"/>
  <c r="N121" i="28"/>
  <c r="O120" i="28"/>
  <c r="N120" i="28"/>
  <c r="O119" i="28"/>
  <c r="N119" i="28"/>
  <c r="O114" i="28"/>
  <c r="N114" i="28"/>
  <c r="O113" i="28"/>
  <c r="N113" i="28"/>
  <c r="O112" i="28"/>
  <c r="N112" i="28"/>
  <c r="O110" i="28"/>
  <c r="N110" i="28"/>
  <c r="O108" i="28"/>
  <c r="N108" i="28"/>
  <c r="O107" i="28"/>
  <c r="N107" i="28"/>
  <c r="O105" i="28"/>
  <c r="N105" i="28"/>
  <c r="O88" i="28"/>
  <c r="N88" i="28"/>
  <c r="O86" i="28"/>
  <c r="N86" i="28"/>
  <c r="O103" i="28"/>
  <c r="N103" i="28"/>
  <c r="O102" i="28"/>
  <c r="N102" i="28"/>
  <c r="O101" i="28"/>
  <c r="N101" i="28"/>
  <c r="O100" i="28"/>
  <c r="N100" i="28"/>
  <c r="O99" i="28"/>
  <c r="N99" i="28"/>
  <c r="O98" i="28"/>
  <c r="N98" i="28"/>
  <c r="O97" i="28"/>
  <c r="N97" i="28"/>
  <c r="O96" i="28"/>
  <c r="N96" i="28"/>
  <c r="O95" i="28"/>
  <c r="N95" i="28"/>
  <c r="O94" i="28"/>
  <c r="N94" i="28"/>
  <c r="O93" i="28"/>
  <c r="N93" i="28"/>
  <c r="O92" i="28"/>
  <c r="N92" i="28"/>
  <c r="O91" i="28"/>
  <c r="N91" i="28"/>
  <c r="O75" i="28"/>
  <c r="N75" i="28"/>
  <c r="O73" i="28"/>
  <c r="N73" i="28"/>
  <c r="O71" i="28"/>
  <c r="N71" i="28"/>
  <c r="O70" i="28"/>
  <c r="N70" i="28"/>
  <c r="O69" i="28"/>
  <c r="N69" i="28"/>
  <c r="O68" i="28"/>
  <c r="N68" i="28"/>
  <c r="O66" i="28"/>
  <c r="N66" i="28"/>
  <c r="O64" i="28"/>
  <c r="N64" i="28"/>
  <c r="O63" i="28"/>
  <c r="N63" i="28"/>
  <c r="O62" i="28"/>
  <c r="N62" i="28"/>
  <c r="O61" i="28"/>
  <c r="N61" i="28"/>
  <c r="O60" i="28"/>
  <c r="N60" i="28"/>
  <c r="O59" i="28"/>
  <c r="N59" i="28"/>
  <c r="O58" i="28"/>
  <c r="N58" i="28"/>
  <c r="O57" i="28"/>
  <c r="N57" i="28"/>
  <c r="O56" i="28"/>
  <c r="N56" i="28"/>
  <c r="O55" i="28"/>
  <c r="N55" i="28"/>
  <c r="O54" i="28"/>
  <c r="N54" i="28"/>
  <c r="O53" i="28"/>
  <c r="N53" i="28"/>
  <c r="O52" i="28"/>
  <c r="N52" i="28"/>
  <c r="O51" i="28"/>
  <c r="N51" i="28"/>
  <c r="O50" i="28"/>
  <c r="N50" i="28"/>
  <c r="O49" i="28"/>
  <c r="N49" i="28"/>
  <c r="O48" i="28"/>
  <c r="N48" i="28"/>
  <c r="O47" i="28"/>
  <c r="N47" i="28"/>
  <c r="O46" i="28"/>
  <c r="N46" i="28"/>
  <c r="O45" i="28"/>
  <c r="N45" i="28"/>
  <c r="O44" i="28"/>
  <c r="N44" i="28"/>
  <c r="O43" i="28"/>
  <c r="N43" i="28"/>
  <c r="O42" i="28"/>
  <c r="N42" i="28"/>
  <c r="O41" i="28"/>
  <c r="N41" i="28"/>
  <c r="O40" i="28"/>
  <c r="N40" i="28"/>
  <c r="O39" i="28"/>
  <c r="N39" i="28"/>
  <c r="O38" i="28"/>
  <c r="N38" i="28"/>
  <c r="O37" i="28"/>
  <c r="N37" i="28"/>
  <c r="O36" i="28"/>
  <c r="N36" i="28"/>
  <c r="O35" i="28"/>
  <c r="N35" i="28"/>
  <c r="O34" i="28"/>
  <c r="N34" i="28"/>
  <c r="O33" i="28"/>
  <c r="N33" i="28"/>
  <c r="O32" i="28"/>
  <c r="N32" i="28"/>
  <c r="O31" i="28"/>
  <c r="N31" i="28"/>
  <c r="O30" i="28"/>
  <c r="N30" i="28"/>
  <c r="O28" i="28"/>
  <c r="N28" i="28"/>
  <c r="O27" i="28"/>
  <c r="N27" i="28"/>
  <c r="O26" i="28"/>
  <c r="N26" i="28"/>
  <c r="O24" i="28"/>
  <c r="N24" i="28"/>
  <c r="O22" i="28"/>
  <c r="N22" i="28"/>
  <c r="O21" i="28"/>
  <c r="N21" i="28"/>
  <c r="O20" i="28"/>
  <c r="N20" i="28"/>
  <c r="O18" i="28"/>
  <c r="N18" i="28"/>
  <c r="O17" i="28"/>
  <c r="N17" i="28"/>
  <c r="O16" i="28"/>
  <c r="N16" i="28"/>
  <c r="O15" i="28"/>
  <c r="N15" i="28"/>
  <c r="O14" i="28"/>
  <c r="N14" i="28"/>
  <c r="O13" i="28"/>
  <c r="N13" i="28"/>
  <c r="O12" i="28"/>
  <c r="N12" i="28"/>
  <c r="O11" i="28"/>
  <c r="N11" i="28"/>
  <c r="O10" i="28"/>
  <c r="N10" i="28"/>
  <c r="O9" i="28"/>
  <c r="N9" i="28"/>
  <c r="N8" i="28"/>
  <c r="O8" i="28"/>
  <c r="O278" i="28" s="1"/>
  <c r="I75" i="27"/>
  <c r="Q75" i="27" s="1"/>
  <c r="I26" i="27"/>
  <c r="Q26" i="27" s="1"/>
  <c r="I273" i="27"/>
  <c r="K273" i="27" s="1"/>
  <c r="M273" i="27" s="1"/>
  <c r="Q273" i="27" s="1"/>
  <c r="I266" i="27"/>
  <c r="Q266" i="27" s="1"/>
  <c r="I265" i="27"/>
  <c r="Q265" i="27" s="1"/>
  <c r="I263" i="27"/>
  <c r="Q263" i="27" s="1"/>
  <c r="M213" i="27"/>
  <c r="K213" i="27"/>
  <c r="I213" i="27"/>
  <c r="I211" i="27"/>
  <c r="Q211" i="27" s="1"/>
  <c r="I210" i="27"/>
  <c r="Q210" i="27" s="1"/>
  <c r="I207" i="27"/>
  <c r="Q207" i="27" s="1"/>
  <c r="M204" i="27"/>
  <c r="K204" i="27"/>
  <c r="I204" i="27"/>
  <c r="H200" i="27"/>
  <c r="I239" i="27"/>
  <c r="Q239" i="27" s="1"/>
  <c r="I238" i="27"/>
  <c r="Q238" i="27" s="1"/>
  <c r="I237" i="27"/>
  <c r="Q237" i="27" s="1"/>
  <c r="K221" i="27"/>
  <c r="Q221" i="27" s="1"/>
  <c r="K220" i="27"/>
  <c r="M220" i="27" s="1"/>
  <c r="Q220" i="27" s="1"/>
  <c r="K193" i="27"/>
  <c r="Q193" i="27" s="1"/>
  <c r="M187" i="27"/>
  <c r="K187" i="27"/>
  <c r="K186" i="27"/>
  <c r="M186" i="27" s="1"/>
  <c r="Q186" i="27" s="1"/>
  <c r="K152" i="27"/>
  <c r="M152" i="27" s="1"/>
  <c r="Q152" i="27" s="1"/>
  <c r="K151" i="27"/>
  <c r="M151" i="27" s="1"/>
  <c r="Q151" i="27" s="1"/>
  <c r="M114" i="27"/>
  <c r="K114" i="27"/>
  <c r="I114" i="27"/>
  <c r="M113" i="27"/>
  <c r="K113" i="27"/>
  <c r="I113" i="27"/>
  <c r="M112" i="27"/>
  <c r="Q112" i="27" s="1"/>
  <c r="K112" i="27"/>
  <c r="I112" i="27"/>
  <c r="K103" i="27"/>
  <c r="I103" i="27"/>
  <c r="M64" i="27"/>
  <c r="K64" i="27"/>
  <c r="I64" i="27"/>
  <c r="S30" i="27"/>
  <c r="M24" i="27"/>
  <c r="K24" i="27"/>
  <c r="M22" i="27"/>
  <c r="K22" i="27"/>
  <c r="I22" i="27"/>
  <c r="H21" i="27"/>
  <c r="T11" i="8"/>
  <c r="S11" i="8"/>
  <c r="R11" i="8"/>
  <c r="T10" i="8"/>
  <c r="S10" i="8"/>
  <c r="R10" i="8"/>
  <c r="O24" i="8"/>
  <c r="L24" i="8"/>
  <c r="L26" i="8"/>
  <c r="I26" i="8"/>
  <c r="I266" i="8"/>
  <c r="L266" i="8" s="1"/>
  <c r="O266" i="8" s="1"/>
  <c r="M270" i="8"/>
  <c r="T94" i="8"/>
  <c r="R8" i="8"/>
  <c r="M94" i="8"/>
  <c r="L94" i="8"/>
  <c r="J94" i="8"/>
  <c r="I94" i="8"/>
  <c r="Q22" i="27" l="1"/>
  <c r="Q103" i="27"/>
  <c r="Q204" i="27"/>
  <c r="Q114" i="27"/>
  <c r="S94" i="8"/>
  <c r="I279" i="27"/>
  <c r="Q24" i="27"/>
  <c r="Q64" i="27"/>
  <c r="Q113" i="27"/>
  <c r="Q187" i="27"/>
  <c r="Q213" i="27"/>
  <c r="J279" i="27"/>
  <c r="R26" i="27"/>
  <c r="K279" i="27"/>
  <c r="N278" i="28"/>
  <c r="U10" i="8"/>
  <c r="S189" i="27"/>
  <c r="S66" i="27"/>
  <c r="S105" i="27"/>
  <c r="S107" i="27"/>
  <c r="S110" i="27"/>
  <c r="S151" i="27"/>
  <c r="S183" i="27"/>
  <c r="S184" i="27"/>
  <c r="S218" i="27"/>
  <c r="S220" i="27"/>
  <c r="S230" i="27"/>
  <c r="S235" i="27"/>
  <c r="S239" i="27"/>
  <c r="S207" i="27"/>
  <c r="S210" i="27"/>
  <c r="S244" i="27"/>
  <c r="S247" i="27"/>
  <c r="S251" i="27"/>
  <c r="S265" i="27"/>
  <c r="S266" i="27"/>
  <c r="S272" i="27"/>
  <c r="S273" i="27"/>
  <c r="S275" i="27"/>
  <c r="S276" i="27"/>
  <c r="S93" i="27"/>
  <c r="S96" i="27"/>
  <c r="S99" i="27"/>
  <c r="S80" i="27"/>
  <c r="S83" i="27"/>
  <c r="S137" i="27"/>
  <c r="S141" i="27"/>
  <c r="S193" i="27"/>
  <c r="S237" i="27"/>
  <c r="S240" i="27"/>
  <c r="S245" i="27"/>
  <c r="S8" i="27"/>
  <c r="S11" i="27"/>
  <c r="S14" i="27"/>
  <c r="S17" i="27"/>
  <c r="S92" i="27"/>
  <c r="S95" i="27"/>
  <c r="S98" i="27"/>
  <c r="S82" i="27"/>
  <c r="S136" i="27"/>
  <c r="S140" i="27"/>
  <c r="S143" i="27"/>
  <c r="S123" i="27"/>
  <c r="S157" i="27"/>
  <c r="S63" i="27"/>
  <c r="S121" i="27"/>
  <c r="S147" i="27"/>
  <c r="S163" i="27"/>
  <c r="S166" i="27"/>
  <c r="S169" i="27"/>
  <c r="S176" i="27"/>
  <c r="S217" i="27"/>
  <c r="S202" i="27"/>
  <c r="S255" i="27"/>
  <c r="S259" i="27"/>
  <c r="S277" i="27"/>
  <c r="S28" i="27"/>
  <c r="S68" i="27"/>
  <c r="S71" i="27"/>
  <c r="S101" i="27"/>
  <c r="S58" i="27"/>
  <c r="S61" i="27"/>
  <c r="S102" i="27"/>
  <c r="S27" i="27"/>
  <c r="S70" i="27"/>
  <c r="S10" i="27"/>
  <c r="S16" i="27"/>
  <c r="S20" i="27"/>
  <c r="S57" i="27"/>
  <c r="S9" i="27"/>
  <c r="S12" i="27"/>
  <c r="S15" i="27"/>
  <c r="S18" i="27"/>
  <c r="S21" i="27"/>
  <c r="S69" i="27"/>
  <c r="S73" i="27"/>
  <c r="S119" i="27"/>
  <c r="S126" i="27"/>
  <c r="S149" i="27"/>
  <c r="S164" i="27"/>
  <c r="S167" i="27"/>
  <c r="S170" i="27"/>
  <c r="S174" i="27"/>
  <c r="S177" i="27"/>
  <c r="S200" i="27"/>
  <c r="S256" i="27"/>
  <c r="S260" i="27"/>
  <c r="S120" i="27"/>
  <c r="S146" i="27"/>
  <c r="S165" i="27"/>
  <c r="S168" i="27"/>
  <c r="S171" i="27"/>
  <c r="S175" i="27"/>
  <c r="S201" i="27"/>
  <c r="S248" i="27"/>
  <c r="S254" i="27"/>
  <c r="S258" i="27"/>
  <c r="S261" i="27"/>
  <c r="S56" i="27"/>
  <c r="S59" i="27"/>
  <c r="S91" i="27"/>
  <c r="S94" i="27"/>
  <c r="S97" i="27"/>
  <c r="S108" i="27"/>
  <c r="S81" i="27"/>
  <c r="S84" i="27"/>
  <c r="S124" i="27"/>
  <c r="S135" i="27"/>
  <c r="S139" i="27"/>
  <c r="S142" i="27"/>
  <c r="S152" i="27"/>
  <c r="S158" i="27"/>
  <c r="S186" i="27"/>
  <c r="S221" i="27"/>
  <c r="S229" i="27"/>
  <c r="S233" i="27"/>
  <c r="S238" i="27"/>
  <c r="S206" i="27"/>
  <c r="S211" i="27"/>
  <c r="S243" i="27"/>
  <c r="S246" i="27"/>
  <c r="S263" i="27"/>
  <c r="S268" i="27"/>
  <c r="S274" i="27"/>
  <c r="S60" i="27"/>
  <c r="S130" i="27"/>
  <c r="S159" i="27"/>
  <c r="S191" i="27"/>
  <c r="S75" i="27"/>
  <c r="R94" i="8"/>
  <c r="U94" i="8" s="1"/>
  <c r="U11" i="8"/>
  <c r="S114" i="27"/>
  <c r="S187" i="27"/>
  <c r="S24" i="27"/>
  <c r="S31" i="27"/>
  <c r="S33" i="27"/>
  <c r="S35" i="27"/>
  <c r="S37" i="27"/>
  <c r="S39" i="27"/>
  <c r="S41" i="27"/>
  <c r="S43" i="27"/>
  <c r="S45" i="27"/>
  <c r="S47" i="27"/>
  <c r="S49" i="27"/>
  <c r="S51" i="27"/>
  <c r="S53" i="27"/>
  <c r="S55" i="27"/>
  <c r="S62" i="27"/>
  <c r="S100" i="27"/>
  <c r="S112" i="27"/>
  <c r="S249" i="27"/>
  <c r="S32" i="27"/>
  <c r="S34" i="27"/>
  <c r="S36" i="27"/>
  <c r="S38" i="27"/>
  <c r="S40" i="27"/>
  <c r="S42" i="27"/>
  <c r="S44" i="27"/>
  <c r="S46" i="27"/>
  <c r="S48" i="27"/>
  <c r="S50" i="27"/>
  <c r="S52" i="27"/>
  <c r="S54" i="27"/>
  <c r="S86" i="27"/>
  <c r="S88" i="27"/>
  <c r="S113" i="27"/>
  <c r="S122" i="27"/>
  <c r="S125" i="27"/>
  <c r="S127" i="27"/>
  <c r="S128" i="27"/>
  <c r="S129" i="27"/>
  <c r="S131" i="27"/>
  <c r="S132" i="27"/>
  <c r="S133" i="27"/>
  <c r="S156" i="27"/>
  <c r="S160" i="27"/>
  <c r="S161" i="27"/>
  <c r="S162" i="27"/>
  <c r="S172" i="27"/>
  <c r="S173" i="27"/>
  <c r="S178" i="27"/>
  <c r="S179" i="27"/>
  <c r="S180" i="27"/>
  <c r="S181" i="27"/>
  <c r="S192" i="27"/>
  <c r="S224" i="27"/>
  <c r="S225" i="27"/>
  <c r="S226" i="27"/>
  <c r="S227" i="27"/>
  <c r="S231" i="27"/>
  <c r="S232" i="27"/>
  <c r="S199" i="27"/>
  <c r="S204" i="27"/>
  <c r="S213" i="27"/>
  <c r="T105" i="8"/>
  <c r="S105" i="8"/>
  <c r="O105" i="8"/>
  <c r="L105" i="8"/>
  <c r="I105" i="8"/>
  <c r="T104" i="8"/>
  <c r="S104" i="8"/>
  <c r="O104" i="8"/>
  <c r="L104" i="8"/>
  <c r="I104" i="8"/>
  <c r="T103" i="8"/>
  <c r="S103" i="8"/>
  <c r="O103" i="8"/>
  <c r="L103" i="8"/>
  <c r="I103" i="8"/>
  <c r="T101" i="8"/>
  <c r="S101" i="8"/>
  <c r="R101" i="8"/>
  <c r="T99" i="8"/>
  <c r="S99" i="8"/>
  <c r="R99" i="8"/>
  <c r="T98" i="8"/>
  <c r="S98" i="8"/>
  <c r="R98" i="8"/>
  <c r="T96" i="8"/>
  <c r="S96" i="8"/>
  <c r="R96" i="8"/>
  <c r="T92" i="8"/>
  <c r="S92" i="8"/>
  <c r="L92" i="8"/>
  <c r="I92" i="8"/>
  <c r="T111" i="8"/>
  <c r="S111" i="8"/>
  <c r="I111" i="8"/>
  <c r="R111" i="8" s="1"/>
  <c r="U111" i="8" s="1"/>
  <c r="T110" i="8"/>
  <c r="S110" i="8"/>
  <c r="I110" i="8"/>
  <c r="R110" i="8" s="1"/>
  <c r="T109" i="8"/>
  <c r="S109" i="8"/>
  <c r="I109" i="8"/>
  <c r="R109" i="8" s="1"/>
  <c r="T108" i="8"/>
  <c r="S108" i="8"/>
  <c r="I108" i="8"/>
  <c r="R108" i="8" s="1"/>
  <c r="T107" i="8"/>
  <c r="S107" i="8"/>
  <c r="I107" i="8"/>
  <c r="R107" i="8" s="1"/>
  <c r="Q279" i="27" l="1"/>
  <c r="M279" i="27"/>
  <c r="U109" i="8"/>
  <c r="S26" i="27"/>
  <c r="U96" i="8"/>
  <c r="S103" i="27"/>
  <c r="S64" i="27"/>
  <c r="S22" i="27"/>
  <c r="U99" i="8"/>
  <c r="U107" i="8"/>
  <c r="R92" i="8"/>
  <c r="U92" i="8" s="1"/>
  <c r="R104" i="8"/>
  <c r="U104" i="8" s="1"/>
  <c r="U98" i="8"/>
  <c r="U108" i="8"/>
  <c r="R103" i="8"/>
  <c r="U103" i="8" s="1"/>
  <c r="R105" i="8"/>
  <c r="U105" i="8" s="1"/>
  <c r="U110" i="8"/>
  <c r="U101" i="8"/>
  <c r="P273" i="26" l="1"/>
  <c r="M273" i="26"/>
  <c r="J273" i="26"/>
  <c r="S272" i="26"/>
  <c r="O272" i="26"/>
  <c r="O273" i="26" s="1"/>
  <c r="N272" i="26"/>
  <c r="L272" i="26"/>
  <c r="L273" i="26" s="1"/>
  <c r="K272" i="26"/>
  <c r="I272" i="26"/>
  <c r="I273" i="26" s="1"/>
  <c r="H272" i="26"/>
  <c r="S271" i="26"/>
  <c r="R271" i="26"/>
  <c r="H271" i="26"/>
  <c r="Q271" i="26" s="1"/>
  <c r="S270" i="26"/>
  <c r="R270" i="26"/>
  <c r="Q270" i="26"/>
  <c r="S269" i="26"/>
  <c r="R269" i="26"/>
  <c r="Q269" i="26"/>
  <c r="S268" i="26"/>
  <c r="R268" i="26"/>
  <c r="H268" i="26"/>
  <c r="S267" i="26"/>
  <c r="R267" i="26"/>
  <c r="Q267" i="26"/>
  <c r="P265" i="26"/>
  <c r="M265" i="26"/>
  <c r="J265" i="26"/>
  <c r="S264" i="26"/>
  <c r="R264" i="26"/>
  <c r="N264" i="26"/>
  <c r="K264" i="26"/>
  <c r="H264" i="26"/>
  <c r="S263" i="26"/>
  <c r="R263" i="26"/>
  <c r="N263" i="26"/>
  <c r="K263" i="26"/>
  <c r="H263" i="26"/>
  <c r="S262" i="26"/>
  <c r="R262" i="26"/>
  <c r="N262" i="26"/>
  <c r="K262" i="26"/>
  <c r="H262" i="26"/>
  <c r="S260" i="26"/>
  <c r="R260" i="26"/>
  <c r="Q260" i="26"/>
  <c r="S258" i="26"/>
  <c r="R258" i="26"/>
  <c r="Q258" i="26"/>
  <c r="S257" i="26"/>
  <c r="R257" i="26"/>
  <c r="Q257" i="26"/>
  <c r="S255" i="26"/>
  <c r="R255" i="26"/>
  <c r="Q255" i="26"/>
  <c r="S253" i="26"/>
  <c r="R253" i="26"/>
  <c r="Q253" i="26"/>
  <c r="S251" i="26"/>
  <c r="R251" i="26"/>
  <c r="K251" i="26"/>
  <c r="H251" i="26"/>
  <c r="S249" i="26"/>
  <c r="R249" i="26"/>
  <c r="Q249" i="26"/>
  <c r="S248" i="26"/>
  <c r="R248" i="26"/>
  <c r="Q248" i="26"/>
  <c r="S247" i="26"/>
  <c r="R247" i="26"/>
  <c r="Q247" i="26"/>
  <c r="S246" i="26"/>
  <c r="R246" i="26"/>
  <c r="Q246" i="26"/>
  <c r="S245" i="26"/>
  <c r="R245" i="26"/>
  <c r="Q245" i="26"/>
  <c r="S243" i="26"/>
  <c r="O243" i="26"/>
  <c r="N243" i="26"/>
  <c r="L243" i="26"/>
  <c r="K243" i="26"/>
  <c r="I243" i="26"/>
  <c r="H243" i="26"/>
  <c r="S242" i="26"/>
  <c r="Q242" i="26"/>
  <c r="S241" i="26"/>
  <c r="R241" i="26"/>
  <c r="Q241" i="26"/>
  <c r="S240" i="26"/>
  <c r="Q240" i="26"/>
  <c r="S239" i="26"/>
  <c r="R239" i="26"/>
  <c r="Q239" i="26"/>
  <c r="S238" i="26"/>
  <c r="R238" i="26"/>
  <c r="Q238" i="26"/>
  <c r="S237" i="26"/>
  <c r="R237" i="26"/>
  <c r="Q237" i="26"/>
  <c r="S236" i="26"/>
  <c r="R236" i="26"/>
  <c r="Q236" i="26"/>
  <c r="S235" i="26"/>
  <c r="R235" i="26"/>
  <c r="Q235" i="26"/>
  <c r="S234" i="26"/>
  <c r="R234" i="26"/>
  <c r="Q234" i="26"/>
  <c r="S233" i="26"/>
  <c r="R233" i="26"/>
  <c r="Q233" i="26"/>
  <c r="S232" i="26"/>
  <c r="R232" i="26"/>
  <c r="Q232" i="26"/>
  <c r="S231" i="26"/>
  <c r="R231" i="26"/>
  <c r="Q231" i="26"/>
  <c r="S227" i="26"/>
  <c r="R227" i="26"/>
  <c r="Q227" i="26"/>
  <c r="S225" i="26"/>
  <c r="R225" i="26"/>
  <c r="Q225" i="26"/>
  <c r="S223" i="26"/>
  <c r="R223" i="26"/>
  <c r="Q223" i="26"/>
  <c r="S222" i="26"/>
  <c r="R222" i="26"/>
  <c r="Q222" i="26"/>
  <c r="S221" i="26"/>
  <c r="R221" i="26"/>
  <c r="Q221" i="26"/>
  <c r="S220" i="26"/>
  <c r="R220" i="26"/>
  <c r="Q220" i="26"/>
  <c r="S218" i="26"/>
  <c r="R218" i="26"/>
  <c r="Q218" i="26"/>
  <c r="S216" i="26"/>
  <c r="O216" i="26"/>
  <c r="N216" i="26"/>
  <c r="L216" i="26"/>
  <c r="K216" i="26"/>
  <c r="I216" i="26"/>
  <c r="H216" i="26"/>
  <c r="S215" i="26"/>
  <c r="Q215" i="26"/>
  <c r="Q214" i="26"/>
  <c r="P214" i="26"/>
  <c r="M214" i="26"/>
  <c r="J214" i="26"/>
  <c r="Q213" i="26"/>
  <c r="P213" i="26"/>
  <c r="M213" i="26"/>
  <c r="J213" i="26"/>
  <c r="Q212" i="26"/>
  <c r="P212" i="26"/>
  <c r="M212" i="26"/>
  <c r="J212" i="26"/>
  <c r="Q211" i="26"/>
  <c r="P211" i="26"/>
  <c r="M211" i="26"/>
  <c r="J211" i="26"/>
  <c r="Q210" i="26"/>
  <c r="P210" i="26"/>
  <c r="M210" i="26"/>
  <c r="J210" i="26"/>
  <c r="Q209" i="26"/>
  <c r="P209" i="26"/>
  <c r="M209" i="26"/>
  <c r="J209" i="26"/>
  <c r="Q208" i="26"/>
  <c r="O208" i="26"/>
  <c r="L208" i="26"/>
  <c r="I208" i="26"/>
  <c r="Q207" i="26"/>
  <c r="Q206" i="26"/>
  <c r="P206" i="26"/>
  <c r="M206" i="26"/>
  <c r="J206" i="26"/>
  <c r="Q205" i="26"/>
  <c r="P205" i="26"/>
  <c r="M205" i="26"/>
  <c r="J205" i="26"/>
  <c r="Q204" i="26"/>
  <c r="Q203" i="26"/>
  <c r="O203" i="26"/>
  <c r="L203" i="26"/>
  <c r="I203" i="26"/>
  <c r="Q202" i="26"/>
  <c r="P202" i="26"/>
  <c r="M202" i="26"/>
  <c r="J202" i="26"/>
  <c r="Q201" i="26"/>
  <c r="P201" i="26"/>
  <c r="M201" i="26"/>
  <c r="J201" i="26"/>
  <c r="Q200" i="26"/>
  <c r="P200" i="26"/>
  <c r="M200" i="26"/>
  <c r="J200" i="26"/>
  <c r="Q199" i="26"/>
  <c r="P199" i="26"/>
  <c r="M199" i="26"/>
  <c r="J199" i="26"/>
  <c r="Q198" i="26"/>
  <c r="P198" i="26"/>
  <c r="M198" i="26"/>
  <c r="J198" i="26"/>
  <c r="Q197" i="26"/>
  <c r="P197" i="26"/>
  <c r="M197" i="26"/>
  <c r="J197" i="26"/>
  <c r="Q196" i="26"/>
  <c r="P196" i="26"/>
  <c r="M196" i="26"/>
  <c r="J196" i="26"/>
  <c r="Q195" i="26"/>
  <c r="Q194" i="26"/>
  <c r="O194" i="26"/>
  <c r="I194" i="26"/>
  <c r="Q193" i="26"/>
  <c r="P193" i="26"/>
  <c r="M193" i="26"/>
  <c r="J193" i="26"/>
  <c r="Q192" i="26"/>
  <c r="P192" i="26"/>
  <c r="M192" i="26"/>
  <c r="J192" i="26"/>
  <c r="Q191" i="26"/>
  <c r="P191" i="26"/>
  <c r="M191" i="26"/>
  <c r="J191" i="26"/>
  <c r="Q190" i="26"/>
  <c r="O190" i="26"/>
  <c r="L190" i="26"/>
  <c r="I190" i="26"/>
  <c r="Q189" i="26"/>
  <c r="Q188" i="26"/>
  <c r="Q187" i="26"/>
  <c r="P187" i="26"/>
  <c r="M187" i="26"/>
  <c r="J187" i="26"/>
  <c r="Q186" i="26"/>
  <c r="P186" i="26"/>
  <c r="M186" i="26"/>
  <c r="J186" i="26"/>
  <c r="Q185" i="26"/>
  <c r="P185" i="26"/>
  <c r="M185" i="26"/>
  <c r="J185" i="26"/>
  <c r="Q184" i="26"/>
  <c r="Q183" i="26"/>
  <c r="P183" i="26"/>
  <c r="M183" i="26"/>
  <c r="J183" i="26"/>
  <c r="Q182" i="26"/>
  <c r="O182" i="26"/>
  <c r="L182" i="26"/>
  <c r="I182" i="26"/>
  <c r="S180" i="26"/>
  <c r="R180" i="26"/>
  <c r="Q180" i="26"/>
  <c r="S179" i="26"/>
  <c r="R179" i="26"/>
  <c r="Q179" i="26"/>
  <c r="S178" i="26"/>
  <c r="R178" i="26"/>
  <c r="Q178" i="26"/>
  <c r="S177" i="26"/>
  <c r="R177" i="26"/>
  <c r="Q177" i="26"/>
  <c r="S176" i="26"/>
  <c r="R176" i="26"/>
  <c r="K176" i="26"/>
  <c r="Q176" i="26" s="1"/>
  <c r="S174" i="26"/>
  <c r="R174" i="26"/>
  <c r="Q174" i="26"/>
  <c r="S172" i="26"/>
  <c r="O172" i="26"/>
  <c r="N172" i="26"/>
  <c r="N228" i="26" s="1"/>
  <c r="L172" i="26"/>
  <c r="K172" i="26"/>
  <c r="K228" i="26" s="1"/>
  <c r="I172" i="26"/>
  <c r="H172" i="26"/>
  <c r="S171" i="26"/>
  <c r="R171" i="26"/>
  <c r="Q171" i="26"/>
  <c r="G171" i="26"/>
  <c r="S170" i="26"/>
  <c r="R170" i="26"/>
  <c r="Q170" i="26"/>
  <c r="S168" i="26"/>
  <c r="R168" i="26"/>
  <c r="Q168" i="26"/>
  <c r="S167" i="26"/>
  <c r="R167" i="26"/>
  <c r="Q167" i="26"/>
  <c r="S166" i="26"/>
  <c r="R166" i="26"/>
  <c r="Q166" i="26"/>
  <c r="S165" i="26"/>
  <c r="R165" i="26"/>
  <c r="Q165" i="26"/>
  <c r="S164" i="26"/>
  <c r="R164" i="26"/>
  <c r="Q164" i="26"/>
  <c r="S163" i="26"/>
  <c r="R163" i="26"/>
  <c r="Q163" i="26"/>
  <c r="S162" i="26"/>
  <c r="R162" i="26"/>
  <c r="Q162" i="26"/>
  <c r="S161" i="26"/>
  <c r="R161" i="26"/>
  <c r="Q161" i="26"/>
  <c r="S160" i="26"/>
  <c r="R160" i="26"/>
  <c r="Q160" i="26"/>
  <c r="S159" i="26"/>
  <c r="R159" i="26"/>
  <c r="Q159" i="26"/>
  <c r="S158" i="26"/>
  <c r="R158" i="26"/>
  <c r="Q158" i="26"/>
  <c r="P155" i="26"/>
  <c r="M155" i="26"/>
  <c r="J155" i="26"/>
  <c r="S154" i="26"/>
  <c r="R154" i="26"/>
  <c r="Q154" i="26"/>
  <c r="S152" i="26"/>
  <c r="R152" i="26"/>
  <c r="Q152" i="26"/>
  <c r="H152" i="26"/>
  <c r="S151" i="26"/>
  <c r="R151" i="26"/>
  <c r="H151" i="26"/>
  <c r="Q151" i="26" s="1"/>
  <c r="S149" i="26"/>
  <c r="R149" i="26"/>
  <c r="H149" i="26"/>
  <c r="Q149" i="26" s="1"/>
  <c r="S147" i="26"/>
  <c r="Q147" i="26"/>
  <c r="O147" i="26"/>
  <c r="L147" i="26"/>
  <c r="I147" i="26"/>
  <c r="S146" i="26"/>
  <c r="Q146" i="26"/>
  <c r="S145" i="26"/>
  <c r="Q145" i="26"/>
  <c r="S144" i="26"/>
  <c r="Q144" i="26"/>
  <c r="O144" i="26"/>
  <c r="S142" i="26"/>
  <c r="Q142" i="26"/>
  <c r="O142" i="26"/>
  <c r="L142" i="26"/>
  <c r="I142" i="26"/>
  <c r="S141" i="26"/>
  <c r="Q141" i="26"/>
  <c r="S140" i="26"/>
  <c r="Q140" i="26"/>
  <c r="S137" i="26"/>
  <c r="R137" i="26"/>
  <c r="Q137" i="26"/>
  <c r="N136" i="26"/>
  <c r="S135" i="26"/>
  <c r="Q135" i="26"/>
  <c r="O135" i="26"/>
  <c r="L135" i="26"/>
  <c r="I135" i="26"/>
  <c r="S134" i="26"/>
  <c r="Q134" i="26"/>
  <c r="S133" i="26"/>
  <c r="R133" i="26"/>
  <c r="Q133" i="26"/>
  <c r="S132" i="26"/>
  <c r="R132" i="26"/>
  <c r="Q132" i="26"/>
  <c r="S131" i="26"/>
  <c r="R131" i="26"/>
  <c r="Q131" i="26"/>
  <c r="S130" i="26"/>
  <c r="R130" i="26"/>
  <c r="Q130" i="26"/>
  <c r="S129" i="26"/>
  <c r="R129" i="26"/>
  <c r="Q129" i="26"/>
  <c r="S126" i="26"/>
  <c r="R126" i="26"/>
  <c r="N126" i="26"/>
  <c r="K126" i="26"/>
  <c r="H126" i="26"/>
  <c r="S124" i="26"/>
  <c r="R124" i="26"/>
  <c r="H124" i="26"/>
  <c r="Q124" i="26" s="1"/>
  <c r="S123" i="26"/>
  <c r="R123" i="26"/>
  <c r="H123" i="26"/>
  <c r="Q123" i="26" s="1"/>
  <c r="S120" i="26"/>
  <c r="R120" i="26"/>
  <c r="H120" i="26"/>
  <c r="Q120" i="26" s="1"/>
  <c r="S119" i="26"/>
  <c r="R119" i="26"/>
  <c r="Q119" i="26"/>
  <c r="S117" i="26"/>
  <c r="R117" i="26"/>
  <c r="N117" i="26"/>
  <c r="K117" i="26"/>
  <c r="H117" i="26"/>
  <c r="S115" i="26"/>
  <c r="Q115" i="26"/>
  <c r="O115" i="26"/>
  <c r="L115" i="26"/>
  <c r="I115" i="26"/>
  <c r="S114" i="26"/>
  <c r="Q114" i="26"/>
  <c r="S113" i="26"/>
  <c r="Q113" i="26"/>
  <c r="G113" i="26"/>
  <c r="S112" i="26"/>
  <c r="Q112" i="26"/>
  <c r="S108" i="26"/>
  <c r="R108" i="26"/>
  <c r="Q108" i="26"/>
  <c r="S107" i="26"/>
  <c r="R107" i="26"/>
  <c r="H107" i="26"/>
  <c r="Q107" i="26" s="1"/>
  <c r="S106" i="26"/>
  <c r="R106" i="26"/>
  <c r="H106" i="26"/>
  <c r="Q106" i="26" s="1"/>
  <c r="S105" i="26"/>
  <c r="R105" i="26"/>
  <c r="H105" i="26"/>
  <c r="Q105" i="26" s="1"/>
  <c r="S103" i="26"/>
  <c r="R103" i="26"/>
  <c r="Q103" i="26"/>
  <c r="S101" i="26"/>
  <c r="R101" i="26"/>
  <c r="Q101" i="26"/>
  <c r="S100" i="26"/>
  <c r="Q100" i="26"/>
  <c r="O100" i="26"/>
  <c r="L100" i="26"/>
  <c r="S99" i="26"/>
  <c r="Q99" i="26"/>
  <c r="O99" i="26"/>
  <c r="L99" i="26"/>
  <c r="I99" i="26"/>
  <c r="S98" i="26"/>
  <c r="R98" i="26"/>
  <c r="Q98" i="26"/>
  <c r="S97" i="26"/>
  <c r="R97" i="26"/>
  <c r="Q97" i="26"/>
  <c r="S95" i="26"/>
  <c r="Q95" i="26"/>
  <c r="O95" i="26"/>
  <c r="L95" i="26"/>
  <c r="I95" i="26"/>
  <c r="S94" i="26"/>
  <c r="Q94" i="26"/>
  <c r="S93" i="26"/>
  <c r="Q93" i="26"/>
  <c r="S92" i="26"/>
  <c r="Q92" i="26"/>
  <c r="S89" i="26"/>
  <c r="R89" i="26"/>
  <c r="K89" i="26"/>
  <c r="Q89" i="26" s="1"/>
  <c r="S88" i="26"/>
  <c r="Q88" i="26"/>
  <c r="S87" i="26"/>
  <c r="Q87" i="26"/>
  <c r="S85" i="26"/>
  <c r="R85" i="26"/>
  <c r="K85" i="26"/>
  <c r="Q85" i="26" s="1"/>
  <c r="S84" i="26"/>
  <c r="R84" i="26"/>
  <c r="K84" i="26"/>
  <c r="N84" i="26" s="1"/>
  <c r="Q84" i="26" s="1"/>
  <c r="S82" i="26"/>
  <c r="R82" i="26"/>
  <c r="Q82" i="26"/>
  <c r="S81" i="26"/>
  <c r="Q81" i="26"/>
  <c r="O81" i="26"/>
  <c r="L81" i="26"/>
  <c r="S78" i="26"/>
  <c r="R78" i="26"/>
  <c r="Q78" i="26"/>
  <c r="S76" i="26"/>
  <c r="R76" i="26"/>
  <c r="N76" i="26"/>
  <c r="Q76" i="26" s="1"/>
  <c r="K76" i="26"/>
  <c r="S75" i="26"/>
  <c r="R75" i="26"/>
  <c r="K75" i="26"/>
  <c r="N75" i="26" s="1"/>
  <c r="Q75" i="26" s="1"/>
  <c r="S73" i="26"/>
  <c r="R73" i="26"/>
  <c r="Q73" i="26"/>
  <c r="S72" i="26"/>
  <c r="R72" i="26"/>
  <c r="Q72" i="26"/>
  <c r="S70" i="26"/>
  <c r="Q70" i="26"/>
  <c r="O70" i="26"/>
  <c r="L70" i="26"/>
  <c r="I70" i="26"/>
  <c r="S69" i="26"/>
  <c r="Q69" i="26"/>
  <c r="S68" i="26"/>
  <c r="Q68" i="26"/>
  <c r="S67" i="26"/>
  <c r="Q67" i="26"/>
  <c r="S66" i="26"/>
  <c r="Q66" i="26"/>
  <c r="S65" i="26"/>
  <c r="Q65" i="26"/>
  <c r="S64" i="26"/>
  <c r="Q64" i="26"/>
  <c r="S63" i="26"/>
  <c r="Q63" i="26"/>
  <c r="S62" i="26"/>
  <c r="Q62" i="26"/>
  <c r="S61" i="26"/>
  <c r="Q61" i="26"/>
  <c r="S60" i="26"/>
  <c r="Q60" i="26"/>
  <c r="S59" i="26"/>
  <c r="Q59" i="26"/>
  <c r="S58" i="26"/>
  <c r="Q58" i="26"/>
  <c r="S57" i="26"/>
  <c r="Q57" i="26"/>
  <c r="S56" i="26"/>
  <c r="Q56" i="26"/>
  <c r="S55" i="26"/>
  <c r="Q55" i="26"/>
  <c r="S54" i="26"/>
  <c r="Q54" i="26"/>
  <c r="S53" i="26"/>
  <c r="Q53" i="26"/>
  <c r="S52" i="26"/>
  <c r="Q52" i="26"/>
  <c r="S51" i="26"/>
  <c r="Q51" i="26"/>
  <c r="S50" i="26"/>
  <c r="Q50" i="26"/>
  <c r="S49" i="26"/>
  <c r="Q49" i="26"/>
  <c r="S48" i="26"/>
  <c r="Q48" i="26"/>
  <c r="S47" i="26"/>
  <c r="Q47" i="26"/>
  <c r="S46" i="26"/>
  <c r="Q46" i="26"/>
  <c r="S45" i="26"/>
  <c r="Q45" i="26"/>
  <c r="S41" i="26"/>
  <c r="R41" i="26"/>
  <c r="K41" i="26"/>
  <c r="N41" i="26" s="1"/>
  <c r="Q41" i="26" s="1"/>
  <c r="S40" i="26"/>
  <c r="R40" i="26"/>
  <c r="K40" i="26"/>
  <c r="S38" i="26"/>
  <c r="Q38" i="26"/>
  <c r="O38" i="26"/>
  <c r="L38" i="26"/>
  <c r="I38" i="26"/>
  <c r="S36" i="26"/>
  <c r="Q36" i="26"/>
  <c r="O36" i="26"/>
  <c r="L36" i="26"/>
  <c r="I36" i="26"/>
  <c r="S35" i="26"/>
  <c r="Q35" i="26"/>
  <c r="S32" i="26"/>
  <c r="R32" i="26"/>
  <c r="Q32" i="26"/>
  <c r="S31" i="26"/>
  <c r="R31" i="26"/>
  <c r="Q31" i="26"/>
  <c r="S30" i="26"/>
  <c r="R30" i="26"/>
  <c r="Q30" i="26"/>
  <c r="S29" i="26"/>
  <c r="R29" i="26"/>
  <c r="Q29" i="26"/>
  <c r="S28" i="26"/>
  <c r="R28" i="26"/>
  <c r="Q28" i="26"/>
  <c r="S26" i="26"/>
  <c r="R26" i="26"/>
  <c r="Q26" i="26"/>
  <c r="S25" i="26"/>
  <c r="R25" i="26"/>
  <c r="Q25" i="26"/>
  <c r="S24" i="26"/>
  <c r="R24" i="26"/>
  <c r="Q24" i="26"/>
  <c r="S22" i="26"/>
  <c r="Q22" i="26"/>
  <c r="O22" i="26"/>
  <c r="L22" i="26"/>
  <c r="I22" i="26"/>
  <c r="S21" i="26"/>
  <c r="Q21" i="26"/>
  <c r="S20" i="26"/>
  <c r="Q20" i="26"/>
  <c r="S19" i="26"/>
  <c r="Q19" i="26"/>
  <c r="S18" i="26"/>
  <c r="Q18" i="26"/>
  <c r="S17" i="26"/>
  <c r="Q17" i="26"/>
  <c r="S16" i="26"/>
  <c r="Q16" i="26"/>
  <c r="S15" i="26"/>
  <c r="Q15" i="26"/>
  <c r="S14" i="26"/>
  <c r="Q14" i="26"/>
  <c r="S13" i="26"/>
  <c r="Q13" i="26"/>
  <c r="S12" i="26"/>
  <c r="Q12" i="26"/>
  <c r="S11" i="26"/>
  <c r="Q11" i="26"/>
  <c r="S10" i="26"/>
  <c r="Q10" i="26"/>
  <c r="S9" i="26"/>
  <c r="Q9" i="26"/>
  <c r="S8" i="26"/>
  <c r="Q8" i="26"/>
  <c r="O196" i="24"/>
  <c r="P196" i="24"/>
  <c r="Q196" i="24"/>
  <c r="Q205" i="24"/>
  <c r="M205" i="24"/>
  <c r="L205" i="24"/>
  <c r="J205" i="24"/>
  <c r="I205" i="24"/>
  <c r="G205" i="24"/>
  <c r="F205" i="24"/>
  <c r="Q204" i="24"/>
  <c r="P204" i="24"/>
  <c r="F204" i="24"/>
  <c r="O204" i="24" s="1"/>
  <c r="Q203" i="24"/>
  <c r="P203" i="24"/>
  <c r="O203" i="24"/>
  <c r="Q202" i="24"/>
  <c r="P202" i="24"/>
  <c r="O202" i="24"/>
  <c r="Q201" i="24"/>
  <c r="P201" i="24"/>
  <c r="F201" i="24"/>
  <c r="Q200" i="24"/>
  <c r="P200" i="24"/>
  <c r="O200" i="24"/>
  <c r="Q199" i="24"/>
  <c r="P199" i="24"/>
  <c r="L199" i="24"/>
  <c r="I199" i="24"/>
  <c r="F199" i="24"/>
  <c r="Q198" i="24"/>
  <c r="P198" i="24"/>
  <c r="L198" i="24"/>
  <c r="I198" i="24"/>
  <c r="F198" i="24"/>
  <c r="Q197" i="24"/>
  <c r="P197" i="24"/>
  <c r="L197" i="24"/>
  <c r="I197" i="24"/>
  <c r="F197" i="24"/>
  <c r="Q195" i="24"/>
  <c r="P195" i="24"/>
  <c r="O195" i="24"/>
  <c r="Q194" i="24"/>
  <c r="P194" i="24"/>
  <c r="O194" i="24"/>
  <c r="Q193" i="24"/>
  <c r="P193" i="24"/>
  <c r="O193" i="24"/>
  <c r="Q192" i="24"/>
  <c r="P192" i="24"/>
  <c r="O192" i="24"/>
  <c r="Q191" i="24"/>
  <c r="P191" i="24"/>
  <c r="I191" i="24"/>
  <c r="F191" i="24"/>
  <c r="Q190" i="24"/>
  <c r="P190" i="24"/>
  <c r="O190" i="24"/>
  <c r="Q189" i="24"/>
  <c r="P189" i="24"/>
  <c r="O189" i="24"/>
  <c r="Q188" i="24"/>
  <c r="P188" i="24"/>
  <c r="O188" i="24"/>
  <c r="Q187" i="24"/>
  <c r="P187" i="24"/>
  <c r="O187" i="24"/>
  <c r="Q186" i="24"/>
  <c r="P186" i="24"/>
  <c r="O186" i="24"/>
  <c r="Q185" i="24"/>
  <c r="M185" i="24"/>
  <c r="L185" i="24"/>
  <c r="J185" i="24"/>
  <c r="I185" i="24"/>
  <c r="G185" i="24"/>
  <c r="F185" i="24"/>
  <c r="Q184" i="24"/>
  <c r="O184" i="24"/>
  <c r="Q183" i="24"/>
  <c r="P183" i="24"/>
  <c r="O183" i="24"/>
  <c r="Q182" i="24"/>
  <c r="O182" i="24"/>
  <c r="Q181" i="24"/>
  <c r="P181" i="24"/>
  <c r="O181" i="24"/>
  <c r="Q180" i="24"/>
  <c r="P180" i="24"/>
  <c r="O180" i="24"/>
  <c r="Q179" i="24"/>
  <c r="P179" i="24"/>
  <c r="O179" i="24"/>
  <c r="Q178" i="24"/>
  <c r="P178" i="24"/>
  <c r="O178" i="24"/>
  <c r="Q177" i="24"/>
  <c r="P177" i="24"/>
  <c r="O177" i="24"/>
  <c r="Q176" i="24"/>
  <c r="P176" i="24"/>
  <c r="O176" i="24"/>
  <c r="Q175" i="24"/>
  <c r="P175" i="24"/>
  <c r="O175" i="24"/>
  <c r="Q174" i="24"/>
  <c r="P174" i="24"/>
  <c r="O174" i="24"/>
  <c r="Q173" i="24"/>
  <c r="P173" i="24"/>
  <c r="O173" i="24"/>
  <c r="Q172" i="24"/>
  <c r="P172" i="24"/>
  <c r="O172" i="24"/>
  <c r="Q171" i="24"/>
  <c r="P171" i="24"/>
  <c r="O171" i="24"/>
  <c r="Q170" i="24"/>
  <c r="P170" i="24"/>
  <c r="O170" i="24"/>
  <c r="Q169" i="24"/>
  <c r="P169" i="24"/>
  <c r="O169" i="24"/>
  <c r="Q168" i="24"/>
  <c r="P168" i="24"/>
  <c r="O168" i="24"/>
  <c r="Q167" i="24"/>
  <c r="P167" i="24"/>
  <c r="O167" i="24"/>
  <c r="Q166" i="24"/>
  <c r="P166" i="24"/>
  <c r="O166" i="24"/>
  <c r="Q165" i="24"/>
  <c r="M165" i="24"/>
  <c r="L165" i="24"/>
  <c r="J165" i="24"/>
  <c r="I165" i="24"/>
  <c r="G165" i="24"/>
  <c r="F165" i="24"/>
  <c r="Q164" i="24"/>
  <c r="O164" i="24"/>
  <c r="O163" i="24"/>
  <c r="N163" i="24"/>
  <c r="K163" i="24"/>
  <c r="H163" i="24"/>
  <c r="O162" i="24"/>
  <c r="N162" i="24"/>
  <c r="K162" i="24"/>
  <c r="H162" i="24"/>
  <c r="O161" i="24"/>
  <c r="N161" i="24"/>
  <c r="K161" i="24"/>
  <c r="H161" i="24"/>
  <c r="O160" i="24"/>
  <c r="N160" i="24"/>
  <c r="K160" i="24"/>
  <c r="H160" i="24"/>
  <c r="O159" i="24"/>
  <c r="N159" i="24"/>
  <c r="K159" i="24"/>
  <c r="H159" i="24"/>
  <c r="O158" i="24"/>
  <c r="N158" i="24"/>
  <c r="K158" i="24"/>
  <c r="H158" i="24"/>
  <c r="O157" i="24"/>
  <c r="M157" i="24"/>
  <c r="J157" i="24"/>
  <c r="G157" i="24"/>
  <c r="O156" i="24"/>
  <c r="O155" i="24"/>
  <c r="N155" i="24"/>
  <c r="K155" i="24"/>
  <c r="H155" i="24"/>
  <c r="O154" i="24"/>
  <c r="N154" i="24"/>
  <c r="K154" i="24"/>
  <c r="H154" i="24"/>
  <c r="O153" i="24"/>
  <c r="O152" i="24"/>
  <c r="M152" i="24"/>
  <c r="J152" i="24"/>
  <c r="G152" i="24"/>
  <c r="O151" i="24"/>
  <c r="N151" i="24"/>
  <c r="K151" i="24"/>
  <c r="H151" i="24"/>
  <c r="O150" i="24"/>
  <c r="N150" i="24"/>
  <c r="K150" i="24"/>
  <c r="H150" i="24"/>
  <c r="O149" i="24"/>
  <c r="N149" i="24"/>
  <c r="K149" i="24"/>
  <c r="H149" i="24"/>
  <c r="O148" i="24"/>
  <c r="N148" i="24"/>
  <c r="K148" i="24"/>
  <c r="H148" i="24"/>
  <c r="O147" i="24"/>
  <c r="N147" i="24"/>
  <c r="K147" i="24"/>
  <c r="H147" i="24"/>
  <c r="O146" i="24"/>
  <c r="N146" i="24"/>
  <c r="K146" i="24"/>
  <c r="H146" i="24"/>
  <c r="O145" i="24"/>
  <c r="N145" i="24"/>
  <c r="K145" i="24"/>
  <c r="H145" i="24"/>
  <c r="O144" i="24"/>
  <c r="O143" i="24"/>
  <c r="M143" i="24"/>
  <c r="G143" i="24"/>
  <c r="O142" i="24"/>
  <c r="N142" i="24"/>
  <c r="K142" i="24"/>
  <c r="H142" i="24"/>
  <c r="O141" i="24"/>
  <c r="N141" i="24"/>
  <c r="K141" i="24"/>
  <c r="H141" i="24"/>
  <c r="O140" i="24"/>
  <c r="N140" i="24"/>
  <c r="K140" i="24"/>
  <c r="H140" i="24"/>
  <c r="O139" i="24"/>
  <c r="M139" i="24"/>
  <c r="J139" i="24"/>
  <c r="G139" i="24"/>
  <c r="O138" i="24"/>
  <c r="O137" i="24"/>
  <c r="O136" i="24"/>
  <c r="N136" i="24"/>
  <c r="K136" i="24"/>
  <c r="H136" i="24"/>
  <c r="O135" i="24"/>
  <c r="N135" i="24"/>
  <c r="K135" i="24"/>
  <c r="H135" i="24"/>
  <c r="O134" i="24"/>
  <c r="N134" i="24"/>
  <c r="K134" i="24"/>
  <c r="H134" i="24"/>
  <c r="O133" i="24"/>
  <c r="O132" i="24"/>
  <c r="N132" i="24"/>
  <c r="K132" i="24"/>
  <c r="H132" i="24"/>
  <c r="O131" i="24"/>
  <c r="M131" i="24"/>
  <c r="J131" i="24"/>
  <c r="G131" i="24"/>
  <c r="Q130" i="24"/>
  <c r="P130" i="24"/>
  <c r="O130" i="24"/>
  <c r="Q129" i="24"/>
  <c r="P129" i="24"/>
  <c r="O129" i="24"/>
  <c r="Q128" i="24"/>
  <c r="P128" i="24"/>
  <c r="O128" i="24"/>
  <c r="Q127" i="24"/>
  <c r="P127" i="24"/>
  <c r="O127" i="24"/>
  <c r="Q126" i="24"/>
  <c r="P126" i="24"/>
  <c r="I126" i="24"/>
  <c r="O126" i="24" s="1"/>
  <c r="Q125" i="24"/>
  <c r="P125" i="24"/>
  <c r="O125" i="24"/>
  <c r="Q124" i="24"/>
  <c r="M124" i="24"/>
  <c r="L124" i="24"/>
  <c r="J124" i="24"/>
  <c r="I124" i="24"/>
  <c r="G124" i="24"/>
  <c r="F124" i="24"/>
  <c r="Q123" i="24"/>
  <c r="P123" i="24"/>
  <c r="O123" i="24"/>
  <c r="Q122" i="24"/>
  <c r="P122" i="24"/>
  <c r="O122" i="24"/>
  <c r="Q121" i="24"/>
  <c r="P121" i="24"/>
  <c r="O121" i="24"/>
  <c r="Q120" i="24"/>
  <c r="P120" i="24"/>
  <c r="O120" i="24"/>
  <c r="Q119" i="24"/>
  <c r="P119" i="24"/>
  <c r="O119" i="24"/>
  <c r="Q118" i="24"/>
  <c r="P118" i="24"/>
  <c r="O118" i="24"/>
  <c r="Q117" i="24"/>
  <c r="P117" i="24"/>
  <c r="O117" i="24"/>
  <c r="Q116" i="24"/>
  <c r="P116" i="24"/>
  <c r="O116" i="24"/>
  <c r="Q115" i="24"/>
  <c r="P115" i="24"/>
  <c r="O115" i="24"/>
  <c r="Q114" i="24"/>
  <c r="P114" i="24"/>
  <c r="O114" i="24"/>
  <c r="Q113" i="24"/>
  <c r="P113" i="24"/>
  <c r="O113" i="24"/>
  <c r="Q112" i="24"/>
  <c r="P112" i="24"/>
  <c r="O112" i="24"/>
  <c r="Q111" i="24"/>
  <c r="P111" i="24"/>
  <c r="O111" i="24"/>
  <c r="Q110" i="24"/>
  <c r="P110" i="24"/>
  <c r="O110" i="24"/>
  <c r="Q109" i="24"/>
  <c r="P109" i="24"/>
  <c r="F109" i="24"/>
  <c r="O109" i="24" s="1"/>
  <c r="Q108" i="24"/>
  <c r="P108" i="24"/>
  <c r="F108" i="24"/>
  <c r="O108" i="24" s="1"/>
  <c r="Q107" i="24"/>
  <c r="P107" i="24"/>
  <c r="F107" i="24"/>
  <c r="O107" i="24" s="1"/>
  <c r="Q106" i="24"/>
  <c r="O106" i="24"/>
  <c r="M106" i="24"/>
  <c r="J106" i="24"/>
  <c r="G106" i="24"/>
  <c r="Q105" i="24"/>
  <c r="O105" i="24"/>
  <c r="Q104" i="24"/>
  <c r="O104" i="24"/>
  <c r="Q103" i="24"/>
  <c r="O103" i="24"/>
  <c r="M103" i="24"/>
  <c r="Q102" i="24"/>
  <c r="O102" i="24"/>
  <c r="M102" i="24"/>
  <c r="J102" i="24"/>
  <c r="G102" i="24"/>
  <c r="Q101" i="24"/>
  <c r="O101" i="24"/>
  <c r="Q100" i="24"/>
  <c r="O100" i="24"/>
  <c r="Q99" i="24"/>
  <c r="P99" i="24"/>
  <c r="O99" i="24"/>
  <c r="Q98" i="24"/>
  <c r="O98" i="24"/>
  <c r="M98" i="24"/>
  <c r="J98" i="24"/>
  <c r="G98" i="24"/>
  <c r="Q97" i="24"/>
  <c r="O97" i="24"/>
  <c r="Q96" i="24"/>
  <c r="P96" i="24"/>
  <c r="O96" i="24"/>
  <c r="Q95" i="24"/>
  <c r="P95" i="24"/>
  <c r="O95" i="24"/>
  <c r="Q94" i="24"/>
  <c r="P94" i="24"/>
  <c r="O94" i="24"/>
  <c r="Q93" i="24"/>
  <c r="P93" i="24"/>
  <c r="O93" i="24"/>
  <c r="Q92" i="24"/>
  <c r="P92" i="24"/>
  <c r="O92" i="24"/>
  <c r="Q91" i="24"/>
  <c r="P91" i="24"/>
  <c r="L91" i="24"/>
  <c r="I91" i="24"/>
  <c r="F91" i="24"/>
  <c r="Q90" i="24"/>
  <c r="P90" i="24"/>
  <c r="F90" i="24"/>
  <c r="O90" i="24" s="1"/>
  <c r="Q89" i="24"/>
  <c r="P89" i="24"/>
  <c r="F89" i="24"/>
  <c r="O89" i="24" s="1"/>
  <c r="Q88" i="24"/>
  <c r="P88" i="24"/>
  <c r="F88" i="24"/>
  <c r="O88" i="24" s="1"/>
  <c r="Q87" i="24"/>
  <c r="P87" i="24"/>
  <c r="O87" i="24"/>
  <c r="Q86" i="24"/>
  <c r="P86" i="24"/>
  <c r="L86" i="24"/>
  <c r="I86" i="24"/>
  <c r="F86" i="24"/>
  <c r="Q85" i="24"/>
  <c r="O85" i="24"/>
  <c r="M85" i="24"/>
  <c r="J85" i="24"/>
  <c r="G85" i="24"/>
  <c r="Q84" i="24"/>
  <c r="O84" i="24"/>
  <c r="Q83" i="24"/>
  <c r="O83" i="24"/>
  <c r="Q82" i="24"/>
  <c r="O82" i="24"/>
  <c r="Q81" i="24"/>
  <c r="P81" i="24"/>
  <c r="O81" i="24"/>
  <c r="Q80" i="24"/>
  <c r="P80" i="24"/>
  <c r="F80" i="24"/>
  <c r="O80" i="24" s="1"/>
  <c r="Q79" i="24"/>
  <c r="P79" i="24"/>
  <c r="F79" i="24"/>
  <c r="O79" i="24" s="1"/>
  <c r="Q78" i="24"/>
  <c r="P78" i="24"/>
  <c r="F78" i="24"/>
  <c r="O78" i="24" s="1"/>
  <c r="Q77" i="24"/>
  <c r="P77" i="24"/>
  <c r="O77" i="24"/>
  <c r="Q76" i="24"/>
  <c r="P76" i="24"/>
  <c r="O76" i="24"/>
  <c r="Q75" i="24"/>
  <c r="O75" i="24"/>
  <c r="M75" i="24"/>
  <c r="J75" i="24"/>
  <c r="Q74" i="24"/>
  <c r="O74" i="24"/>
  <c r="M74" i="24"/>
  <c r="J74" i="24"/>
  <c r="G74" i="24"/>
  <c r="Q73" i="24"/>
  <c r="P73" i="24"/>
  <c r="O73" i="24"/>
  <c r="Q72" i="24"/>
  <c r="P72" i="24"/>
  <c r="O72" i="24"/>
  <c r="Q71" i="24"/>
  <c r="O71" i="24"/>
  <c r="M71" i="24"/>
  <c r="J71" i="24"/>
  <c r="G71" i="24"/>
  <c r="Q70" i="24"/>
  <c r="O70" i="24"/>
  <c r="Q69" i="24"/>
  <c r="O69" i="24"/>
  <c r="Q68" i="24"/>
  <c r="O68" i="24"/>
  <c r="Q67" i="24"/>
  <c r="P67" i="24"/>
  <c r="I67" i="24"/>
  <c r="O67" i="24" s="1"/>
  <c r="Q66" i="24"/>
  <c r="O66" i="24"/>
  <c r="Q65" i="24"/>
  <c r="O65" i="24"/>
  <c r="Q64" i="24"/>
  <c r="P64" i="24"/>
  <c r="I64" i="24"/>
  <c r="O64" i="24" s="1"/>
  <c r="Q63" i="24"/>
  <c r="P63" i="24"/>
  <c r="I63" i="24"/>
  <c r="L63" i="24" s="1"/>
  <c r="O63" i="24" s="1"/>
  <c r="Q62" i="24"/>
  <c r="P62" i="24"/>
  <c r="O62" i="24"/>
  <c r="Q61" i="24"/>
  <c r="O61" i="24"/>
  <c r="M61" i="24"/>
  <c r="J61" i="24"/>
  <c r="Q60" i="24"/>
  <c r="P60" i="24"/>
  <c r="O60" i="24"/>
  <c r="Q59" i="24"/>
  <c r="P59" i="24"/>
  <c r="L59" i="24"/>
  <c r="I59" i="24"/>
  <c r="Q58" i="24"/>
  <c r="P58" i="24"/>
  <c r="I58" i="24"/>
  <c r="L58" i="24" s="1"/>
  <c r="O58" i="24" s="1"/>
  <c r="Q57" i="24"/>
  <c r="P57" i="24"/>
  <c r="O57" i="24"/>
  <c r="Q56" i="24"/>
  <c r="P56" i="24"/>
  <c r="O56" i="24"/>
  <c r="Q55" i="24"/>
  <c r="O55" i="24"/>
  <c r="M55" i="24"/>
  <c r="J55" i="24"/>
  <c r="G55" i="24"/>
  <c r="Q54" i="24"/>
  <c r="O54" i="24"/>
  <c r="Q53" i="24"/>
  <c r="O53" i="24"/>
  <c r="Q52" i="24"/>
  <c r="O52" i="24"/>
  <c r="Q51" i="24"/>
  <c r="O51" i="24"/>
  <c r="Q50" i="24"/>
  <c r="O50" i="24"/>
  <c r="Q49" i="24"/>
  <c r="O49" i="24"/>
  <c r="Q48" i="24"/>
  <c r="O48" i="24"/>
  <c r="Q47" i="24"/>
  <c r="O47" i="24"/>
  <c r="Q46" i="24"/>
  <c r="O46" i="24"/>
  <c r="Q45" i="24"/>
  <c r="O45" i="24"/>
  <c r="Q44" i="24"/>
  <c r="O44" i="24"/>
  <c r="Q43" i="24"/>
  <c r="O43" i="24"/>
  <c r="Q42" i="24"/>
  <c r="O42" i="24"/>
  <c r="Q41" i="24"/>
  <c r="O41" i="24"/>
  <c r="Q40" i="24"/>
  <c r="O40" i="24"/>
  <c r="Q39" i="24"/>
  <c r="O39" i="24"/>
  <c r="Q38" i="24"/>
  <c r="O38" i="24"/>
  <c r="Q37" i="24"/>
  <c r="O37" i="24"/>
  <c r="Q36" i="24"/>
  <c r="O36" i="24"/>
  <c r="Q35" i="24"/>
  <c r="O35" i="24"/>
  <c r="Q34" i="24"/>
  <c r="O34" i="24"/>
  <c r="Q33" i="24"/>
  <c r="O33" i="24"/>
  <c r="Q32" i="24"/>
  <c r="O32" i="24"/>
  <c r="Q31" i="24"/>
  <c r="O31" i="24"/>
  <c r="Q30" i="24"/>
  <c r="O30" i="24"/>
  <c r="Q29" i="24"/>
  <c r="P29" i="24"/>
  <c r="I29" i="24"/>
  <c r="L29" i="24" s="1"/>
  <c r="O29" i="24" s="1"/>
  <c r="Q28" i="24"/>
  <c r="P28" i="24"/>
  <c r="I28" i="24"/>
  <c r="Q27" i="24"/>
  <c r="O27" i="24"/>
  <c r="M27" i="24"/>
  <c r="J27" i="24"/>
  <c r="G27" i="24"/>
  <c r="Q26" i="24"/>
  <c r="O26" i="24"/>
  <c r="M26" i="24"/>
  <c r="J26" i="24"/>
  <c r="G26" i="24"/>
  <c r="Q25" i="24"/>
  <c r="O25" i="24"/>
  <c r="Q24" i="24"/>
  <c r="P24" i="24"/>
  <c r="O24" i="24"/>
  <c r="Q23" i="24"/>
  <c r="P23" i="24"/>
  <c r="O23" i="24"/>
  <c r="Q22" i="24"/>
  <c r="P22" i="24"/>
  <c r="O22" i="24"/>
  <c r="Q21" i="24"/>
  <c r="P21" i="24"/>
  <c r="O21" i="24"/>
  <c r="Q20" i="24"/>
  <c r="P20" i="24"/>
  <c r="O20" i="24"/>
  <c r="Q19" i="24"/>
  <c r="P19" i="24"/>
  <c r="O19" i="24"/>
  <c r="Q18" i="24"/>
  <c r="P18" i="24"/>
  <c r="O18" i="24"/>
  <c r="Q17" i="24"/>
  <c r="P17" i="24"/>
  <c r="O17" i="24"/>
  <c r="Q16" i="24"/>
  <c r="O16" i="24"/>
  <c r="M16" i="24"/>
  <c r="J16" i="24"/>
  <c r="G16" i="24"/>
  <c r="Q15" i="24"/>
  <c r="O15" i="24"/>
  <c r="Q14" i="24"/>
  <c r="O14" i="24"/>
  <c r="Q13" i="24"/>
  <c r="O13" i="24"/>
  <c r="Q12" i="24"/>
  <c r="O12" i="24"/>
  <c r="Q11" i="24"/>
  <c r="O11" i="24"/>
  <c r="Q10" i="24"/>
  <c r="O10" i="24"/>
  <c r="Q9" i="24"/>
  <c r="O9" i="24"/>
  <c r="Q8" i="24"/>
  <c r="O8" i="24"/>
  <c r="Q7" i="24"/>
  <c r="O7" i="24"/>
  <c r="Q6" i="24"/>
  <c r="O6" i="24"/>
  <c r="Q5" i="24"/>
  <c r="O5" i="24"/>
  <c r="Q4" i="24"/>
  <c r="O4" i="24"/>
  <c r="Q3" i="24"/>
  <c r="O3" i="24"/>
  <c r="Q2" i="24"/>
  <c r="O2" i="24"/>
  <c r="I22" i="8"/>
  <c r="I64" i="8"/>
  <c r="I90" i="8"/>
  <c r="L90" i="8"/>
  <c r="L64" i="8"/>
  <c r="L22" i="8"/>
  <c r="O90" i="8"/>
  <c r="O64" i="8"/>
  <c r="O22" i="8"/>
  <c r="P64" i="8"/>
  <c r="P90" i="8"/>
  <c r="P22" i="8"/>
  <c r="M90" i="8"/>
  <c r="M64" i="8"/>
  <c r="M22" i="8"/>
  <c r="J90" i="8"/>
  <c r="J64" i="8"/>
  <c r="J22" i="8"/>
  <c r="T210" i="8"/>
  <c r="S210" i="8"/>
  <c r="R210" i="8"/>
  <c r="T209" i="8"/>
  <c r="R209" i="8"/>
  <c r="T208" i="8"/>
  <c r="R208" i="8"/>
  <c r="T207" i="8"/>
  <c r="S207" i="8"/>
  <c r="R207" i="8"/>
  <c r="T194" i="8"/>
  <c r="R194" i="8"/>
  <c r="T270" i="8"/>
  <c r="T269" i="8"/>
  <c r="S269" i="8"/>
  <c r="T268" i="8"/>
  <c r="U268" i="8" s="1"/>
  <c r="S268" i="8"/>
  <c r="R268" i="8"/>
  <c r="T267" i="8"/>
  <c r="S267" i="8"/>
  <c r="R267" i="8"/>
  <c r="T266" i="8"/>
  <c r="S266" i="8"/>
  <c r="T265" i="8"/>
  <c r="S265" i="8"/>
  <c r="R265" i="8"/>
  <c r="T90" i="8"/>
  <c r="T89" i="8"/>
  <c r="R89" i="8"/>
  <c r="T88" i="8"/>
  <c r="S88" i="8"/>
  <c r="R88" i="8"/>
  <c r="T87" i="8"/>
  <c r="R87" i="8"/>
  <c r="T86" i="8"/>
  <c r="S86" i="8"/>
  <c r="R86" i="8"/>
  <c r="T85" i="8"/>
  <c r="S85" i="8"/>
  <c r="R85" i="8"/>
  <c r="T84" i="8"/>
  <c r="S84" i="8"/>
  <c r="R84" i="8"/>
  <c r="T83" i="8"/>
  <c r="S83" i="8"/>
  <c r="R83" i="8"/>
  <c r="T82" i="8"/>
  <c r="S82" i="8"/>
  <c r="R82" i="8"/>
  <c r="T81" i="8"/>
  <c r="S81" i="8"/>
  <c r="R81" i="8"/>
  <c r="T80" i="8"/>
  <c r="S80" i="8"/>
  <c r="R80" i="8"/>
  <c r="T79" i="8"/>
  <c r="S79" i="8"/>
  <c r="R79" i="8"/>
  <c r="T78" i="8"/>
  <c r="S78" i="8"/>
  <c r="R78" i="8"/>
  <c r="T75" i="8"/>
  <c r="S75" i="8"/>
  <c r="R75" i="8"/>
  <c r="T73" i="8"/>
  <c r="S73" i="8"/>
  <c r="R73" i="8"/>
  <c r="T71" i="8"/>
  <c r="S71" i="8"/>
  <c r="R71" i="8"/>
  <c r="T70" i="8"/>
  <c r="S70" i="8"/>
  <c r="R70" i="8"/>
  <c r="T69" i="8"/>
  <c r="S69" i="8"/>
  <c r="R69" i="8"/>
  <c r="T68" i="8"/>
  <c r="S68" i="8"/>
  <c r="R68" i="8"/>
  <c r="T66" i="8"/>
  <c r="S66" i="8"/>
  <c r="R66" i="8"/>
  <c r="T64" i="8"/>
  <c r="T63" i="8"/>
  <c r="R63" i="8"/>
  <c r="R62" i="8"/>
  <c r="R61" i="8"/>
  <c r="R60" i="8"/>
  <c r="R59" i="8"/>
  <c r="R58" i="8"/>
  <c r="R57" i="8"/>
  <c r="R56" i="8"/>
  <c r="R55" i="8"/>
  <c r="R54" i="8"/>
  <c r="R53" i="8"/>
  <c r="R52" i="8"/>
  <c r="R51" i="8"/>
  <c r="R50" i="8"/>
  <c r="R49" i="8"/>
  <c r="R48" i="8"/>
  <c r="R47" i="8"/>
  <c r="R46" i="8"/>
  <c r="R45" i="8"/>
  <c r="R44" i="8"/>
  <c r="R43" i="8"/>
  <c r="R42" i="8"/>
  <c r="R41" i="8"/>
  <c r="R40" i="8"/>
  <c r="R39" i="8"/>
  <c r="R38" i="8"/>
  <c r="R37" i="8"/>
  <c r="R36" i="8"/>
  <c r="R35" i="8"/>
  <c r="R34" i="8"/>
  <c r="R33" i="8"/>
  <c r="R32" i="8"/>
  <c r="R31" i="8"/>
  <c r="R30" i="8"/>
  <c r="T28" i="8"/>
  <c r="S28" i="8"/>
  <c r="R28" i="8"/>
  <c r="T27" i="8"/>
  <c r="S27" i="8"/>
  <c r="R27" i="8"/>
  <c r="T26" i="8"/>
  <c r="S26" i="8"/>
  <c r="T24" i="8"/>
  <c r="S24" i="8"/>
  <c r="R24" i="8"/>
  <c r="T22" i="8"/>
  <c r="T21" i="8"/>
  <c r="S21" i="8"/>
  <c r="R21" i="8"/>
  <c r="T20" i="8"/>
  <c r="S20" i="8"/>
  <c r="R20" i="8"/>
  <c r="T18" i="8"/>
  <c r="S18" i="8"/>
  <c r="R18" i="8"/>
  <c r="T17" i="8"/>
  <c r="S17" i="8"/>
  <c r="R17" i="8"/>
  <c r="T16" i="8"/>
  <c r="S16" i="8"/>
  <c r="R16" i="8"/>
  <c r="T15" i="8"/>
  <c r="S15" i="8"/>
  <c r="R15" i="8"/>
  <c r="T14" i="8"/>
  <c r="S14" i="8"/>
  <c r="R14" i="8"/>
  <c r="T13" i="8"/>
  <c r="S13" i="8"/>
  <c r="R13" i="8"/>
  <c r="T12" i="8"/>
  <c r="S12" i="8"/>
  <c r="R12" i="8"/>
  <c r="T9" i="8"/>
  <c r="S9" i="8"/>
  <c r="R9" i="8"/>
  <c r="T8" i="8"/>
  <c r="S8" i="8"/>
  <c r="T263" i="8"/>
  <c r="S263" i="8"/>
  <c r="R263" i="8"/>
  <c r="T261" i="8"/>
  <c r="S261" i="8"/>
  <c r="T260" i="8"/>
  <c r="S260" i="8"/>
  <c r="T258" i="8"/>
  <c r="S258" i="8"/>
  <c r="T256" i="8"/>
  <c r="R256" i="8"/>
  <c r="T255" i="8"/>
  <c r="R255" i="8"/>
  <c r="T254" i="8"/>
  <c r="R254" i="8"/>
  <c r="T253" i="8"/>
  <c r="R253" i="8"/>
  <c r="T251" i="8"/>
  <c r="R251" i="8"/>
  <c r="T250" i="8"/>
  <c r="R250" i="8"/>
  <c r="T249" i="8"/>
  <c r="R249" i="8"/>
  <c r="T246" i="8"/>
  <c r="S246" i="8"/>
  <c r="R246" i="8"/>
  <c r="T244" i="8"/>
  <c r="R244" i="8"/>
  <c r="T243" i="8"/>
  <c r="R243" i="8"/>
  <c r="T242" i="8"/>
  <c r="S242" i="8"/>
  <c r="R242" i="8"/>
  <c r="T241" i="8"/>
  <c r="S241" i="8"/>
  <c r="R241" i="8"/>
  <c r="T240" i="8"/>
  <c r="S240" i="8"/>
  <c r="R240" i="8"/>
  <c r="T239" i="8"/>
  <c r="S239" i="8"/>
  <c r="R239" i="8"/>
  <c r="T238" i="8"/>
  <c r="S238" i="8"/>
  <c r="R238" i="8"/>
  <c r="T235" i="8"/>
  <c r="S235" i="8"/>
  <c r="T233" i="8"/>
  <c r="S233" i="8"/>
  <c r="T232" i="8"/>
  <c r="S232" i="8"/>
  <c r="T229" i="8"/>
  <c r="S229" i="8"/>
  <c r="T228" i="8"/>
  <c r="S228" i="8"/>
  <c r="R228" i="8"/>
  <c r="T226" i="8"/>
  <c r="S226" i="8"/>
  <c r="T224" i="8"/>
  <c r="R224" i="8"/>
  <c r="T223" i="8"/>
  <c r="R223" i="8"/>
  <c r="T222" i="8"/>
  <c r="R222" i="8"/>
  <c r="T221" i="8"/>
  <c r="R221" i="8"/>
  <c r="T217" i="8"/>
  <c r="S217" i="8"/>
  <c r="R217" i="8"/>
  <c r="T216" i="8"/>
  <c r="S216" i="8"/>
  <c r="T215" i="8"/>
  <c r="S215" i="8"/>
  <c r="T214" i="8"/>
  <c r="S214" i="8"/>
  <c r="T212" i="8"/>
  <c r="S212" i="8"/>
  <c r="R212" i="8"/>
  <c r="T206" i="8"/>
  <c r="S206" i="8"/>
  <c r="R206" i="8"/>
  <c r="T204" i="8"/>
  <c r="R204" i="8"/>
  <c r="T203" i="8"/>
  <c r="R203" i="8"/>
  <c r="T202" i="8"/>
  <c r="R202" i="8"/>
  <c r="T201" i="8"/>
  <c r="R201" i="8"/>
  <c r="T190" i="8"/>
  <c r="S190" i="8"/>
  <c r="T189" i="8"/>
  <c r="R189" i="8"/>
  <c r="T188" i="8"/>
  <c r="R188" i="8"/>
  <c r="T198" i="8"/>
  <c r="S198" i="8"/>
  <c r="T197" i="8"/>
  <c r="S197" i="8"/>
  <c r="T195" i="8"/>
  <c r="S195" i="8"/>
  <c r="R195" i="8"/>
  <c r="T186" i="8"/>
  <c r="S186" i="8"/>
  <c r="R186" i="8"/>
  <c r="T184" i="8"/>
  <c r="S184" i="8"/>
  <c r="T183" i="8"/>
  <c r="S183" i="8"/>
  <c r="T181" i="8"/>
  <c r="S181" i="8"/>
  <c r="R181" i="8"/>
  <c r="T180" i="8"/>
  <c r="S180" i="8"/>
  <c r="U180" i="8" s="1"/>
  <c r="R180" i="8"/>
  <c r="T178" i="8"/>
  <c r="R178" i="8"/>
  <c r="T177" i="8"/>
  <c r="R177" i="8"/>
  <c r="T176" i="8"/>
  <c r="R176" i="8"/>
  <c r="T175" i="8"/>
  <c r="R175" i="8"/>
  <c r="T174" i="8"/>
  <c r="R174" i="8"/>
  <c r="T173" i="8"/>
  <c r="R173" i="8"/>
  <c r="T172" i="8"/>
  <c r="R172" i="8"/>
  <c r="T171" i="8"/>
  <c r="R171" i="8"/>
  <c r="T170" i="8"/>
  <c r="R170" i="8"/>
  <c r="T169" i="8"/>
  <c r="R169" i="8"/>
  <c r="T168" i="8"/>
  <c r="R168" i="8"/>
  <c r="T167" i="8"/>
  <c r="R167" i="8"/>
  <c r="T166" i="8"/>
  <c r="R166" i="8"/>
  <c r="T165" i="8"/>
  <c r="R165" i="8"/>
  <c r="T164" i="8"/>
  <c r="R164" i="8"/>
  <c r="T163" i="8"/>
  <c r="R163" i="8"/>
  <c r="T162" i="8"/>
  <c r="R162" i="8"/>
  <c r="T161" i="8"/>
  <c r="R161" i="8"/>
  <c r="T160" i="8"/>
  <c r="R160" i="8"/>
  <c r="T159" i="8"/>
  <c r="R159" i="8"/>
  <c r="T158" i="8"/>
  <c r="R158" i="8"/>
  <c r="T157" i="8"/>
  <c r="R157" i="8"/>
  <c r="T156" i="8"/>
  <c r="R156" i="8"/>
  <c r="T155" i="8"/>
  <c r="R155" i="8"/>
  <c r="T154" i="8"/>
  <c r="R154" i="8"/>
  <c r="T153" i="8"/>
  <c r="R153" i="8"/>
  <c r="T149" i="8"/>
  <c r="S149" i="8"/>
  <c r="T148" i="8"/>
  <c r="S148" i="8"/>
  <c r="T146" i="8"/>
  <c r="R146" i="8"/>
  <c r="T144" i="8"/>
  <c r="R144" i="8"/>
  <c r="T143" i="8"/>
  <c r="R143" i="8"/>
  <c r="T140" i="8"/>
  <c r="S140" i="8"/>
  <c r="R140" i="8"/>
  <c r="T139" i="8"/>
  <c r="S139" i="8"/>
  <c r="R139" i="8"/>
  <c r="T138" i="8"/>
  <c r="S138" i="8"/>
  <c r="R138" i="8"/>
  <c r="T137" i="8"/>
  <c r="S137" i="8"/>
  <c r="R137" i="8"/>
  <c r="T136" i="8"/>
  <c r="S136" i="8"/>
  <c r="R136" i="8"/>
  <c r="T134" i="8"/>
  <c r="S134" i="8"/>
  <c r="R134" i="8"/>
  <c r="T133" i="8"/>
  <c r="S133" i="8"/>
  <c r="R133" i="8"/>
  <c r="T132" i="8"/>
  <c r="S132" i="8"/>
  <c r="R132" i="8"/>
  <c r="R117" i="8"/>
  <c r="T117" i="8"/>
  <c r="R118" i="8"/>
  <c r="T118" i="8"/>
  <c r="R119" i="8"/>
  <c r="T119" i="8"/>
  <c r="R120" i="8"/>
  <c r="T120" i="8"/>
  <c r="R121" i="8"/>
  <c r="T121" i="8"/>
  <c r="R122" i="8"/>
  <c r="T122" i="8"/>
  <c r="R123" i="8"/>
  <c r="T123" i="8"/>
  <c r="R124" i="8"/>
  <c r="T124" i="8"/>
  <c r="R125" i="8"/>
  <c r="T125" i="8"/>
  <c r="R126" i="8"/>
  <c r="T126" i="8"/>
  <c r="R127" i="8"/>
  <c r="T127" i="8"/>
  <c r="R128" i="8"/>
  <c r="T128" i="8"/>
  <c r="R129" i="8"/>
  <c r="T129" i="8"/>
  <c r="R130" i="8"/>
  <c r="T130" i="8"/>
  <c r="T116" i="8"/>
  <c r="R116" i="8"/>
  <c r="I269" i="8"/>
  <c r="M184" i="24"/>
  <c r="J184" i="24"/>
  <c r="J89" i="8"/>
  <c r="M87" i="8"/>
  <c r="P224" i="8"/>
  <c r="M224" i="8"/>
  <c r="J224" i="8"/>
  <c r="P178" i="8"/>
  <c r="M178" i="8"/>
  <c r="J178" i="8"/>
  <c r="P130" i="8"/>
  <c r="M130" i="8"/>
  <c r="J130" i="8"/>
  <c r="R90" i="8" l="1"/>
  <c r="U13" i="8"/>
  <c r="T124" i="26"/>
  <c r="T129" i="26"/>
  <c r="T133" i="26"/>
  <c r="T123" i="26"/>
  <c r="U241" i="8"/>
  <c r="T131" i="26"/>
  <c r="T152" i="26"/>
  <c r="T119" i="26"/>
  <c r="R64" i="8"/>
  <c r="M89" i="8"/>
  <c r="S155" i="26"/>
  <c r="T151" i="26"/>
  <c r="U239" i="8"/>
  <c r="T75" i="26"/>
  <c r="T25" i="26"/>
  <c r="T28" i="26"/>
  <c r="T30" i="26"/>
  <c r="T32" i="26"/>
  <c r="T85" i="26"/>
  <c r="H228" i="26"/>
  <c r="P89" i="8"/>
  <c r="K155" i="26"/>
  <c r="R100" i="26"/>
  <c r="T100" i="26" s="1"/>
  <c r="T103" i="26"/>
  <c r="T106" i="26"/>
  <c r="T137" i="26"/>
  <c r="S270" i="8"/>
  <c r="R29" i="24"/>
  <c r="R208" i="26"/>
  <c r="S185" i="26"/>
  <c r="S178" i="8"/>
  <c r="U178" i="8" s="1"/>
  <c r="R22" i="26"/>
  <c r="R36" i="26"/>
  <c r="T36" i="26" s="1"/>
  <c r="R99" i="26"/>
  <c r="R115" i="26"/>
  <c r="T115" i="26" s="1"/>
  <c r="R135" i="26"/>
  <c r="T135" i="26" s="1"/>
  <c r="S187" i="26"/>
  <c r="R190" i="26"/>
  <c r="S191" i="26"/>
  <c r="S193" i="26"/>
  <c r="S197" i="26"/>
  <c r="S199" i="26"/>
  <c r="S201" i="26"/>
  <c r="S205" i="26"/>
  <c r="S206" i="26"/>
  <c r="S209" i="26"/>
  <c r="S210" i="26"/>
  <c r="S211" i="26"/>
  <c r="S212" i="26"/>
  <c r="S213" i="26"/>
  <c r="S214" i="26"/>
  <c r="R216" i="26"/>
  <c r="I240" i="26"/>
  <c r="I242" i="26"/>
  <c r="O242" i="26"/>
  <c r="R243" i="26"/>
  <c r="Q272" i="26"/>
  <c r="S130" i="8"/>
  <c r="U130" i="8" s="1"/>
  <c r="R22" i="8"/>
  <c r="T24" i="26"/>
  <c r="R38" i="26"/>
  <c r="T38" i="26" s="1"/>
  <c r="T41" i="26"/>
  <c r="R70" i="26"/>
  <c r="T70" i="26" s="1"/>
  <c r="T73" i="26"/>
  <c r="T78" i="26"/>
  <c r="R81" i="26"/>
  <c r="T81" i="26" s="1"/>
  <c r="T84" i="26"/>
  <c r="T89" i="26"/>
  <c r="R95" i="26"/>
  <c r="T95" i="26" s="1"/>
  <c r="T108" i="26"/>
  <c r="Q117" i="26"/>
  <c r="T117" i="26" s="1"/>
  <c r="Q126" i="26"/>
  <c r="T126" i="26" s="1"/>
  <c r="R142" i="26"/>
  <c r="T142" i="26" s="1"/>
  <c r="R147" i="26"/>
  <c r="R182" i="26"/>
  <c r="S183" i="26"/>
  <c r="S186" i="26"/>
  <c r="S192" i="26"/>
  <c r="S196" i="26"/>
  <c r="S198" i="26"/>
  <c r="S200" i="26"/>
  <c r="S202" i="26"/>
  <c r="R203" i="26"/>
  <c r="Q216" i="26"/>
  <c r="T216" i="26" s="1"/>
  <c r="L240" i="26"/>
  <c r="L242" i="26"/>
  <c r="H265" i="26"/>
  <c r="K265" i="26"/>
  <c r="Q243" i="26"/>
  <c r="T243" i="26" s="1"/>
  <c r="Q251" i="26"/>
  <c r="T251" i="26" s="1"/>
  <c r="Q262" i="26"/>
  <c r="T262" i="26" s="1"/>
  <c r="Q263" i="26"/>
  <c r="Q264" i="26"/>
  <c r="T264" i="26" s="1"/>
  <c r="H273" i="26"/>
  <c r="T72" i="26"/>
  <c r="T159" i="26"/>
  <c r="T161" i="26"/>
  <c r="T163" i="26"/>
  <c r="T165" i="26"/>
  <c r="T167" i="26"/>
  <c r="T170" i="26"/>
  <c r="T176" i="26"/>
  <c r="T178" i="26"/>
  <c r="T180" i="26"/>
  <c r="T31" i="26"/>
  <c r="T26" i="26"/>
  <c r="T29" i="26"/>
  <c r="T130" i="26"/>
  <c r="T132" i="26"/>
  <c r="T220" i="26"/>
  <c r="T222" i="26"/>
  <c r="T225" i="26"/>
  <c r="T231" i="26"/>
  <c r="T233" i="26"/>
  <c r="T235" i="26"/>
  <c r="T237" i="26"/>
  <c r="T239" i="26"/>
  <c r="T241" i="26"/>
  <c r="T246" i="26"/>
  <c r="T248" i="26"/>
  <c r="T253" i="26"/>
  <c r="T257" i="26"/>
  <c r="T260" i="26"/>
  <c r="T263" i="26"/>
  <c r="T271" i="26"/>
  <c r="T97" i="26"/>
  <c r="T99" i="26"/>
  <c r="T101" i="26"/>
  <c r="T105" i="26"/>
  <c r="T120" i="26"/>
  <c r="T147" i="26"/>
  <c r="T149" i="26"/>
  <c r="T154" i="26"/>
  <c r="T158" i="26"/>
  <c r="T160" i="26"/>
  <c r="T162" i="26"/>
  <c r="T164" i="26"/>
  <c r="T166" i="26"/>
  <c r="T168" i="26"/>
  <c r="T171" i="26"/>
  <c r="T174" i="26"/>
  <c r="T177" i="26"/>
  <c r="T179" i="26"/>
  <c r="S265" i="26"/>
  <c r="T269" i="26"/>
  <c r="T76" i="26"/>
  <c r="T82" i="26"/>
  <c r="T98" i="26"/>
  <c r="T107" i="26"/>
  <c r="T218" i="26"/>
  <c r="T221" i="26"/>
  <c r="T223" i="26"/>
  <c r="T227" i="26"/>
  <c r="T232" i="26"/>
  <c r="T234" i="26"/>
  <c r="T236" i="26"/>
  <c r="T238" i="26"/>
  <c r="T245" i="26"/>
  <c r="T247" i="26"/>
  <c r="T249" i="26"/>
  <c r="T255" i="26"/>
  <c r="T258" i="26"/>
  <c r="T267" i="26"/>
  <c r="T270" i="26"/>
  <c r="R273" i="26"/>
  <c r="T22" i="26"/>
  <c r="Q228" i="26"/>
  <c r="N40" i="26"/>
  <c r="H155" i="26"/>
  <c r="Q172" i="26"/>
  <c r="N265" i="26"/>
  <c r="K268" i="26"/>
  <c r="R272" i="26"/>
  <c r="S273" i="26"/>
  <c r="R172" i="26"/>
  <c r="R126" i="24"/>
  <c r="R128" i="24"/>
  <c r="R130" i="24"/>
  <c r="R270" i="8"/>
  <c r="U270" i="8" s="1"/>
  <c r="G182" i="24"/>
  <c r="G184" i="24"/>
  <c r="P184" i="24" s="1"/>
  <c r="R184" i="24" s="1"/>
  <c r="S224" i="8"/>
  <c r="U224" i="8" s="1"/>
  <c r="R269" i="8"/>
  <c r="U269" i="8" s="1"/>
  <c r="J182" i="24"/>
  <c r="R187" i="24"/>
  <c r="R166" i="24"/>
  <c r="R168" i="24"/>
  <c r="R112" i="24"/>
  <c r="R116" i="24"/>
  <c r="R118" i="24"/>
  <c r="R120" i="24"/>
  <c r="O199" i="24"/>
  <c r="R199" i="24" s="1"/>
  <c r="R200" i="24"/>
  <c r="R202" i="24"/>
  <c r="R114" i="24"/>
  <c r="O197" i="24"/>
  <c r="R197" i="24" s="1"/>
  <c r="R196" i="24"/>
  <c r="R122" i="24"/>
  <c r="R189" i="24"/>
  <c r="R192" i="24"/>
  <c r="R194" i="24"/>
  <c r="R183" i="24"/>
  <c r="R204" i="24"/>
  <c r="R170" i="24"/>
  <c r="R109" i="24"/>
  <c r="R18" i="24"/>
  <c r="R20" i="24"/>
  <c r="R22" i="24"/>
  <c r="R24" i="24"/>
  <c r="R56" i="24"/>
  <c r="R108" i="24"/>
  <c r="R58" i="24"/>
  <c r="R62" i="24"/>
  <c r="R64" i="24"/>
  <c r="R172" i="24"/>
  <c r="O59" i="24"/>
  <c r="R59" i="24" s="1"/>
  <c r="R72" i="24"/>
  <c r="P75" i="24"/>
  <c r="R75" i="24" s="1"/>
  <c r="R77" i="24"/>
  <c r="R79" i="24"/>
  <c r="R174" i="24"/>
  <c r="R176" i="24"/>
  <c r="R178" i="24"/>
  <c r="R180" i="24"/>
  <c r="R81" i="24"/>
  <c r="R88" i="24"/>
  <c r="R90" i="24"/>
  <c r="O91" i="24"/>
  <c r="R91" i="24" s="1"/>
  <c r="R92" i="24"/>
  <c r="R94" i="24"/>
  <c r="R96" i="24"/>
  <c r="R99" i="24"/>
  <c r="R107" i="24"/>
  <c r="R17" i="24"/>
  <c r="R19" i="24"/>
  <c r="R21" i="24"/>
  <c r="R23" i="24"/>
  <c r="P55" i="24"/>
  <c r="R55" i="24" s="1"/>
  <c r="R57" i="24"/>
  <c r="R60" i="24"/>
  <c r="P61" i="24"/>
  <c r="R61" i="24" s="1"/>
  <c r="R63" i="24"/>
  <c r="R67" i="24"/>
  <c r="P71" i="24"/>
  <c r="R71" i="24" s="1"/>
  <c r="R73" i="24"/>
  <c r="R76" i="24"/>
  <c r="R78" i="24"/>
  <c r="R80" i="24"/>
  <c r="P85" i="24"/>
  <c r="R85" i="24" s="1"/>
  <c r="R87" i="24"/>
  <c r="R89" i="24"/>
  <c r="R93" i="24"/>
  <c r="R95" i="24"/>
  <c r="P102" i="24"/>
  <c r="R102" i="24" s="1"/>
  <c r="P106" i="24"/>
  <c r="R106" i="24" s="1"/>
  <c r="R110" i="24"/>
  <c r="R111" i="24"/>
  <c r="R113" i="24"/>
  <c r="R115" i="24"/>
  <c r="R117" i="24"/>
  <c r="R119" i="24"/>
  <c r="R121" i="24"/>
  <c r="R123" i="24"/>
  <c r="R125" i="24"/>
  <c r="R127" i="24"/>
  <c r="R129" i="24"/>
  <c r="Q132" i="24"/>
  <c r="Q134" i="24"/>
  <c r="P165" i="24"/>
  <c r="P185" i="24"/>
  <c r="R186" i="24"/>
  <c r="R188" i="24"/>
  <c r="R190" i="24"/>
  <c r="O191" i="24"/>
  <c r="R191" i="24" s="1"/>
  <c r="R193" i="24"/>
  <c r="R195" i="24"/>
  <c r="P16" i="24"/>
  <c r="R16" i="24" s="1"/>
  <c r="P26" i="24"/>
  <c r="R26" i="24" s="1"/>
  <c r="P74" i="24"/>
  <c r="R74" i="24" s="1"/>
  <c r="O86" i="24"/>
  <c r="R86" i="24" s="1"/>
  <c r="P98" i="24"/>
  <c r="R98" i="24" s="1"/>
  <c r="Q135" i="24"/>
  <c r="O165" i="24"/>
  <c r="R167" i="24"/>
  <c r="R169" i="24"/>
  <c r="R171" i="24"/>
  <c r="R173" i="24"/>
  <c r="R175" i="24"/>
  <c r="R177" i="24"/>
  <c r="R179" i="24"/>
  <c r="R181" i="24"/>
  <c r="O185" i="24"/>
  <c r="O198" i="24"/>
  <c r="R198" i="24" s="1"/>
  <c r="R203" i="24"/>
  <c r="O205" i="24"/>
  <c r="Q136" i="24"/>
  <c r="P139" i="24"/>
  <c r="Q140" i="24"/>
  <c r="Q142" i="24"/>
  <c r="Q146" i="24"/>
  <c r="Q148" i="24"/>
  <c r="Q150" i="24"/>
  <c r="Q154" i="24"/>
  <c r="P157" i="24"/>
  <c r="Q158" i="24"/>
  <c r="Q159" i="24"/>
  <c r="Q160" i="24"/>
  <c r="Q161" i="24"/>
  <c r="Q162" i="24"/>
  <c r="Q163" i="24"/>
  <c r="P27" i="24"/>
  <c r="R27" i="24" s="1"/>
  <c r="P131" i="24"/>
  <c r="Q141" i="24"/>
  <c r="Q145" i="24"/>
  <c r="Q147" i="24"/>
  <c r="Q149" i="24"/>
  <c r="Q151" i="24"/>
  <c r="P152" i="24"/>
  <c r="Q155" i="24"/>
  <c r="L28" i="24"/>
  <c r="O124" i="24"/>
  <c r="I201" i="24"/>
  <c r="P205" i="24"/>
  <c r="P124" i="24"/>
  <c r="S64" i="8"/>
  <c r="S22" i="8"/>
  <c r="U22" i="8" s="1"/>
  <c r="S90" i="8"/>
  <c r="U90" i="8" s="1"/>
  <c r="U85" i="8"/>
  <c r="U28" i="8"/>
  <c r="U78" i="8"/>
  <c r="U80" i="8"/>
  <c r="U82" i="8"/>
  <c r="U15" i="8"/>
  <c r="U17" i="8"/>
  <c r="U20" i="8"/>
  <c r="U66" i="8"/>
  <c r="U69" i="8"/>
  <c r="U71" i="8"/>
  <c r="U75" i="8"/>
  <c r="U88" i="8"/>
  <c r="U84" i="8"/>
  <c r="U86" i="8"/>
  <c r="U263" i="8"/>
  <c r="U8" i="8"/>
  <c r="U246" i="8"/>
  <c r="U9" i="8"/>
  <c r="U206" i="8"/>
  <c r="U210" i="8"/>
  <c r="U181" i="8"/>
  <c r="U228" i="8"/>
  <c r="U68" i="8"/>
  <c r="U70" i="8"/>
  <c r="U73" i="8"/>
  <c r="U79" i="8"/>
  <c r="U81" i="8"/>
  <c r="U83" i="8"/>
  <c r="U265" i="8"/>
  <c r="U267" i="8"/>
  <c r="U132" i="8"/>
  <c r="U137" i="8"/>
  <c r="U139" i="8"/>
  <c r="U12" i="8"/>
  <c r="U14" i="8"/>
  <c r="U16" i="8"/>
  <c r="U18" i="8"/>
  <c r="U21" i="8"/>
  <c r="U24" i="8"/>
  <c r="U27" i="8"/>
  <c r="U186" i="8"/>
  <c r="U195" i="8"/>
  <c r="U207" i="8"/>
  <c r="U212" i="8"/>
  <c r="U217" i="8"/>
  <c r="U238" i="8"/>
  <c r="U240" i="8"/>
  <c r="U242" i="8"/>
  <c r="U134" i="8"/>
  <c r="U133" i="8"/>
  <c r="U136" i="8"/>
  <c r="U138" i="8"/>
  <c r="U140" i="8"/>
  <c r="J87" i="8"/>
  <c r="R185" i="24" l="1"/>
  <c r="U64" i="8"/>
  <c r="I265" i="26"/>
  <c r="S89" i="8"/>
  <c r="U89" i="8" s="1"/>
  <c r="T272" i="26"/>
  <c r="Q265" i="26"/>
  <c r="H274" i="26"/>
  <c r="L265" i="26"/>
  <c r="M182" i="24"/>
  <c r="P182" i="24" s="1"/>
  <c r="R182" i="24" s="1"/>
  <c r="O240" i="26"/>
  <c r="R205" i="24"/>
  <c r="R242" i="26"/>
  <c r="T242" i="26" s="1"/>
  <c r="Q40" i="26"/>
  <c r="N155" i="26"/>
  <c r="T172" i="26"/>
  <c r="N268" i="26"/>
  <c r="K273" i="26"/>
  <c r="K274" i="26" s="1"/>
  <c r="R165" i="24"/>
  <c r="L201" i="24"/>
  <c r="O28" i="24"/>
  <c r="R124" i="24"/>
  <c r="P87" i="8"/>
  <c r="O265" i="26" l="1"/>
  <c r="R240" i="26"/>
  <c r="T240" i="26" s="1"/>
  <c r="N273" i="26"/>
  <c r="Q268" i="26"/>
  <c r="T268" i="26" s="1"/>
  <c r="T40" i="26"/>
  <c r="Q155" i="26"/>
  <c r="S87" i="8"/>
  <c r="U87" i="8" s="1"/>
  <c r="R28" i="24"/>
  <c r="O201" i="24"/>
  <c r="R201" i="24" s="1"/>
  <c r="R265" i="26" l="1"/>
  <c r="T265" i="26" s="1"/>
  <c r="N274" i="26"/>
  <c r="Q274" i="26" s="1"/>
  <c r="Q273" i="26"/>
  <c r="T273" i="26" s="1"/>
  <c r="R26" i="8" l="1"/>
  <c r="I8" i="26"/>
  <c r="U26" i="8" l="1"/>
  <c r="J5" i="24"/>
  <c r="L11" i="26"/>
  <c r="G2" i="24"/>
  <c r="J116" i="8"/>
  <c r="J2" i="24" l="1"/>
  <c r="L8" i="26"/>
  <c r="R266" i="8"/>
  <c r="U266" i="8" l="1"/>
  <c r="Q31" i="8"/>
  <c r="Q33" i="8"/>
  <c r="Q34" i="8"/>
  <c r="Q35" i="8"/>
  <c r="Q39" i="8"/>
  <c r="Q40" i="8"/>
  <c r="Q41" i="8"/>
  <c r="Q44" i="8"/>
  <c r="Q45" i="8"/>
  <c r="Q46" i="8"/>
  <c r="Q47" i="8"/>
  <c r="Q48" i="8"/>
  <c r="Q49" i="8"/>
  <c r="Q50" i="8"/>
  <c r="Q53" i="8"/>
  <c r="Q54" i="8"/>
  <c r="Q57" i="8"/>
  <c r="Q58" i="8"/>
  <c r="Q59" i="8"/>
  <c r="Q60" i="8"/>
  <c r="Q61" i="8"/>
  <c r="Q62" i="8"/>
  <c r="P38" i="8"/>
  <c r="P42" i="8"/>
  <c r="P51" i="8"/>
  <c r="P56" i="8"/>
  <c r="P30" i="8"/>
  <c r="N31" i="8"/>
  <c r="N33" i="8"/>
  <c r="N34" i="8"/>
  <c r="N35" i="8"/>
  <c r="N39" i="8"/>
  <c r="N40" i="8"/>
  <c r="N41" i="8"/>
  <c r="N44" i="8"/>
  <c r="N45" i="8"/>
  <c r="N46" i="8"/>
  <c r="N47" i="8"/>
  <c r="N48" i="8"/>
  <c r="N49" i="8"/>
  <c r="N50" i="8"/>
  <c r="N53" i="8"/>
  <c r="N54" i="8"/>
  <c r="N57" i="8"/>
  <c r="N58" i="8"/>
  <c r="N59" i="8"/>
  <c r="N60" i="8"/>
  <c r="N61" i="8"/>
  <c r="N62" i="8"/>
  <c r="M38" i="8"/>
  <c r="M51" i="8"/>
  <c r="M56" i="8"/>
  <c r="M30" i="8"/>
  <c r="K31" i="8"/>
  <c r="K33" i="8"/>
  <c r="K34" i="8"/>
  <c r="K35" i="8"/>
  <c r="K39" i="8"/>
  <c r="K40" i="8"/>
  <c r="K41" i="8"/>
  <c r="K44" i="8"/>
  <c r="K45" i="8"/>
  <c r="K46" i="8"/>
  <c r="K47" i="8"/>
  <c r="K48" i="8"/>
  <c r="K49" i="8"/>
  <c r="K50" i="8"/>
  <c r="K53" i="8"/>
  <c r="K54" i="8"/>
  <c r="K57" i="8"/>
  <c r="K58" i="8"/>
  <c r="K59" i="8"/>
  <c r="K60" i="8"/>
  <c r="K61" i="8"/>
  <c r="K62" i="8"/>
  <c r="J38" i="8"/>
  <c r="J42" i="8"/>
  <c r="J51" i="8"/>
  <c r="J56" i="8"/>
  <c r="J30" i="8"/>
  <c r="P256" i="8"/>
  <c r="M256" i="8"/>
  <c r="J256" i="8"/>
  <c r="I145" i="26"/>
  <c r="P253" i="8"/>
  <c r="P251" i="8"/>
  <c r="M251" i="8"/>
  <c r="J251" i="8"/>
  <c r="P244" i="8"/>
  <c r="M244" i="8"/>
  <c r="J244" i="8"/>
  <c r="P204" i="8"/>
  <c r="M204" i="8"/>
  <c r="J204" i="8"/>
  <c r="P144" i="8"/>
  <c r="M144" i="8"/>
  <c r="J144" i="8"/>
  <c r="P146" i="8"/>
  <c r="M146" i="8"/>
  <c r="J146" i="8"/>
  <c r="J254" i="8" l="1"/>
  <c r="G104" i="24"/>
  <c r="S146" i="8"/>
  <c r="U146" i="8" s="1"/>
  <c r="S204" i="8"/>
  <c r="U204" i="8" s="1"/>
  <c r="S251" i="8"/>
  <c r="U251" i="8" s="1"/>
  <c r="S56" i="8"/>
  <c r="T62" i="8"/>
  <c r="T60" i="8"/>
  <c r="T58" i="8"/>
  <c r="T54" i="8"/>
  <c r="T50" i="8"/>
  <c r="T48" i="8"/>
  <c r="T46" i="8"/>
  <c r="T44" i="8"/>
  <c r="T40" i="8"/>
  <c r="T35" i="8"/>
  <c r="T33" i="8"/>
  <c r="S30" i="8"/>
  <c r="S144" i="8"/>
  <c r="U144" i="8" s="1"/>
  <c r="S244" i="8"/>
  <c r="U244" i="8" s="1"/>
  <c r="S256" i="8"/>
  <c r="U256" i="8" s="1"/>
  <c r="S51" i="8"/>
  <c r="S38" i="8"/>
  <c r="T61" i="8"/>
  <c r="T59" i="8"/>
  <c r="T57" i="8"/>
  <c r="T53" i="8"/>
  <c r="T49" i="8"/>
  <c r="T47" i="8"/>
  <c r="T45" i="8"/>
  <c r="T41" i="8"/>
  <c r="T39" i="8"/>
  <c r="T34" i="8"/>
  <c r="T31" i="8"/>
  <c r="H21" i="8"/>
  <c r="O215" i="26"/>
  <c r="L215" i="26"/>
  <c r="I215" i="26"/>
  <c r="L194" i="26"/>
  <c r="R194" i="26" s="1"/>
  <c r="I214" i="26"/>
  <c r="I213" i="26"/>
  <c r="I212" i="26"/>
  <c r="I211" i="26"/>
  <c r="I210" i="26"/>
  <c r="I209" i="26"/>
  <c r="I206" i="26"/>
  <c r="I205" i="26"/>
  <c r="I202" i="26"/>
  <c r="I201" i="26"/>
  <c r="I200" i="26"/>
  <c r="I199" i="26"/>
  <c r="I198" i="26"/>
  <c r="I197" i="26"/>
  <c r="I196" i="26"/>
  <c r="I193" i="26"/>
  <c r="I192" i="26"/>
  <c r="I191" i="26"/>
  <c r="J208" i="26"/>
  <c r="I207" i="26"/>
  <c r="J207" i="26"/>
  <c r="I204" i="26"/>
  <c r="J204" i="26"/>
  <c r="J203" i="26"/>
  <c r="I195" i="26"/>
  <c r="J194" i="26"/>
  <c r="J190" i="26"/>
  <c r="J189" i="26"/>
  <c r="I189" i="26"/>
  <c r="J188" i="26"/>
  <c r="I188" i="26"/>
  <c r="I187" i="26"/>
  <c r="I186" i="26"/>
  <c r="I185" i="26"/>
  <c r="I184" i="26"/>
  <c r="J182" i="26"/>
  <c r="G132" i="24" l="1"/>
  <c r="I183" i="26"/>
  <c r="I228" i="26" s="1"/>
  <c r="R215" i="26"/>
  <c r="T215" i="26" s="1"/>
  <c r="J33" i="8"/>
  <c r="G134" i="24"/>
  <c r="K30" i="8"/>
  <c r="H131" i="24"/>
  <c r="J32" i="8"/>
  <c r="G133" i="24"/>
  <c r="J34" i="8"/>
  <c r="G135" i="24"/>
  <c r="J36" i="8"/>
  <c r="G137" i="24"/>
  <c r="J37" i="8"/>
  <c r="G138" i="24"/>
  <c r="K38" i="8"/>
  <c r="H139" i="24"/>
  <c r="J43" i="8"/>
  <c r="G144" i="24"/>
  <c r="K52" i="8"/>
  <c r="H153" i="24"/>
  <c r="K55" i="8"/>
  <c r="H156" i="24"/>
  <c r="K56" i="8"/>
  <c r="H157" i="24"/>
  <c r="J40" i="8"/>
  <c r="G141" i="24"/>
  <c r="J44" i="8"/>
  <c r="G145" i="24"/>
  <c r="J46" i="8"/>
  <c r="G147" i="24"/>
  <c r="J48" i="8"/>
  <c r="G149" i="24"/>
  <c r="J50" i="8"/>
  <c r="G151" i="24"/>
  <c r="J54" i="8"/>
  <c r="G155" i="24"/>
  <c r="J58" i="8"/>
  <c r="G159" i="24"/>
  <c r="J60" i="8"/>
  <c r="G161" i="24"/>
  <c r="J62" i="8"/>
  <c r="G163" i="24"/>
  <c r="J63" i="8"/>
  <c r="G164" i="24"/>
  <c r="P63" i="8"/>
  <c r="M164" i="24"/>
  <c r="J35" i="8"/>
  <c r="G136" i="24"/>
  <c r="K36" i="8"/>
  <c r="H137" i="24"/>
  <c r="K37" i="8"/>
  <c r="H138" i="24"/>
  <c r="K42" i="8"/>
  <c r="H143" i="24"/>
  <c r="K51" i="8"/>
  <c r="H152" i="24"/>
  <c r="J52" i="8"/>
  <c r="G153" i="24"/>
  <c r="J55" i="8"/>
  <c r="G156" i="24"/>
  <c r="J39" i="8"/>
  <c r="G140" i="24"/>
  <c r="J41" i="8"/>
  <c r="G142" i="24"/>
  <c r="J45" i="8"/>
  <c r="G146" i="24"/>
  <c r="J47" i="8"/>
  <c r="G148" i="24"/>
  <c r="J49" i="8"/>
  <c r="G150" i="24"/>
  <c r="J53" i="8"/>
  <c r="G154" i="24"/>
  <c r="J57" i="8"/>
  <c r="G158" i="24"/>
  <c r="J59" i="8"/>
  <c r="G160" i="24"/>
  <c r="J61" i="8"/>
  <c r="G162" i="24"/>
  <c r="M42" i="8"/>
  <c r="S42" i="8" s="1"/>
  <c r="J143" i="24"/>
  <c r="P143" i="24" s="1"/>
  <c r="M63" i="8"/>
  <c r="J164" i="24"/>
  <c r="L205" i="26"/>
  <c r="J31" i="8"/>
  <c r="J195" i="26"/>
  <c r="O205" i="26"/>
  <c r="R205" i="26" l="1"/>
  <c r="T205" i="26" s="1"/>
  <c r="K153" i="24"/>
  <c r="M204" i="26"/>
  <c r="J138" i="24"/>
  <c r="L189" i="26"/>
  <c r="J156" i="24"/>
  <c r="L207" i="26"/>
  <c r="K139" i="24"/>
  <c r="M190" i="26"/>
  <c r="K157" i="24"/>
  <c r="M208" i="26"/>
  <c r="J136" i="24"/>
  <c r="L187" i="26"/>
  <c r="J141" i="24"/>
  <c r="L192" i="26"/>
  <c r="J147" i="24"/>
  <c r="L198" i="26"/>
  <c r="J151" i="24"/>
  <c r="L202" i="26"/>
  <c r="J159" i="24"/>
  <c r="L210" i="26"/>
  <c r="J163" i="24"/>
  <c r="L214" i="26"/>
  <c r="K131" i="24"/>
  <c r="M182" i="26"/>
  <c r="K138" i="24"/>
  <c r="M189" i="26"/>
  <c r="K152" i="24"/>
  <c r="M203" i="26"/>
  <c r="J133" i="24"/>
  <c r="L184" i="26"/>
  <c r="J137" i="24"/>
  <c r="L188" i="26"/>
  <c r="J142" i="24"/>
  <c r="L193" i="26"/>
  <c r="J146" i="24"/>
  <c r="L197" i="26"/>
  <c r="J150" i="24"/>
  <c r="L201" i="26"/>
  <c r="J155" i="24"/>
  <c r="L206" i="26"/>
  <c r="J160" i="24"/>
  <c r="L211" i="26"/>
  <c r="K137" i="24"/>
  <c r="M188" i="26"/>
  <c r="J134" i="24"/>
  <c r="L185" i="26"/>
  <c r="J145" i="24"/>
  <c r="L196" i="26"/>
  <c r="J149" i="24"/>
  <c r="L200" i="26"/>
  <c r="J161" i="24"/>
  <c r="L212" i="26"/>
  <c r="J132" i="24"/>
  <c r="L183" i="26"/>
  <c r="K143" i="24"/>
  <c r="M194" i="26"/>
  <c r="K156" i="24"/>
  <c r="M207" i="26"/>
  <c r="J135" i="24"/>
  <c r="L186" i="26"/>
  <c r="J140" i="24"/>
  <c r="L191" i="26"/>
  <c r="J144" i="24"/>
  <c r="L195" i="26"/>
  <c r="J148" i="24"/>
  <c r="L199" i="26"/>
  <c r="J153" i="24"/>
  <c r="L204" i="26"/>
  <c r="J158" i="24"/>
  <c r="L209" i="26"/>
  <c r="J162" i="24"/>
  <c r="L213" i="26"/>
  <c r="H133" i="24"/>
  <c r="J184" i="26"/>
  <c r="H144" i="24"/>
  <c r="M53" i="8"/>
  <c r="J154" i="24"/>
  <c r="S63" i="8"/>
  <c r="U63" i="8" s="1"/>
  <c r="P53" i="8"/>
  <c r="M154" i="24"/>
  <c r="P164" i="24"/>
  <c r="R164" i="24" s="1"/>
  <c r="N36" i="8"/>
  <c r="N52" i="8"/>
  <c r="M33" i="8"/>
  <c r="O185" i="26"/>
  <c r="M37" i="8"/>
  <c r="O189" i="26"/>
  <c r="R189" i="26" s="1"/>
  <c r="M44" i="8"/>
  <c r="O196" i="26"/>
  <c r="M48" i="8"/>
  <c r="O200" i="26"/>
  <c r="M55" i="8"/>
  <c r="O207" i="26"/>
  <c r="M60" i="8"/>
  <c r="O212" i="26"/>
  <c r="R212" i="26" s="1"/>
  <c r="T212" i="26" s="1"/>
  <c r="M31" i="8"/>
  <c r="N37" i="8"/>
  <c r="N51" i="8"/>
  <c r="M32" i="8"/>
  <c r="M36" i="8"/>
  <c r="M41" i="8"/>
  <c r="M45" i="8"/>
  <c r="M49" i="8"/>
  <c r="M54" i="8"/>
  <c r="M59" i="8"/>
  <c r="K32" i="8"/>
  <c r="N38" i="8"/>
  <c r="N56" i="8"/>
  <c r="M35" i="8"/>
  <c r="O187" i="26"/>
  <c r="M40" i="8"/>
  <c r="O192" i="26"/>
  <c r="M46" i="8"/>
  <c r="O198" i="26"/>
  <c r="R198" i="26" s="1"/>
  <c r="T198" i="26" s="1"/>
  <c r="M50" i="8"/>
  <c r="O202" i="26"/>
  <c r="M58" i="8"/>
  <c r="O210" i="26"/>
  <c r="R210" i="26" s="1"/>
  <c r="T210" i="26" s="1"/>
  <c r="M62" i="8"/>
  <c r="O214" i="26"/>
  <c r="N30" i="8"/>
  <c r="N42" i="8"/>
  <c r="N55" i="8"/>
  <c r="M34" i="8"/>
  <c r="M39" i="8"/>
  <c r="M43" i="8"/>
  <c r="M47" i="8"/>
  <c r="M52" i="8"/>
  <c r="M57" i="8"/>
  <c r="M61" i="8"/>
  <c r="K43" i="8"/>
  <c r="O113" i="26"/>
  <c r="L113" i="26"/>
  <c r="I113" i="26"/>
  <c r="H222" i="8"/>
  <c r="O47" i="26"/>
  <c r="O11" i="26"/>
  <c r="M119" i="8"/>
  <c r="L47" i="26"/>
  <c r="I146" i="26"/>
  <c r="I144" i="26"/>
  <c r="I140" i="26"/>
  <c r="I48" i="26"/>
  <c r="I49" i="26"/>
  <c r="I50" i="26"/>
  <c r="I51" i="26"/>
  <c r="I52" i="26"/>
  <c r="I53" i="26"/>
  <c r="I54" i="26"/>
  <c r="I55" i="26"/>
  <c r="I56" i="26"/>
  <c r="I57" i="26"/>
  <c r="I58" i="26"/>
  <c r="I59" i="26"/>
  <c r="I60" i="26"/>
  <c r="I61" i="26"/>
  <c r="I62" i="26"/>
  <c r="I63" i="26"/>
  <c r="I64" i="26"/>
  <c r="I65" i="26"/>
  <c r="I66" i="26"/>
  <c r="I67" i="26"/>
  <c r="I68" i="26"/>
  <c r="I69" i="26"/>
  <c r="I87" i="26"/>
  <c r="I88" i="26"/>
  <c r="I93" i="26"/>
  <c r="I112" i="26"/>
  <c r="I134" i="26"/>
  <c r="I45" i="26"/>
  <c r="I12" i="26"/>
  <c r="I16" i="26"/>
  <c r="I20" i="26"/>
  <c r="R200" i="26" l="1"/>
  <c r="T200" i="26" s="1"/>
  <c r="R207" i="26"/>
  <c r="R214" i="26"/>
  <c r="T214" i="26" s="1"/>
  <c r="R192" i="26"/>
  <c r="T192" i="26" s="1"/>
  <c r="R185" i="26"/>
  <c r="T185" i="26" s="1"/>
  <c r="R202" i="26"/>
  <c r="T202" i="26" s="1"/>
  <c r="R187" i="26"/>
  <c r="T187" i="26" s="1"/>
  <c r="R196" i="26"/>
  <c r="T196" i="26" s="1"/>
  <c r="K271" i="8"/>
  <c r="P154" i="24"/>
  <c r="R154" i="24" s="1"/>
  <c r="G31" i="24"/>
  <c r="I46" i="26"/>
  <c r="G101" i="24"/>
  <c r="I141" i="26"/>
  <c r="J104" i="24"/>
  <c r="L145" i="26"/>
  <c r="G32" i="24"/>
  <c r="I47" i="26"/>
  <c r="K144" i="24"/>
  <c r="M195" i="26"/>
  <c r="M162" i="24"/>
  <c r="P162" i="24" s="1"/>
  <c r="R162" i="24" s="1"/>
  <c r="O213" i="26"/>
  <c r="R213" i="26" s="1"/>
  <c r="T213" i="26" s="1"/>
  <c r="M158" i="24"/>
  <c r="P158" i="24" s="1"/>
  <c r="R158" i="24" s="1"/>
  <c r="O209" i="26"/>
  <c r="R209" i="26" s="1"/>
  <c r="T209" i="26" s="1"/>
  <c r="M153" i="24"/>
  <c r="P153" i="24" s="1"/>
  <c r="O204" i="26"/>
  <c r="R204" i="26" s="1"/>
  <c r="M148" i="24"/>
  <c r="P148" i="24" s="1"/>
  <c r="R148" i="24" s="1"/>
  <c r="O199" i="26"/>
  <c r="R199" i="26" s="1"/>
  <c r="T199" i="26" s="1"/>
  <c r="M144" i="24"/>
  <c r="P144" i="24" s="1"/>
  <c r="O195" i="26"/>
  <c r="R195" i="26" s="1"/>
  <c r="M140" i="24"/>
  <c r="P140" i="24" s="1"/>
  <c r="R140" i="24" s="1"/>
  <c r="O191" i="26"/>
  <c r="R191" i="26" s="1"/>
  <c r="T191" i="26" s="1"/>
  <c r="M135" i="24"/>
  <c r="P135" i="24" s="1"/>
  <c r="R135" i="24" s="1"/>
  <c r="O186" i="26"/>
  <c r="R186" i="26" s="1"/>
  <c r="T186" i="26" s="1"/>
  <c r="N156" i="24"/>
  <c r="Q156" i="24" s="1"/>
  <c r="P207" i="26"/>
  <c r="S207" i="26" s="1"/>
  <c r="T207" i="26" s="1"/>
  <c r="N143" i="24"/>
  <c r="Q143" i="24" s="1"/>
  <c r="R143" i="24" s="1"/>
  <c r="P194" i="26"/>
  <c r="S194" i="26" s="1"/>
  <c r="T194" i="26" s="1"/>
  <c r="N131" i="24"/>
  <c r="Q131" i="24" s="1"/>
  <c r="R131" i="24" s="1"/>
  <c r="P182" i="26"/>
  <c r="N157" i="24"/>
  <c r="Q157" i="24" s="1"/>
  <c r="R157" i="24" s="1"/>
  <c r="P208" i="26"/>
  <c r="S208" i="26" s="1"/>
  <c r="T208" i="26" s="1"/>
  <c r="N139" i="24"/>
  <c r="Q139" i="24" s="1"/>
  <c r="R139" i="24" s="1"/>
  <c r="P190" i="26"/>
  <c r="S190" i="26" s="1"/>
  <c r="T190" i="26" s="1"/>
  <c r="K133" i="24"/>
  <c r="M184" i="26"/>
  <c r="M160" i="24"/>
  <c r="P160" i="24" s="1"/>
  <c r="R160" i="24" s="1"/>
  <c r="O211" i="26"/>
  <c r="R211" i="26" s="1"/>
  <c r="T211" i="26" s="1"/>
  <c r="M155" i="24"/>
  <c r="P155" i="24" s="1"/>
  <c r="R155" i="24" s="1"/>
  <c r="O206" i="26"/>
  <c r="R206" i="26" s="1"/>
  <c r="T206" i="26" s="1"/>
  <c r="M150" i="24"/>
  <c r="P150" i="24" s="1"/>
  <c r="R150" i="24" s="1"/>
  <c r="O201" i="26"/>
  <c r="R201" i="26" s="1"/>
  <c r="T201" i="26" s="1"/>
  <c r="M146" i="24"/>
  <c r="P146" i="24" s="1"/>
  <c r="R146" i="24" s="1"/>
  <c r="O197" i="26"/>
  <c r="R197" i="26" s="1"/>
  <c r="T197" i="26" s="1"/>
  <c r="M142" i="24"/>
  <c r="P142" i="24" s="1"/>
  <c r="R142" i="24" s="1"/>
  <c r="O193" i="26"/>
  <c r="R193" i="26" s="1"/>
  <c r="T193" i="26" s="1"/>
  <c r="M137" i="24"/>
  <c r="P137" i="24" s="1"/>
  <c r="O188" i="26"/>
  <c r="R188" i="26" s="1"/>
  <c r="M133" i="24"/>
  <c r="P133" i="24" s="1"/>
  <c r="O184" i="26"/>
  <c r="R184" i="26" s="1"/>
  <c r="N152" i="24"/>
  <c r="Q152" i="24" s="1"/>
  <c r="R152" i="24" s="1"/>
  <c r="P203" i="26"/>
  <c r="S203" i="26" s="1"/>
  <c r="T203" i="26" s="1"/>
  <c r="N138" i="24"/>
  <c r="Q138" i="24" s="1"/>
  <c r="P189" i="26"/>
  <c r="S189" i="26" s="1"/>
  <c r="M132" i="24"/>
  <c r="P132" i="24" s="1"/>
  <c r="R132" i="24" s="1"/>
  <c r="O183" i="26"/>
  <c r="J228" i="26"/>
  <c r="R113" i="26"/>
  <c r="T113" i="26" s="1"/>
  <c r="L228" i="26"/>
  <c r="G4" i="24"/>
  <c r="I10" i="26"/>
  <c r="G25" i="24"/>
  <c r="I35" i="26"/>
  <c r="G12" i="24"/>
  <c r="I18" i="26"/>
  <c r="G8" i="24"/>
  <c r="I14" i="26"/>
  <c r="G3" i="24"/>
  <c r="I9" i="26"/>
  <c r="G15" i="24"/>
  <c r="I21" i="26"/>
  <c r="G13" i="24"/>
  <c r="I19" i="26"/>
  <c r="G11" i="24"/>
  <c r="I17" i="26"/>
  <c r="G9" i="24"/>
  <c r="I15" i="26"/>
  <c r="G7" i="24"/>
  <c r="I13" i="26"/>
  <c r="G84" i="24"/>
  <c r="I114" i="26"/>
  <c r="G70" i="24"/>
  <c r="I94" i="26"/>
  <c r="G68" i="24"/>
  <c r="I92" i="26"/>
  <c r="G5" i="24"/>
  <c r="I11" i="26"/>
  <c r="R11" i="26" s="1"/>
  <c r="T11" i="26" s="1"/>
  <c r="N153" i="24"/>
  <c r="Q153" i="24" s="1"/>
  <c r="R153" i="24" s="1"/>
  <c r="P204" i="26"/>
  <c r="S204" i="26" s="1"/>
  <c r="N137" i="24"/>
  <c r="Q137" i="24" s="1"/>
  <c r="R137" i="24" s="1"/>
  <c r="P188" i="26"/>
  <c r="S188" i="26" s="1"/>
  <c r="R47" i="26"/>
  <c r="T47" i="26" s="1"/>
  <c r="T189" i="26"/>
  <c r="G14" i="24"/>
  <c r="G10" i="24"/>
  <c r="J120" i="8"/>
  <c r="G6" i="24"/>
  <c r="J243" i="8"/>
  <c r="G97" i="24"/>
  <c r="J221" i="8"/>
  <c r="G82" i="24"/>
  <c r="J202" i="8"/>
  <c r="G69" i="24"/>
  <c r="J189" i="8"/>
  <c r="G66" i="24"/>
  <c r="J177" i="8"/>
  <c r="G54" i="24"/>
  <c r="J175" i="8"/>
  <c r="G52" i="24"/>
  <c r="J173" i="8"/>
  <c r="G50" i="24"/>
  <c r="J171" i="8"/>
  <c r="G48" i="24"/>
  <c r="J169" i="8"/>
  <c r="G46" i="24"/>
  <c r="J167" i="8"/>
  <c r="G44" i="24"/>
  <c r="J165" i="8"/>
  <c r="G42" i="24"/>
  <c r="J163" i="8"/>
  <c r="G40" i="24"/>
  <c r="J161" i="8"/>
  <c r="G38" i="24"/>
  <c r="J159" i="8"/>
  <c r="G36" i="24"/>
  <c r="J157" i="8"/>
  <c r="G34" i="24"/>
  <c r="M155" i="8"/>
  <c r="J32" i="24"/>
  <c r="P119" i="8"/>
  <c r="M5" i="24"/>
  <c r="J222" i="8"/>
  <c r="G83" i="24"/>
  <c r="P222" i="8"/>
  <c r="M83" i="24"/>
  <c r="P60" i="8"/>
  <c r="M161" i="24"/>
  <c r="P161" i="24" s="1"/>
  <c r="R161" i="24" s="1"/>
  <c r="P55" i="8"/>
  <c r="S55" i="8" s="1"/>
  <c r="M156" i="24"/>
  <c r="P156" i="24" s="1"/>
  <c r="P48" i="8"/>
  <c r="M149" i="24"/>
  <c r="P149" i="24" s="1"/>
  <c r="R149" i="24" s="1"/>
  <c r="P44" i="8"/>
  <c r="M145" i="24"/>
  <c r="P145" i="24" s="1"/>
  <c r="R145" i="24" s="1"/>
  <c r="P37" i="8"/>
  <c r="S37" i="8" s="1"/>
  <c r="M138" i="24"/>
  <c r="P138" i="24" s="1"/>
  <c r="R138" i="24" s="1"/>
  <c r="P33" i="8"/>
  <c r="M134" i="24"/>
  <c r="P134" i="24" s="1"/>
  <c r="R134" i="24" s="1"/>
  <c r="J153" i="8"/>
  <c r="G30" i="24"/>
  <c r="J188" i="8"/>
  <c r="G65" i="24"/>
  <c r="J176" i="8"/>
  <c r="G53" i="24"/>
  <c r="J174" i="8"/>
  <c r="G51" i="24"/>
  <c r="J172" i="8"/>
  <c r="G49" i="24"/>
  <c r="J170" i="8"/>
  <c r="G47" i="24"/>
  <c r="J168" i="8"/>
  <c r="G45" i="24"/>
  <c r="J166" i="8"/>
  <c r="G43" i="24"/>
  <c r="J164" i="8"/>
  <c r="G41" i="24"/>
  <c r="J162" i="8"/>
  <c r="G39" i="24"/>
  <c r="J160" i="8"/>
  <c r="G37" i="24"/>
  <c r="J158" i="8"/>
  <c r="G35" i="24"/>
  <c r="J156" i="8"/>
  <c r="G33" i="24"/>
  <c r="J249" i="8"/>
  <c r="G100" i="24"/>
  <c r="J253" i="8"/>
  <c r="G103" i="24"/>
  <c r="J255" i="8"/>
  <c r="G105" i="24"/>
  <c r="P155" i="8"/>
  <c r="M32" i="24"/>
  <c r="M222" i="8"/>
  <c r="J83" i="24"/>
  <c r="P62" i="8"/>
  <c r="S62" i="8" s="1"/>
  <c r="U62" i="8" s="1"/>
  <c r="M163" i="24"/>
  <c r="P163" i="24" s="1"/>
  <c r="R163" i="24" s="1"/>
  <c r="P58" i="8"/>
  <c r="S58" i="8" s="1"/>
  <c r="U58" i="8" s="1"/>
  <c r="M159" i="24"/>
  <c r="P159" i="24" s="1"/>
  <c r="R159" i="24" s="1"/>
  <c r="P50" i="8"/>
  <c r="S50" i="8" s="1"/>
  <c r="U50" i="8" s="1"/>
  <c r="M151" i="24"/>
  <c r="P151" i="24" s="1"/>
  <c r="R151" i="24" s="1"/>
  <c r="P46" i="8"/>
  <c r="S46" i="8" s="1"/>
  <c r="U46" i="8" s="1"/>
  <c r="M147" i="24"/>
  <c r="P147" i="24" s="1"/>
  <c r="R147" i="24" s="1"/>
  <c r="P40" i="8"/>
  <c r="S40" i="8" s="1"/>
  <c r="U40" i="8" s="1"/>
  <c r="M141" i="24"/>
  <c r="P141" i="24" s="1"/>
  <c r="R141" i="24" s="1"/>
  <c r="P35" i="8"/>
  <c r="S35" i="8" s="1"/>
  <c r="U35" i="8" s="1"/>
  <c r="M136" i="24"/>
  <c r="P136" i="24" s="1"/>
  <c r="R136" i="24" s="1"/>
  <c r="S53" i="8"/>
  <c r="U53" i="8" s="1"/>
  <c r="P61" i="8"/>
  <c r="P57" i="8"/>
  <c r="P52" i="8"/>
  <c r="S52" i="8" s="1"/>
  <c r="P47" i="8"/>
  <c r="P43" i="8"/>
  <c r="S43" i="8" s="1"/>
  <c r="P39" i="8"/>
  <c r="P34" i="8"/>
  <c r="Q55" i="8"/>
  <c r="Q42" i="8"/>
  <c r="Q30" i="8"/>
  <c r="P59" i="8"/>
  <c r="P54" i="8"/>
  <c r="P49" i="8"/>
  <c r="P45" i="8"/>
  <c r="P41" i="8"/>
  <c r="P36" i="8"/>
  <c r="S36" i="8" s="1"/>
  <c r="P32" i="8"/>
  <c r="S32" i="8" s="1"/>
  <c r="Q51" i="8"/>
  <c r="Q37" i="8"/>
  <c r="P31" i="8"/>
  <c r="N43" i="8"/>
  <c r="P195" i="26"/>
  <c r="Q56" i="8"/>
  <c r="Q38" i="8"/>
  <c r="N32" i="8"/>
  <c r="P184" i="26"/>
  <c r="S184" i="26" s="1"/>
  <c r="Q52" i="8"/>
  <c r="T52" i="8" s="1"/>
  <c r="Q36" i="8"/>
  <c r="T36" i="8" s="1"/>
  <c r="J117" i="8"/>
  <c r="J129" i="8"/>
  <c r="J127" i="8"/>
  <c r="J125" i="8"/>
  <c r="J123" i="8"/>
  <c r="J121" i="8"/>
  <c r="J223" i="8"/>
  <c r="J203" i="8"/>
  <c r="J201" i="8"/>
  <c r="J119" i="8"/>
  <c r="O20" i="26"/>
  <c r="M128" i="8"/>
  <c r="O16" i="26"/>
  <c r="M124" i="8"/>
  <c r="J118" i="8"/>
  <c r="J143" i="8"/>
  <c r="J128" i="8"/>
  <c r="J126" i="8"/>
  <c r="J124" i="8"/>
  <c r="J122" i="8"/>
  <c r="J154" i="8"/>
  <c r="J250" i="8"/>
  <c r="O145" i="26"/>
  <c r="M254" i="8"/>
  <c r="J155" i="8"/>
  <c r="L144" i="26"/>
  <c r="R144" i="26" s="1"/>
  <c r="T144" i="26" s="1"/>
  <c r="R156" i="24" l="1"/>
  <c r="R145" i="26"/>
  <c r="T145" i="26" s="1"/>
  <c r="P5" i="24"/>
  <c r="R5" i="24" s="1"/>
  <c r="N271" i="8"/>
  <c r="M228" i="26"/>
  <c r="M274" i="26" s="1"/>
  <c r="S195" i="26"/>
  <c r="P32" i="24"/>
  <c r="R32" i="24" s="1"/>
  <c r="J34" i="24"/>
  <c r="L49" i="26"/>
  <c r="J42" i="24"/>
  <c r="L57" i="26"/>
  <c r="J50" i="24"/>
  <c r="L65" i="26"/>
  <c r="J97" i="24"/>
  <c r="L134" i="26"/>
  <c r="J105" i="24"/>
  <c r="L146" i="26"/>
  <c r="J39" i="24"/>
  <c r="L54" i="26"/>
  <c r="J47" i="24"/>
  <c r="L62" i="26"/>
  <c r="J65" i="24"/>
  <c r="L87" i="26"/>
  <c r="J4" i="24"/>
  <c r="L10" i="26"/>
  <c r="J70" i="24"/>
  <c r="L94" i="26"/>
  <c r="J84" i="24"/>
  <c r="L114" i="26"/>
  <c r="J7" i="24"/>
  <c r="L13" i="26"/>
  <c r="J9" i="24"/>
  <c r="L15" i="26"/>
  <c r="J11" i="24"/>
  <c r="L17" i="26"/>
  <c r="J13" i="24"/>
  <c r="L19" i="26"/>
  <c r="J15" i="24"/>
  <c r="L21" i="26"/>
  <c r="J3" i="24"/>
  <c r="L9" i="26"/>
  <c r="J38" i="24"/>
  <c r="L53" i="26"/>
  <c r="J46" i="24"/>
  <c r="L61" i="26"/>
  <c r="J54" i="24"/>
  <c r="L69" i="26"/>
  <c r="J69" i="24"/>
  <c r="L93" i="26"/>
  <c r="J30" i="24"/>
  <c r="L45" i="26"/>
  <c r="J100" i="24"/>
  <c r="L140" i="26"/>
  <c r="J35" i="24"/>
  <c r="L50" i="26"/>
  <c r="J43" i="24"/>
  <c r="L58" i="26"/>
  <c r="J51" i="24"/>
  <c r="L66" i="26"/>
  <c r="J12" i="24"/>
  <c r="L18" i="26"/>
  <c r="J68" i="24"/>
  <c r="L92" i="26"/>
  <c r="J36" i="24"/>
  <c r="L51" i="26"/>
  <c r="J40" i="24"/>
  <c r="L55" i="26"/>
  <c r="J44" i="24"/>
  <c r="L59" i="26"/>
  <c r="J48" i="24"/>
  <c r="L63" i="26"/>
  <c r="J52" i="24"/>
  <c r="L67" i="26"/>
  <c r="J66" i="24"/>
  <c r="L88" i="26"/>
  <c r="J82" i="24"/>
  <c r="L112" i="26"/>
  <c r="J6" i="24"/>
  <c r="L12" i="26"/>
  <c r="J33" i="24"/>
  <c r="L48" i="26"/>
  <c r="J37" i="24"/>
  <c r="L52" i="26"/>
  <c r="J41" i="24"/>
  <c r="L56" i="26"/>
  <c r="J45" i="24"/>
  <c r="L60" i="26"/>
  <c r="J49" i="24"/>
  <c r="L64" i="26"/>
  <c r="J53" i="24"/>
  <c r="L68" i="26"/>
  <c r="J8" i="24"/>
  <c r="L14" i="26"/>
  <c r="J25" i="24"/>
  <c r="L35" i="26"/>
  <c r="J101" i="24"/>
  <c r="L141" i="26"/>
  <c r="J31" i="24"/>
  <c r="L46" i="26"/>
  <c r="J10" i="24"/>
  <c r="L16" i="26"/>
  <c r="R16" i="26" s="1"/>
  <c r="T16" i="26" s="1"/>
  <c r="J14" i="24"/>
  <c r="L20" i="26"/>
  <c r="R20" i="26" s="1"/>
  <c r="T20" i="26" s="1"/>
  <c r="J274" i="26"/>
  <c r="R183" i="26"/>
  <c r="T183" i="26" s="1"/>
  <c r="O228" i="26"/>
  <c r="P228" i="26"/>
  <c r="P274" i="26" s="1"/>
  <c r="S182" i="26"/>
  <c r="T182" i="26" s="1"/>
  <c r="I155" i="26"/>
  <c r="I274" i="26" s="1"/>
  <c r="T184" i="26"/>
  <c r="T188" i="26"/>
  <c r="T195" i="26"/>
  <c r="T204" i="26"/>
  <c r="P124" i="8"/>
  <c r="S124" i="8" s="1"/>
  <c r="U124" i="8" s="1"/>
  <c r="M10" i="24"/>
  <c r="Q43" i="8"/>
  <c r="T43" i="8" s="1"/>
  <c r="U43" i="8" s="1"/>
  <c r="N144" i="24"/>
  <c r="Q144" i="24" s="1"/>
  <c r="R144" i="24" s="1"/>
  <c r="T51" i="8"/>
  <c r="U51" i="8" s="1"/>
  <c r="S45" i="8"/>
  <c r="U45" i="8" s="1"/>
  <c r="S54" i="8"/>
  <c r="U54" i="8" s="1"/>
  <c r="S33" i="8"/>
  <c r="U33" i="8" s="1"/>
  <c r="S44" i="8"/>
  <c r="U44" i="8" s="1"/>
  <c r="S48" i="8"/>
  <c r="U48" i="8" s="1"/>
  <c r="S60" i="8"/>
  <c r="U60" i="8" s="1"/>
  <c r="S222" i="8"/>
  <c r="U222" i="8" s="1"/>
  <c r="S119" i="8"/>
  <c r="P128" i="8"/>
  <c r="S128" i="8" s="1"/>
  <c r="U128" i="8" s="1"/>
  <c r="M14" i="24"/>
  <c r="P14" i="24" s="1"/>
  <c r="R14" i="24" s="1"/>
  <c r="Q32" i="8"/>
  <c r="T32" i="8" s="1"/>
  <c r="U32" i="8" s="1"/>
  <c r="N133" i="24"/>
  <c r="Q133" i="24" s="1"/>
  <c r="R133" i="24" s="1"/>
  <c r="T37" i="8"/>
  <c r="U37" i="8" s="1"/>
  <c r="S41" i="8"/>
  <c r="U41" i="8" s="1"/>
  <c r="S49" i="8"/>
  <c r="U49" i="8" s="1"/>
  <c r="S59" i="8"/>
  <c r="U59" i="8" s="1"/>
  <c r="M253" i="8"/>
  <c r="J103" i="24"/>
  <c r="P103" i="24" s="1"/>
  <c r="R103" i="24" s="1"/>
  <c r="P254" i="8"/>
  <c r="S254" i="8" s="1"/>
  <c r="U254" i="8" s="1"/>
  <c r="M104" i="24"/>
  <c r="P104" i="24" s="1"/>
  <c r="R104" i="24" s="1"/>
  <c r="T38" i="8"/>
  <c r="U38" i="8" s="1"/>
  <c r="T56" i="8"/>
  <c r="U56" i="8" s="1"/>
  <c r="S31" i="8"/>
  <c r="T30" i="8"/>
  <c r="T42" i="8"/>
  <c r="U42" i="8" s="1"/>
  <c r="T55" i="8"/>
  <c r="U55" i="8" s="1"/>
  <c r="S34" i="8"/>
  <c r="U34" i="8" s="1"/>
  <c r="S39" i="8"/>
  <c r="U39" i="8" s="1"/>
  <c r="S47" i="8"/>
  <c r="U47" i="8" s="1"/>
  <c r="S57" i="8"/>
  <c r="U57" i="8" s="1"/>
  <c r="S61" i="8"/>
  <c r="U61" i="8" s="1"/>
  <c r="U119" i="8"/>
  <c r="S155" i="8"/>
  <c r="U155" i="8" s="1"/>
  <c r="P83" i="24"/>
  <c r="R83" i="24" s="1"/>
  <c r="U52" i="8"/>
  <c r="U36" i="8"/>
  <c r="O49" i="26"/>
  <c r="M157" i="8"/>
  <c r="O53" i="26"/>
  <c r="R53" i="26" s="1"/>
  <c r="T53" i="26" s="1"/>
  <c r="M161" i="8"/>
  <c r="O57" i="26"/>
  <c r="M165" i="8"/>
  <c r="O61" i="26"/>
  <c r="R61" i="26" s="1"/>
  <c r="T61" i="26" s="1"/>
  <c r="M169" i="8"/>
  <c r="O65" i="26"/>
  <c r="M173" i="8"/>
  <c r="O69" i="26"/>
  <c r="M177" i="8"/>
  <c r="O93" i="26"/>
  <c r="M202" i="8"/>
  <c r="O134" i="26"/>
  <c r="R134" i="26" s="1"/>
  <c r="T134" i="26" s="1"/>
  <c r="M243" i="8"/>
  <c r="O45" i="26"/>
  <c r="R45" i="26" s="1"/>
  <c r="T45" i="26" s="1"/>
  <c r="M153" i="8"/>
  <c r="O146" i="26"/>
  <c r="M255" i="8"/>
  <c r="O140" i="26"/>
  <c r="M249" i="8"/>
  <c r="O50" i="26"/>
  <c r="R50" i="26" s="1"/>
  <c r="T50" i="26" s="1"/>
  <c r="M158" i="8"/>
  <c r="O54" i="26"/>
  <c r="R54" i="26" s="1"/>
  <c r="T54" i="26" s="1"/>
  <c r="M162" i="8"/>
  <c r="O58" i="26"/>
  <c r="R58" i="26" s="1"/>
  <c r="T58" i="26" s="1"/>
  <c r="M166" i="8"/>
  <c r="O62" i="26"/>
  <c r="R62" i="26" s="1"/>
  <c r="T62" i="26" s="1"/>
  <c r="M170" i="8"/>
  <c r="O66" i="26"/>
  <c r="M174" i="8"/>
  <c r="O87" i="26"/>
  <c r="M188" i="8"/>
  <c r="O14" i="26"/>
  <c r="R14" i="26" s="1"/>
  <c r="T14" i="26" s="1"/>
  <c r="M122" i="8"/>
  <c r="O35" i="26"/>
  <c r="M143" i="8"/>
  <c r="O141" i="26"/>
  <c r="R141" i="26" s="1"/>
  <c r="T141" i="26" s="1"/>
  <c r="M250" i="8"/>
  <c r="O46" i="26"/>
  <c r="R46" i="26" s="1"/>
  <c r="T46" i="26" s="1"/>
  <c r="M154" i="8"/>
  <c r="O10" i="26"/>
  <c r="R10" i="26" s="1"/>
  <c r="T10" i="26" s="1"/>
  <c r="M118" i="8"/>
  <c r="O51" i="26"/>
  <c r="M159" i="8"/>
  <c r="O55" i="26"/>
  <c r="M163" i="8"/>
  <c r="O59" i="26"/>
  <c r="M167" i="8"/>
  <c r="O63" i="26"/>
  <c r="M171" i="8"/>
  <c r="O67" i="26"/>
  <c r="M175" i="8"/>
  <c r="O88" i="26"/>
  <c r="M189" i="8"/>
  <c r="M221" i="8"/>
  <c r="O12" i="26"/>
  <c r="M120" i="8"/>
  <c r="M156" i="8"/>
  <c r="O52" i="26"/>
  <c r="R52" i="26" s="1"/>
  <c r="T52" i="26" s="1"/>
  <c r="M160" i="8"/>
  <c r="M164" i="8"/>
  <c r="O60" i="26"/>
  <c r="R60" i="26" s="1"/>
  <c r="T60" i="26" s="1"/>
  <c r="M168" i="8"/>
  <c r="M172" i="8"/>
  <c r="O68" i="26"/>
  <c r="R68" i="26" s="1"/>
  <c r="T68" i="26" s="1"/>
  <c r="M176" i="8"/>
  <c r="M126" i="8"/>
  <c r="M116" i="8"/>
  <c r="M201" i="8"/>
  <c r="M203" i="8"/>
  <c r="M223" i="8"/>
  <c r="M121" i="8"/>
  <c r="M123" i="8"/>
  <c r="M125" i="8"/>
  <c r="M127" i="8"/>
  <c r="M129" i="8"/>
  <c r="M117" i="8"/>
  <c r="O245" i="8"/>
  <c r="O235" i="8"/>
  <c r="O226" i="8"/>
  <c r="P209" i="8"/>
  <c r="P208" i="8"/>
  <c r="L235" i="8"/>
  <c r="L226" i="8"/>
  <c r="M209" i="8"/>
  <c r="M208" i="8"/>
  <c r="I261" i="8"/>
  <c r="I260" i="8"/>
  <c r="I258" i="8"/>
  <c r="I235" i="8"/>
  <c r="I233" i="8"/>
  <c r="I232" i="8"/>
  <c r="I229" i="8"/>
  <c r="I226" i="8"/>
  <c r="I216" i="8"/>
  <c r="I215" i="8"/>
  <c r="I214" i="8"/>
  <c r="J208" i="8"/>
  <c r="J271" i="8" s="1"/>
  <c r="R65" i="26" l="1"/>
  <c r="T65" i="26" s="1"/>
  <c r="R49" i="26"/>
  <c r="T49" i="26" s="1"/>
  <c r="R93" i="26"/>
  <c r="T93" i="26" s="1"/>
  <c r="R12" i="26"/>
  <c r="T12" i="26" s="1"/>
  <c r="R88" i="26"/>
  <c r="T88" i="26" s="1"/>
  <c r="R67" i="26"/>
  <c r="T67" i="26" s="1"/>
  <c r="R59" i="26"/>
  <c r="T59" i="26" s="1"/>
  <c r="R55" i="26"/>
  <c r="T55" i="26" s="1"/>
  <c r="R63" i="26"/>
  <c r="T63" i="26" s="1"/>
  <c r="R69" i="26"/>
  <c r="T69" i="26" s="1"/>
  <c r="R87" i="26"/>
  <c r="T87" i="26" s="1"/>
  <c r="P10" i="24"/>
  <c r="R10" i="24" s="1"/>
  <c r="R51" i="26"/>
  <c r="T51" i="26" s="1"/>
  <c r="R57" i="26"/>
  <c r="T57" i="26" s="1"/>
  <c r="R140" i="26"/>
  <c r="T140" i="26" s="1"/>
  <c r="R35" i="26"/>
  <c r="T35" i="26" s="1"/>
  <c r="R66" i="26"/>
  <c r="T66" i="26" s="1"/>
  <c r="R146" i="26"/>
  <c r="T146" i="26" s="1"/>
  <c r="I271" i="8"/>
  <c r="U30" i="8"/>
  <c r="T271" i="8"/>
  <c r="U31" i="8"/>
  <c r="Q271" i="8"/>
  <c r="M3" i="24"/>
  <c r="P3" i="24" s="1"/>
  <c r="R3" i="24" s="1"/>
  <c r="O9" i="26"/>
  <c r="R9" i="26" s="1"/>
  <c r="T9" i="26" s="1"/>
  <c r="M13" i="24"/>
  <c r="P13" i="24" s="1"/>
  <c r="R13" i="24" s="1"/>
  <c r="O19" i="26"/>
  <c r="R19" i="26" s="1"/>
  <c r="T19" i="26" s="1"/>
  <c r="M9" i="24"/>
  <c r="P9" i="24" s="1"/>
  <c r="R9" i="24" s="1"/>
  <c r="O15" i="26"/>
  <c r="R15" i="26" s="1"/>
  <c r="T15" i="26" s="1"/>
  <c r="M84" i="24"/>
  <c r="P84" i="24" s="1"/>
  <c r="R84" i="24" s="1"/>
  <c r="O114" i="26"/>
  <c r="R114" i="26" s="1"/>
  <c r="T114" i="26" s="1"/>
  <c r="M70" i="24"/>
  <c r="P70" i="24" s="1"/>
  <c r="R70" i="24" s="1"/>
  <c r="O94" i="26"/>
  <c r="R94" i="26" s="1"/>
  <c r="T94" i="26" s="1"/>
  <c r="M2" i="24"/>
  <c r="P2" i="24" s="1"/>
  <c r="R2" i="24" s="1"/>
  <c r="O8" i="26"/>
  <c r="M82" i="24"/>
  <c r="P82" i="24" s="1"/>
  <c r="R82" i="24" s="1"/>
  <c r="O112" i="26"/>
  <c r="R112" i="26" s="1"/>
  <c r="T112" i="26" s="1"/>
  <c r="M49" i="24"/>
  <c r="P49" i="24" s="1"/>
  <c r="R49" i="24" s="1"/>
  <c r="O64" i="26"/>
  <c r="R64" i="26" s="1"/>
  <c r="T64" i="26" s="1"/>
  <c r="M41" i="24"/>
  <c r="P41" i="24" s="1"/>
  <c r="R41" i="24" s="1"/>
  <c r="O56" i="26"/>
  <c r="R56" i="26" s="1"/>
  <c r="T56" i="26" s="1"/>
  <c r="M33" i="24"/>
  <c r="P33" i="24" s="1"/>
  <c r="R33" i="24" s="1"/>
  <c r="O48" i="26"/>
  <c r="R48" i="26" s="1"/>
  <c r="T48" i="26" s="1"/>
  <c r="S228" i="26"/>
  <c r="M15" i="24"/>
  <c r="P15" i="24" s="1"/>
  <c r="R15" i="24" s="1"/>
  <c r="O21" i="26"/>
  <c r="R21" i="26" s="1"/>
  <c r="T21" i="26" s="1"/>
  <c r="M11" i="24"/>
  <c r="P11" i="24" s="1"/>
  <c r="R11" i="24" s="1"/>
  <c r="O17" i="26"/>
  <c r="R17" i="26" s="1"/>
  <c r="T17" i="26" s="1"/>
  <c r="M7" i="24"/>
  <c r="P7" i="24" s="1"/>
  <c r="R7" i="24" s="1"/>
  <c r="O13" i="26"/>
  <c r="R13" i="26" s="1"/>
  <c r="T13" i="26" s="1"/>
  <c r="M68" i="24"/>
  <c r="P68" i="24" s="1"/>
  <c r="R68" i="24" s="1"/>
  <c r="O92" i="26"/>
  <c r="R92" i="26" s="1"/>
  <c r="T92" i="26" s="1"/>
  <c r="M12" i="24"/>
  <c r="P12" i="24" s="1"/>
  <c r="R12" i="24" s="1"/>
  <c r="O18" i="26"/>
  <c r="R18" i="26" s="1"/>
  <c r="T18" i="26" s="1"/>
  <c r="R228" i="26"/>
  <c r="S274" i="26"/>
  <c r="L155" i="26"/>
  <c r="L274" i="26" s="1"/>
  <c r="R214" i="8"/>
  <c r="U214" i="8" s="1"/>
  <c r="R216" i="8"/>
  <c r="U216" i="8" s="1"/>
  <c r="R258" i="8"/>
  <c r="U258" i="8" s="1"/>
  <c r="P176" i="8"/>
  <c r="S176" i="8" s="1"/>
  <c r="U176" i="8" s="1"/>
  <c r="M53" i="24"/>
  <c r="P53" i="24" s="1"/>
  <c r="R53" i="24" s="1"/>
  <c r="P168" i="8"/>
  <c r="S168" i="8" s="1"/>
  <c r="U168" i="8" s="1"/>
  <c r="M45" i="24"/>
  <c r="P45" i="24" s="1"/>
  <c r="R45" i="24" s="1"/>
  <c r="P160" i="8"/>
  <c r="S160" i="8" s="1"/>
  <c r="U160" i="8" s="1"/>
  <c r="M37" i="24"/>
  <c r="P37" i="24" s="1"/>
  <c r="R37" i="24" s="1"/>
  <c r="P118" i="8"/>
  <c r="S118" i="8" s="1"/>
  <c r="U118" i="8" s="1"/>
  <c r="M4" i="24"/>
  <c r="P4" i="24" s="1"/>
  <c r="R4" i="24" s="1"/>
  <c r="S253" i="8"/>
  <c r="U253" i="8" s="1"/>
  <c r="S209" i="8"/>
  <c r="R235" i="8"/>
  <c r="U235" i="8" s="1"/>
  <c r="R229" i="8"/>
  <c r="U229" i="8" s="1"/>
  <c r="R233" i="8"/>
  <c r="U233" i="8" s="1"/>
  <c r="R261" i="8"/>
  <c r="U261" i="8" s="1"/>
  <c r="R215" i="8"/>
  <c r="U215" i="8" s="1"/>
  <c r="R232" i="8"/>
  <c r="U232" i="8" s="1"/>
  <c r="R260" i="8"/>
  <c r="U260" i="8" s="1"/>
  <c r="P120" i="8"/>
  <c r="S120" i="8" s="1"/>
  <c r="U120" i="8" s="1"/>
  <c r="M6" i="24"/>
  <c r="P6" i="24" s="1"/>
  <c r="R6" i="24" s="1"/>
  <c r="P189" i="8"/>
  <c r="S189" i="8" s="1"/>
  <c r="U189" i="8" s="1"/>
  <c r="M66" i="24"/>
  <c r="P66" i="24" s="1"/>
  <c r="R66" i="24" s="1"/>
  <c r="P175" i="8"/>
  <c r="S175" i="8" s="1"/>
  <c r="U175" i="8" s="1"/>
  <c r="M52" i="24"/>
  <c r="P52" i="24" s="1"/>
  <c r="R52" i="24" s="1"/>
  <c r="P171" i="8"/>
  <c r="S171" i="8" s="1"/>
  <c r="U171" i="8" s="1"/>
  <c r="M48" i="24"/>
  <c r="P48" i="24" s="1"/>
  <c r="R48" i="24" s="1"/>
  <c r="P167" i="8"/>
  <c r="S167" i="8" s="1"/>
  <c r="U167" i="8" s="1"/>
  <c r="M44" i="24"/>
  <c r="P44" i="24" s="1"/>
  <c r="R44" i="24" s="1"/>
  <c r="P163" i="8"/>
  <c r="S163" i="8" s="1"/>
  <c r="U163" i="8" s="1"/>
  <c r="M40" i="24"/>
  <c r="P40" i="24" s="1"/>
  <c r="R40" i="24" s="1"/>
  <c r="P159" i="8"/>
  <c r="S159" i="8" s="1"/>
  <c r="U159" i="8" s="1"/>
  <c r="M36" i="24"/>
  <c r="P36" i="24" s="1"/>
  <c r="R36" i="24" s="1"/>
  <c r="P154" i="8"/>
  <c r="S154" i="8" s="1"/>
  <c r="U154" i="8" s="1"/>
  <c r="M31" i="24"/>
  <c r="P31" i="24" s="1"/>
  <c r="R31" i="24" s="1"/>
  <c r="P250" i="8"/>
  <c r="S250" i="8" s="1"/>
  <c r="U250" i="8" s="1"/>
  <c r="M101" i="24"/>
  <c r="P101" i="24" s="1"/>
  <c r="R101" i="24" s="1"/>
  <c r="P143" i="8"/>
  <c r="S143" i="8" s="1"/>
  <c r="U143" i="8" s="1"/>
  <c r="M25" i="24"/>
  <c r="P25" i="24" s="1"/>
  <c r="R25" i="24" s="1"/>
  <c r="P122" i="8"/>
  <c r="S122" i="8" s="1"/>
  <c r="U122" i="8" s="1"/>
  <c r="M8" i="24"/>
  <c r="P8" i="24" s="1"/>
  <c r="R8" i="24" s="1"/>
  <c r="P188" i="8"/>
  <c r="S188" i="8" s="1"/>
  <c r="U188" i="8" s="1"/>
  <c r="M65" i="24"/>
  <c r="P65" i="24" s="1"/>
  <c r="R65" i="24" s="1"/>
  <c r="P174" i="8"/>
  <c r="S174" i="8" s="1"/>
  <c r="U174" i="8" s="1"/>
  <c r="M51" i="24"/>
  <c r="P51" i="24" s="1"/>
  <c r="R51" i="24" s="1"/>
  <c r="P170" i="8"/>
  <c r="S170" i="8" s="1"/>
  <c r="U170" i="8" s="1"/>
  <c r="M47" i="24"/>
  <c r="P47" i="24" s="1"/>
  <c r="R47" i="24" s="1"/>
  <c r="P166" i="8"/>
  <c r="S166" i="8" s="1"/>
  <c r="U166" i="8" s="1"/>
  <c r="M43" i="24"/>
  <c r="P43" i="24" s="1"/>
  <c r="R43" i="24" s="1"/>
  <c r="P162" i="8"/>
  <c r="S162" i="8" s="1"/>
  <c r="U162" i="8" s="1"/>
  <c r="M39" i="24"/>
  <c r="P39" i="24" s="1"/>
  <c r="R39" i="24" s="1"/>
  <c r="P158" i="8"/>
  <c r="S158" i="8" s="1"/>
  <c r="U158" i="8" s="1"/>
  <c r="M35" i="24"/>
  <c r="P35" i="24" s="1"/>
  <c r="R35" i="24" s="1"/>
  <c r="P249" i="8"/>
  <c r="S249" i="8" s="1"/>
  <c r="U249" i="8" s="1"/>
  <c r="M100" i="24"/>
  <c r="P100" i="24" s="1"/>
  <c r="R100" i="24" s="1"/>
  <c r="P255" i="8"/>
  <c r="M105" i="24"/>
  <c r="P105" i="24" s="1"/>
  <c r="R105" i="24" s="1"/>
  <c r="P153" i="8"/>
  <c r="S153" i="8" s="1"/>
  <c r="U153" i="8" s="1"/>
  <c r="M30" i="24"/>
  <c r="P30" i="24" s="1"/>
  <c r="R30" i="24" s="1"/>
  <c r="P243" i="8"/>
  <c r="S243" i="8" s="1"/>
  <c r="U243" i="8" s="1"/>
  <c r="M97" i="24"/>
  <c r="P97" i="24" s="1"/>
  <c r="R97" i="24" s="1"/>
  <c r="P202" i="8"/>
  <c r="S202" i="8" s="1"/>
  <c r="U202" i="8" s="1"/>
  <c r="M69" i="24"/>
  <c r="P69" i="24" s="1"/>
  <c r="R69" i="24" s="1"/>
  <c r="P177" i="8"/>
  <c r="S177" i="8" s="1"/>
  <c r="U177" i="8" s="1"/>
  <c r="M54" i="24"/>
  <c r="P54" i="24" s="1"/>
  <c r="R54" i="24" s="1"/>
  <c r="P173" i="8"/>
  <c r="S173" i="8" s="1"/>
  <c r="U173" i="8" s="1"/>
  <c r="M50" i="24"/>
  <c r="P50" i="24" s="1"/>
  <c r="R50" i="24" s="1"/>
  <c r="P169" i="8"/>
  <c r="S169" i="8" s="1"/>
  <c r="U169" i="8" s="1"/>
  <c r="M46" i="24"/>
  <c r="P46" i="24" s="1"/>
  <c r="R46" i="24" s="1"/>
  <c r="P165" i="8"/>
  <c r="S165" i="8" s="1"/>
  <c r="U165" i="8" s="1"/>
  <c r="M42" i="24"/>
  <c r="P42" i="24" s="1"/>
  <c r="R42" i="24" s="1"/>
  <c r="P161" i="8"/>
  <c r="S161" i="8" s="1"/>
  <c r="U161" i="8" s="1"/>
  <c r="M38" i="24"/>
  <c r="P38" i="24" s="1"/>
  <c r="R38" i="24" s="1"/>
  <c r="P157" i="8"/>
  <c r="S157" i="8" s="1"/>
  <c r="U157" i="8" s="1"/>
  <c r="M34" i="24"/>
  <c r="P34" i="24" s="1"/>
  <c r="R34" i="24" s="1"/>
  <c r="S208" i="8"/>
  <c r="U208" i="8" s="1"/>
  <c r="R226" i="8"/>
  <c r="U226" i="8" s="1"/>
  <c r="U209" i="8"/>
  <c r="P172" i="8"/>
  <c r="P164" i="8"/>
  <c r="P156" i="8"/>
  <c r="P221" i="8"/>
  <c r="P117" i="8"/>
  <c r="P129" i="8"/>
  <c r="P127" i="8"/>
  <c r="P125" i="8"/>
  <c r="P123" i="8"/>
  <c r="P121" i="8"/>
  <c r="P223" i="8"/>
  <c r="P203" i="8"/>
  <c r="P201" i="8"/>
  <c r="P116" i="8"/>
  <c r="P126" i="8"/>
  <c r="S255" i="8" l="1"/>
  <c r="U255" i="8" s="1"/>
  <c r="T228" i="26"/>
  <c r="O155" i="26"/>
  <c r="O274" i="26" s="1"/>
  <c r="R274" i="26" s="1"/>
  <c r="T274" i="26" s="1"/>
  <c r="R8" i="26"/>
  <c r="S126" i="8"/>
  <c r="U126" i="8" s="1"/>
  <c r="S116" i="8"/>
  <c r="U116" i="8" s="1"/>
  <c r="S201" i="8"/>
  <c r="U201" i="8" s="1"/>
  <c r="S203" i="8"/>
  <c r="U203" i="8" s="1"/>
  <c r="S223" i="8"/>
  <c r="U223" i="8" s="1"/>
  <c r="S121" i="8"/>
  <c r="U121" i="8" s="1"/>
  <c r="S123" i="8"/>
  <c r="U123" i="8" s="1"/>
  <c r="S125" i="8"/>
  <c r="U125" i="8" s="1"/>
  <c r="S127" i="8"/>
  <c r="U127" i="8" s="1"/>
  <c r="S129" i="8"/>
  <c r="U129" i="8" s="1"/>
  <c r="S117" i="8"/>
  <c r="U117" i="8" s="1"/>
  <c r="S221" i="8"/>
  <c r="U221" i="8" s="1"/>
  <c r="S156" i="8"/>
  <c r="U156" i="8" s="1"/>
  <c r="S164" i="8"/>
  <c r="U164" i="8" s="1"/>
  <c r="S172" i="8"/>
  <c r="U172" i="8" s="1"/>
  <c r="R155" i="26" l="1"/>
  <c r="T8" i="26"/>
  <c r="T155" i="26" s="1"/>
  <c r="C18" i="12"/>
  <c r="D18" i="12"/>
  <c r="B18" i="12"/>
  <c r="C16" i="12"/>
  <c r="D16" i="12"/>
  <c r="E16" i="12"/>
  <c r="C17" i="12"/>
  <c r="D17" i="12"/>
  <c r="E17" i="12"/>
  <c r="D15" i="12"/>
  <c r="E15" i="12"/>
  <c r="C15" i="12"/>
  <c r="B15" i="12"/>
  <c r="B16" i="12"/>
  <c r="B17" i="12"/>
  <c r="C14" i="12"/>
  <c r="B14" i="12"/>
  <c r="L190" i="8" l="1"/>
  <c r="R190" i="8" l="1"/>
  <c r="U190" i="8" s="1"/>
  <c r="P194" i="8"/>
  <c r="P271" i="8" s="1"/>
  <c r="M194" i="8"/>
  <c r="M271" i="8" s="1"/>
  <c r="L183" i="8"/>
  <c r="O183" i="8" s="1"/>
  <c r="L149" i="8"/>
  <c r="O149" i="8" s="1"/>
  <c r="S194" i="8" l="1"/>
  <c r="S271" i="8" s="1"/>
  <c r="R183" i="8"/>
  <c r="U183" i="8" s="1"/>
  <c r="R149" i="8"/>
  <c r="U149" i="8" s="1"/>
  <c r="L198" i="8"/>
  <c r="O184" i="8"/>
  <c r="L184" i="8"/>
  <c r="L148" i="8"/>
  <c r="R184" i="8" l="1"/>
  <c r="U184" i="8" s="1"/>
  <c r="U194" i="8"/>
  <c r="R198" i="8"/>
  <c r="U198" i="8" s="1"/>
  <c r="O148" i="8"/>
  <c r="L197" i="8"/>
  <c r="L271" i="8" s="1"/>
  <c r="R148" i="8" l="1"/>
  <c r="O197" i="8"/>
  <c r="O271" i="8" s="1"/>
  <c r="R271" i="8" l="1"/>
  <c r="R197" i="8"/>
  <c r="U197" i="8" s="1"/>
  <c r="U148" i="8"/>
  <c r="U271" i="8" s="1"/>
  <c r="S77" i="27" l="1"/>
  <c r="S279" i="27" s="1"/>
  <c r="R279" i="27"/>
</calcChain>
</file>

<file path=xl/comments1.xml><?xml version="1.0" encoding="utf-8"?>
<comments xmlns="http://schemas.openxmlformats.org/spreadsheetml/2006/main">
  <authors>
    <author>pluque</author>
  </authors>
  <commentList>
    <comment ref="I86" authorId="0">
      <text>
        <r>
          <rPr>
            <b/>
            <sz val="9"/>
            <color indexed="81"/>
            <rFont val="Tahoma"/>
            <family val="2"/>
          </rPr>
          <t>520 caps</t>
        </r>
        <r>
          <rPr>
            <sz val="9"/>
            <color indexed="81"/>
            <rFont val="Tahoma"/>
            <family val="2"/>
          </rPr>
          <t xml:space="preserve">
</t>
        </r>
      </text>
    </comment>
    <comment ref="K86" authorId="0">
      <text>
        <r>
          <rPr>
            <b/>
            <sz val="9"/>
            <color indexed="81"/>
            <rFont val="Tahoma"/>
            <family val="2"/>
          </rPr>
          <t>780 caps</t>
        </r>
        <r>
          <rPr>
            <sz val="9"/>
            <color indexed="81"/>
            <rFont val="Tahoma"/>
            <family val="2"/>
          </rPr>
          <t xml:space="preserve">
</t>
        </r>
      </text>
    </comment>
    <comment ref="M86" authorId="0">
      <text>
        <r>
          <rPr>
            <b/>
            <sz val="9"/>
            <color indexed="81"/>
            <rFont val="Tahoma"/>
            <family val="2"/>
          </rPr>
          <t>520 caps</t>
        </r>
        <r>
          <rPr>
            <sz val="9"/>
            <color indexed="81"/>
            <rFont val="Tahoma"/>
            <family val="2"/>
          </rPr>
          <t xml:space="preserve">
</t>
        </r>
      </text>
    </comment>
    <comment ref="O86" authorId="0">
      <text>
        <r>
          <rPr>
            <b/>
            <sz val="9"/>
            <color indexed="81"/>
            <rFont val="Tahoma"/>
            <family val="2"/>
          </rPr>
          <t>780 caps</t>
        </r>
        <r>
          <rPr>
            <sz val="9"/>
            <color indexed="81"/>
            <rFont val="Tahoma"/>
            <family val="2"/>
          </rPr>
          <t xml:space="preserve">
</t>
        </r>
      </text>
    </comment>
    <comment ref="F88" authorId="0">
      <text>
        <r>
          <rPr>
            <b/>
            <sz val="9"/>
            <color indexed="81"/>
            <rFont val="Tahoma"/>
            <family val="2"/>
          </rPr>
          <t>Depósitos y Farmacias Hospitalarias 
32 Productos
Mesa de trabajo
Banqueta
Escritorio
Silla
Armario metálico 1,5m con llave
Zorras
Carretilla vertical.
Carro para picking.
"Carro hospitalario para transportar medicamentos e insumos"
Termoselladores.
Contenedores de piso para residuos de medicamentos
Dataloggers o similar, con sistema de registro.
Refrigeradores para medicamentos.
Grupo electrógeno
Luces de emergencia.
Soportes para matafuegos
Kit antiderrame
Botiquín de primeros auxilios
Gavetas (cajas para stock de unido10s)
Gaveteros
Canastos con ruedas apilables 
Canastos plásticos (cesto de preparación)
Cajón reforzado apilable embonable
cajón ventilado reforzado
Computadora
Impresora laser
Rotuladora: Impresora de etiquetas
Lectoras GS1-Datamatrix y Código de Barras
Colectoras GS1-Datamatrix y Código de Barras
Equipo frío/calor 
Estantería metálica 0.9m</t>
        </r>
      </text>
    </comment>
  </commentList>
</comments>
</file>

<file path=xl/comments2.xml><?xml version="1.0" encoding="utf-8"?>
<comments xmlns="http://schemas.openxmlformats.org/spreadsheetml/2006/main">
  <authors>
    <author>malvarezgelves</author>
  </authors>
  <commentList>
    <comment ref="C20" authorId="0">
      <text>
        <r>
          <rPr>
            <b/>
            <sz val="8"/>
            <color indexed="81"/>
            <rFont val="Tahoma"/>
            <charset val="1"/>
          </rPr>
          <t>malvarezgelves:</t>
        </r>
        <r>
          <rPr>
            <sz val="8"/>
            <color indexed="81"/>
            <rFont val="Tahoma"/>
            <charset val="1"/>
          </rPr>
          <t xml:space="preserve">
Se considerea ejecucion al momento de la rendicion. Se consideró 60% 1era conv. (3er trim 17) 
La rendicion esta prevista a los 4 meses de la conv.</t>
        </r>
      </text>
    </comment>
    <comment ref="C30" authorId="0">
      <text>
        <r>
          <rPr>
            <b/>
            <sz val="8"/>
            <color indexed="81"/>
            <rFont val="Tahoma"/>
            <charset val="1"/>
          </rPr>
          <t>malvarezgelves:</t>
        </r>
        <r>
          <rPr>
            <sz val="8"/>
            <color indexed="81"/>
            <rFont val="Tahoma"/>
            <charset val="1"/>
          </rPr>
          <t xml:space="preserve">
Consultores financiados por esta operación a partir del 1/7/2017</t>
        </r>
      </text>
    </comment>
  </commentList>
</comments>
</file>

<file path=xl/comments3.xml><?xml version="1.0" encoding="utf-8"?>
<comments xmlns="http://schemas.openxmlformats.org/spreadsheetml/2006/main">
  <authors>
    <author>pluque</author>
  </authors>
  <commentList>
    <comment ref="I92" authorId="0">
      <text>
        <r>
          <rPr>
            <b/>
            <sz val="9"/>
            <color indexed="81"/>
            <rFont val="Tahoma"/>
            <family val="2"/>
          </rPr>
          <t>520 caps</t>
        </r>
        <r>
          <rPr>
            <sz val="9"/>
            <color indexed="81"/>
            <rFont val="Tahoma"/>
            <family val="2"/>
          </rPr>
          <t xml:space="preserve">
</t>
        </r>
      </text>
    </comment>
    <comment ref="L92" authorId="0">
      <text>
        <r>
          <rPr>
            <b/>
            <sz val="9"/>
            <color indexed="81"/>
            <rFont val="Tahoma"/>
            <family val="2"/>
          </rPr>
          <t>780 caps</t>
        </r>
        <r>
          <rPr>
            <sz val="9"/>
            <color indexed="81"/>
            <rFont val="Tahoma"/>
            <family val="2"/>
          </rPr>
          <t xml:space="preserve">
</t>
        </r>
      </text>
    </comment>
    <comment ref="F94" authorId="0">
      <text>
        <r>
          <rPr>
            <b/>
            <sz val="9"/>
            <color indexed="81"/>
            <rFont val="Tahoma"/>
            <family val="2"/>
          </rPr>
          <t>Depósitos y Farmacias Hospitalarias 
32 Productos
Mesa de trabajo
Banqueta
Escritorio
Silla
Armario metálico 1,5m con llave
Zorras
Carretilla vertical.
Carro para picking.
"Carro hospitalario para transportar medicamentos e insumos"
Termoselladores.
Contenedores de piso para residuos de medicamentos
Dataloggers o similar, con sistema de registro.
Refrigeradores para medicamentos.
Grupo electrógeno
Luces de emergencia.
Soportes para matafuegos
Kit antiderrame
Botiquín de primeros auxilios
Gavetas (cajas para stock de unido10s)
Gaveteros
Canastos con ruedas apilables 
Canastos plásticos (cesto de preparación)
Cajón reforzado apilable embonable
cajón ventilado reforzado
Computadora
Impresora laser
Rotuladora: Impresora de etiquetas
Lectoras GS1-Datamatrix y Código de Barras
Colectoras GS1-Datamatrix y Código de Barras
Equipo frío/calor 
Estantería metálica 0.9m</t>
        </r>
      </text>
    </comment>
  </commentList>
</comments>
</file>

<file path=xl/sharedStrings.xml><?xml version="1.0" encoding="utf-8"?>
<sst xmlns="http://schemas.openxmlformats.org/spreadsheetml/2006/main" count="5017" uniqueCount="554">
  <si>
    <t>Colonoscopios</t>
  </si>
  <si>
    <t>Recursos Humanos</t>
  </si>
  <si>
    <t>Año 1</t>
  </si>
  <si>
    <t>Año 2</t>
  </si>
  <si>
    <t>Año 3</t>
  </si>
  <si>
    <t>Equipamiento e Insumos</t>
  </si>
  <si>
    <t>Reembolso de Gastos</t>
  </si>
  <si>
    <t>Capacitaciones</t>
  </si>
  <si>
    <t>Catering</t>
  </si>
  <si>
    <t>Honorarios capacitadores</t>
  </si>
  <si>
    <t>Impresiones</t>
  </si>
  <si>
    <t>Pasajes y viáticos</t>
  </si>
  <si>
    <t>Insumos Colonoscopias</t>
  </si>
  <si>
    <t>TSOMF</t>
  </si>
  <si>
    <t>Material de difusión y capacitación</t>
  </si>
  <si>
    <t>Kits de Inmunohistoquímica</t>
  </si>
  <si>
    <t xml:space="preserve">Registradores </t>
  </si>
  <si>
    <t>Computadoras</t>
  </si>
  <si>
    <t>Software para análisis de datos</t>
  </si>
  <si>
    <t>Impresiones para relevamiento de datos</t>
  </si>
  <si>
    <t>Publicaciones y material de difusión</t>
  </si>
  <si>
    <t>Insumos</t>
  </si>
  <si>
    <t>Equipamiento</t>
  </si>
  <si>
    <t>Tablets</t>
  </si>
  <si>
    <t>Capacitación a Navegadoras</t>
  </si>
  <si>
    <t>Desarrollo informático</t>
  </si>
  <si>
    <t>Consultoría para el desarrollo del Web Service</t>
  </si>
  <si>
    <t>Actividades de implementación</t>
  </si>
  <si>
    <t>Consultoria para el desarrollo de la plataforma virtual</t>
  </si>
  <si>
    <t>Consultoria para articulación con el programa SUMAR</t>
  </si>
  <si>
    <t>1 Consultor experto I-IV</t>
  </si>
  <si>
    <t>Capacitaciones para el fortalecimiento de APS</t>
  </si>
  <si>
    <t>Material de comunicación</t>
  </si>
  <si>
    <t>Soporte gráfico y audiovisual para contribuir a las tareas de los equipos de salud</t>
  </si>
  <si>
    <t>Pasajes y viaticos</t>
  </si>
  <si>
    <t>Test de VPH</t>
  </si>
  <si>
    <t>Reembolso de gastos</t>
  </si>
  <si>
    <t>1 - FORTALECIMIENTO DEL REGISTRO</t>
  </si>
  <si>
    <t>Planillas de relevamientos de datos - historias clínicas</t>
  </si>
  <si>
    <t>Diseño grafico e impresión</t>
  </si>
  <si>
    <t>Desarrollo de aplicación movil</t>
  </si>
  <si>
    <t>Para capacitación de los RRHH involucrados en el RITA</t>
  </si>
  <si>
    <t>15 celulares smart phones</t>
  </si>
  <si>
    <t>CCR - Desarrolladores (aplicativo movil)</t>
  </si>
  <si>
    <t>CCR - consultores para nivel central (aplicativo movil)</t>
  </si>
  <si>
    <t xml:space="preserve">Impresiones </t>
  </si>
  <si>
    <t>Para capacitación de las nuevas jurisdicciones incorporadas</t>
  </si>
  <si>
    <t xml:space="preserve">80 tablets </t>
  </si>
  <si>
    <t>1.3.2 AMPLIACIÓN DEL TAMIZAJE CON TEST DE VPH</t>
  </si>
  <si>
    <t>3.1 Navegadoras</t>
  </si>
  <si>
    <t>3.2 Redes integradas y apoyo a las consejerias</t>
  </si>
  <si>
    <t>20 Pc, 50 notebooks y 10 tablets</t>
  </si>
  <si>
    <t>desarrollo de software</t>
  </si>
  <si>
    <t>60 notebooks</t>
  </si>
  <si>
    <t>Otros gastos</t>
  </si>
  <si>
    <t>Asistente administrativo</t>
  </si>
  <si>
    <t>Consultor para capacitaciones y asistencias técnicas</t>
  </si>
  <si>
    <t>Desarrollo informatico</t>
  </si>
  <si>
    <t>Consultor desarrollo estrategia integral de evaluaciones del Programa y coordinación de monitoreo</t>
  </si>
  <si>
    <t>Coordinador para seguimiento de tablero de control</t>
  </si>
  <si>
    <t>1.1 - RITA</t>
  </si>
  <si>
    <t>Subcoordinador médico</t>
  </si>
  <si>
    <t>Diseñador grafico</t>
  </si>
  <si>
    <t>Asistente técnico para la coordinación de Formación de Recursos Humanos</t>
  </si>
  <si>
    <t>Consultor en administración presupuestaria</t>
  </si>
  <si>
    <t>Asistente administrativo del Programa de Control de Cáncer de Mama</t>
  </si>
  <si>
    <t>Asistente Técnico Administrativo</t>
  </si>
  <si>
    <t>Auxiliar Administrativo</t>
  </si>
  <si>
    <t>Técnico Administrativo para eventos institucionales</t>
  </si>
  <si>
    <t>Consultor en Evaluación de Tecnologías Sanitarias</t>
  </si>
  <si>
    <t>Asistente Técnico Administrativo en Tecnologías Sanitarias e Investigación</t>
  </si>
  <si>
    <t xml:space="preserve">1.2 - ROHA </t>
  </si>
  <si>
    <t>Compra de reactivos de IHQ</t>
  </si>
  <si>
    <t>3 ESTRATEGIA NAVEGADORAS Y FORTALECIMIENTO DE REDES</t>
  </si>
  <si>
    <t>Equipo coordinador de capacitaciones a nivel central</t>
  </si>
  <si>
    <t>Manual de cuidados paliativos</t>
  </si>
  <si>
    <t>Capacitación a las provincias</t>
  </si>
  <si>
    <t>Realización de mesas de gestión y acciones de monitoreo</t>
  </si>
  <si>
    <t xml:space="preserve">70 tablets </t>
  </si>
  <si>
    <t>Material audiovisual</t>
  </si>
  <si>
    <t>Destinados a la capacitacion de los equipos de APS</t>
  </si>
  <si>
    <t>Consultoría para diseño de materiales</t>
  </si>
  <si>
    <t>Consultores para estrategia de capacitación</t>
  </si>
  <si>
    <t>Reembolsos de gastos</t>
  </si>
  <si>
    <t>Registradores</t>
  </si>
  <si>
    <t xml:space="preserve">Navegadores </t>
  </si>
  <si>
    <t>Para el fortalecimiento de registros ROHA</t>
  </si>
  <si>
    <t>Compra de insumos para 13 jurisdicciones</t>
  </si>
  <si>
    <t>Capacitaciones a los equipos de los programas provinciales</t>
  </si>
  <si>
    <t>Desarrollo de red de referencia y contrareferencia</t>
  </si>
  <si>
    <t>Formularios SITAM</t>
  </si>
  <si>
    <t>Desarrollo para el mejoramiento del SITAM</t>
  </si>
  <si>
    <t>En concepto de plan de salud, seguro de vida y accidentes</t>
  </si>
  <si>
    <t>4.1 Capacitación</t>
  </si>
  <si>
    <t>Aplicación para celulares para el apoyo de las consultas médicas de consejería de evaluación de antecedentes y riesgo del cáncer</t>
  </si>
  <si>
    <t>5 PROYECTO PILOTO DE CUIDADOS PALIATIVOS</t>
  </si>
  <si>
    <t>4 FORTALECIMIENTO DEL PRIMER NIVEL DE ATENCIÓN - CAPACITACIÓN</t>
  </si>
  <si>
    <t>4.2 Desarrollo de una aplicación para médicos para la estratificación del riesgo del cáncer</t>
  </si>
  <si>
    <t>1.3 - SITAM</t>
  </si>
  <si>
    <t>1.3.3 APLICATIVO MOVIL SITAM</t>
  </si>
  <si>
    <t>1 Consultor I-IV - Locación de servicio</t>
  </si>
  <si>
    <t>1 Consultor experto I-IV - Locación de servicio</t>
  </si>
  <si>
    <t>1 Coordinador I-IV - Locación de servicio</t>
  </si>
  <si>
    <t>6  Consultores experto I-IV - Locación de servicio</t>
  </si>
  <si>
    <t>2 Consultor experto I-VI - Locación de obra</t>
  </si>
  <si>
    <t>12 Consultor experto I-IV - Locación de servicio</t>
  </si>
  <si>
    <t>8 Asistente III - Consultor I - Locación de servicio</t>
  </si>
  <si>
    <t>Entrenamiento en manejo de efectos adversos de opioides - Acuerdo de obra y/o Locación de obra</t>
  </si>
  <si>
    <t>Destinados a la capacitacion de los equipos de APS - Acuerdo de obra y/o Locación de obra</t>
  </si>
  <si>
    <t>Para 16 capacitaciones en servicio  - Acuerdo de obra y/o Locación de obra</t>
  </si>
  <si>
    <t>Para capacitación de los RRHH involucrados en el RITA - Acuerdo de obra y/o Locación de obra</t>
  </si>
  <si>
    <t>Para el fortalecimiento de registros ROHA - Acuerdo de obra y/o Locación de obra</t>
  </si>
  <si>
    <t>Honorarios para docentes de clases virtuales - Acuerdo de obra y/o Locación de obra</t>
  </si>
  <si>
    <t>2 Consultores experto I-IV - Locación de servicio</t>
  </si>
  <si>
    <t xml:space="preserve">Jornada de validación y presentación de la propuesta elaborada con referentes provinciales y expertos en cuidados paliativos </t>
  </si>
  <si>
    <t>Notebook</t>
  </si>
  <si>
    <t>6 Notebook para implementar historia clinica digital</t>
  </si>
  <si>
    <t>4 consultores para relevamiento y elaboración de documento final  - Consultor experto I-IV - Locación de servicio</t>
  </si>
  <si>
    <t xml:space="preserve">4 Consultores para elaboración instrumentos, realización de entrevistas y encuestas y redacción de documentos conceptual y análisis.   </t>
  </si>
  <si>
    <t>L.O. Consultor experto I-IV oConsultoría o Acuerdo de Obra</t>
  </si>
  <si>
    <t>1.3.1 -  Expansión en la implementación de SITAM</t>
  </si>
  <si>
    <t>2 EXPANSIÓN DEL PROYECTO PILOTO CCR</t>
  </si>
  <si>
    <r>
      <t xml:space="preserve">2 en cada una de las 24 provincias a implemetarse la cobertura </t>
    </r>
    <r>
      <rPr>
        <b/>
        <sz val="11"/>
        <color theme="1"/>
        <rFont val="Calibri"/>
        <family val="2"/>
        <scheme val="minor"/>
      </rPr>
      <t>(su adquisicion se encuentra planificada en el prestamo BIRF 8506)</t>
    </r>
  </si>
  <si>
    <t>1 consultor para la elaboracion de la canasta - Consultor experto I-IV - Locación de Obra</t>
  </si>
  <si>
    <t xml:space="preserve">BID </t>
  </si>
  <si>
    <t xml:space="preserve">LOCAL </t>
  </si>
  <si>
    <t xml:space="preserve">MSAL </t>
  </si>
  <si>
    <t xml:space="preserve">Periodo </t>
  </si>
  <si>
    <t xml:space="preserve">Precio Unitario </t>
  </si>
  <si>
    <t xml:space="preserve">Matriz de Costeo Multifase - Fase II </t>
  </si>
  <si>
    <t xml:space="preserve">USD </t>
  </si>
  <si>
    <t xml:space="preserve">INC </t>
  </si>
  <si>
    <t xml:space="preserve">Consultoria Individual </t>
  </si>
  <si>
    <t>Equipamiento informático</t>
  </si>
  <si>
    <t xml:space="preserve">Firma Consultora </t>
  </si>
  <si>
    <t>Material Gráfico</t>
  </si>
  <si>
    <t xml:space="preserve">Capacitación </t>
  </si>
  <si>
    <t xml:space="preserve">Gastos Operativos </t>
  </si>
  <si>
    <t>Insumos Médicos</t>
  </si>
  <si>
    <t xml:space="preserve">Equipamiento Médico </t>
  </si>
  <si>
    <t xml:space="preserve">Total INC </t>
  </si>
  <si>
    <t xml:space="preserve">REDES </t>
  </si>
  <si>
    <t>Decisión Administrativa n° 607/2015</t>
  </si>
  <si>
    <t>FUNCIÓN</t>
  </si>
  <si>
    <t>RANGO</t>
  </si>
  <si>
    <t>I</t>
  </si>
  <si>
    <t>II</t>
  </si>
  <si>
    <t>III</t>
  </si>
  <si>
    <t>IV</t>
  </si>
  <si>
    <t>Responsable de Proyectos</t>
  </si>
  <si>
    <t>Coordinador</t>
  </si>
  <si>
    <t>Consultor Experto</t>
  </si>
  <si>
    <t>Consultor</t>
  </si>
  <si>
    <t xml:space="preserve">Pesos </t>
  </si>
  <si>
    <t>TOTAL</t>
  </si>
  <si>
    <t>TC 15</t>
  </si>
  <si>
    <t>Administrativo</t>
  </si>
  <si>
    <t>14 Consultor I - Locación de servicio</t>
  </si>
  <si>
    <t>1 Consultor II - Locación de servicio</t>
  </si>
  <si>
    <t>1 Auxiliar administrativo III - Locación de servicio</t>
  </si>
  <si>
    <t>Registradores (Multifase II)</t>
  </si>
  <si>
    <t>50 Consultor I-IV - Locación de servicio</t>
  </si>
  <si>
    <t>Profesional formado en epidemiología para gestión y monitoreo (RRHH nivel central - Multifase II)</t>
  </si>
  <si>
    <t>1 Consultor Experto I-IV - Locación de servicio</t>
  </si>
  <si>
    <t>Médico oncólogo para revisión de tratamientos específicos  (RRHH nivel central - Multifase II)</t>
  </si>
  <si>
    <t>Sociólogo para evaluación y seguimiento del impacto del RITA (RRHH nivel central - Multifase II)</t>
  </si>
  <si>
    <t>1 Consultor III - Locación de servicio</t>
  </si>
  <si>
    <t>3 Consultor experto I- Locación de servicio</t>
  </si>
  <si>
    <t>Consultor para capacitaciones y asistencias técnicas (Multifase II)</t>
  </si>
  <si>
    <t xml:space="preserve">Consultor desarrollo estrategia integral de evaluaciones del Programa y coordinación de monitoreo </t>
  </si>
  <si>
    <t>1 Consultor Experto III - Locación de servicio</t>
  </si>
  <si>
    <t xml:space="preserve">3 Consultor Experto II - Locación de servicio </t>
  </si>
  <si>
    <t>Desarrollo informatico (Multifase II)</t>
  </si>
  <si>
    <t xml:space="preserve">1 Consultor Experto II - Locación de servicio </t>
  </si>
  <si>
    <t>1 Coordinador I- Locación de servicio</t>
  </si>
  <si>
    <t>Gastos de taller y capacitación</t>
  </si>
  <si>
    <t>5  Consultor I - Locación de servicio</t>
  </si>
  <si>
    <t>33 Consultor I - Locación de servicio</t>
  </si>
  <si>
    <t>2 Auxiliar administrativo III - Locación de servicio</t>
  </si>
  <si>
    <t>57 Consultor I - Locación de servicio</t>
  </si>
  <si>
    <t>1 Consultor IV - Locación de servicio</t>
  </si>
  <si>
    <t>6 Consultores expertos I - Locación de servicio</t>
  </si>
  <si>
    <t>2 Consultores expertos III - Locación de servicio</t>
  </si>
  <si>
    <t>1 Consultores expertos IV - Locación de servicio</t>
  </si>
  <si>
    <t>1 Consultor experto III - Locación de servicio</t>
  </si>
  <si>
    <t>1 Consultor experto IV - Locación de servicio</t>
  </si>
  <si>
    <t>Consultor para mantenimiento (Multifase II)</t>
  </si>
  <si>
    <t>Coordinador para seguimiento de tablero de control (Multifase II)</t>
  </si>
  <si>
    <t>1 Consultor experto II - Locación de servicio</t>
  </si>
  <si>
    <t>Consultor administrativo contable (Multifase II)</t>
  </si>
  <si>
    <t>1 consultor IV - Locación de servicio</t>
  </si>
  <si>
    <t>1 Consultores I - Locación de servicio</t>
  </si>
  <si>
    <t>1 Consultores III - Locación de servicio</t>
  </si>
  <si>
    <t>1 Consultor I- Locación de servicio</t>
  </si>
  <si>
    <t>3 Consultor III- Locación de servicio</t>
  </si>
  <si>
    <t>1 Consultor IV- Locación de servicio</t>
  </si>
  <si>
    <t>1 consultor III- Locación de servicio</t>
  </si>
  <si>
    <t>Consultores para coordinación de capacitaciones (Multifase II)</t>
  </si>
  <si>
    <t>3 consultor I-IV - Locación de obra</t>
  </si>
  <si>
    <t>Consultores para coordinación de capacitaciones y monitoreo (Multifase II)</t>
  </si>
  <si>
    <t>Data Entry (Multifase II)</t>
  </si>
  <si>
    <r>
      <t xml:space="preserve">Asas, pinzas  </t>
    </r>
    <r>
      <rPr>
        <b/>
        <sz val="11"/>
        <color theme="1"/>
        <rFont val="Calibri"/>
        <family val="2"/>
        <scheme val="minor"/>
      </rPr>
      <t>(su adquisicion se encuentra planificada en el prestamo BIRF 8506)</t>
    </r>
  </si>
  <si>
    <t>Inyectores</t>
  </si>
  <si>
    <r>
      <t xml:space="preserve">Tamizaje del CCR a implementarse en las 24 provincias  </t>
    </r>
    <r>
      <rPr>
        <b/>
        <sz val="11"/>
        <color theme="1"/>
        <rFont val="Calibri"/>
        <family val="2"/>
        <scheme val="minor"/>
      </rPr>
      <t>(su adquisicion se encuentra planificada en el prestamo BIRF 8506)</t>
    </r>
  </si>
  <si>
    <t>4 Consultores I- Locación de servicio</t>
  </si>
  <si>
    <t>Navegadores (Multifase II)</t>
  </si>
  <si>
    <t>100 Consultores I - Locación de servicio (Multifase II)</t>
  </si>
  <si>
    <t>2 Consultores expertos II - Locación de servicio</t>
  </si>
  <si>
    <t>Destinados a la capacitacion de los equipos de APS - Locación de obra</t>
  </si>
  <si>
    <t>Locación de obra</t>
  </si>
  <si>
    <t>Consultor para monitoreo de instituciones y agentes sanitarios (Multifase II)</t>
  </si>
  <si>
    <t>Coordinador de capacitaciones (Multifase II)</t>
  </si>
  <si>
    <t>Promover la provisión publica de opioides orales y de un maletin de medicamentos esenciales (Multifase II)</t>
  </si>
  <si>
    <t>Establecer un conjunto de prácticas/recursos indispensables para reducir la prevalencia de dolor y otros síntomas prevalentes por cáncer.  (Multifase II)</t>
  </si>
  <si>
    <t>Capacitaciones y asistencias tecnicas para la implementacion de estrategias en el ambito hospitalario (Multifase II)</t>
  </si>
  <si>
    <t xml:space="preserve">Reembolso de Gastos </t>
  </si>
  <si>
    <t>Desarrollo de una aplicación para médicos para la estratificación del riesgo del cáncer</t>
  </si>
  <si>
    <t>CUIDADOS PALIATIVOS</t>
  </si>
  <si>
    <t>REDES</t>
  </si>
  <si>
    <t>1.- INCENTIVOS</t>
  </si>
  <si>
    <r>
      <rPr>
        <b/>
        <sz val="11"/>
        <rFont val="Calibri"/>
        <family val="2"/>
        <scheme val="minor"/>
      </rPr>
      <t>INC 1 T 1</t>
    </r>
    <r>
      <rPr>
        <sz val="11"/>
        <rFont val="Calibri"/>
        <family val="2"/>
        <scheme val="minor"/>
      </rPr>
      <t xml:space="preserve">  - Elaboración del Proyecto y Firma del CG, incluye acuerdo de inversión en readecuación y equipamiento en al menos 25 % de los CAPS, para implementar en pcias. con CAPS municipalizados.</t>
    </r>
  </si>
  <si>
    <t>Transferencia</t>
  </si>
  <si>
    <r>
      <rPr>
        <b/>
        <sz val="11"/>
        <rFont val="Calibri"/>
        <family val="2"/>
        <scheme val="minor"/>
      </rPr>
      <t>INC 1  T 2</t>
    </r>
    <r>
      <rPr>
        <sz val="11"/>
        <rFont val="Calibri"/>
        <family val="2"/>
        <scheme val="minor"/>
      </rPr>
      <t xml:space="preserve"> - Presentación de 15% de efectores readecuados según criterios acordados en el T1</t>
    </r>
  </si>
  <si>
    <r>
      <rPr>
        <b/>
        <sz val="11"/>
        <rFont val="Calibri"/>
        <family val="2"/>
        <scheme val="minor"/>
      </rPr>
      <t>INC 2 T 1</t>
    </r>
    <r>
      <rPr>
        <sz val="11"/>
        <rFont val="Calibri"/>
        <family val="2"/>
        <scheme val="minor"/>
      </rPr>
      <t xml:space="preserve">  - Medición  de los indicadores de fortalecimiento de redes de salud para R3 (al año de la firma del convenio)</t>
    </r>
  </si>
  <si>
    <r>
      <rPr>
        <b/>
        <sz val="11"/>
        <rFont val="Calibri"/>
        <family val="2"/>
        <scheme val="minor"/>
      </rPr>
      <t>INC 2 T 2</t>
    </r>
    <r>
      <rPr>
        <sz val="11"/>
        <rFont val="Calibri"/>
        <family val="2"/>
        <scheme val="minor"/>
      </rPr>
      <t xml:space="preserve"> - En el caso de avance en un 10% de la totalidad de la red</t>
    </r>
  </si>
  <si>
    <r>
      <rPr>
        <b/>
        <sz val="11"/>
        <rFont val="Calibri"/>
        <family val="2"/>
        <scheme val="minor"/>
      </rPr>
      <t>INC 2 T 3</t>
    </r>
    <r>
      <rPr>
        <sz val="11"/>
        <rFont val="Calibri"/>
        <family val="2"/>
        <scheme val="minor"/>
      </rPr>
      <t xml:space="preserve"> -  Alcanzar el 65% de la meta sobre la base de redes 3 en los indicadores de fortalecimiento de redes de salud</t>
    </r>
  </si>
  <si>
    <r>
      <rPr>
        <b/>
        <sz val="11"/>
        <rFont val="Calibri"/>
        <family val="2"/>
        <scheme val="minor"/>
      </rPr>
      <t>INC 3 T 1</t>
    </r>
    <r>
      <rPr>
        <sz val="11"/>
        <rFont val="Calibri"/>
        <family val="2"/>
        <scheme val="minor"/>
      </rPr>
      <t xml:space="preserve"> - Implementación de al menos 15% de la Estrategia Comunicacional  de acciones  sanitarias con la comunidad, en forma conjunta con el Área de Comunicación del Ministerio Provincial</t>
    </r>
  </si>
  <si>
    <r>
      <rPr>
        <b/>
        <sz val="11"/>
        <rFont val="Calibri"/>
        <family val="2"/>
        <scheme val="minor"/>
      </rPr>
      <t xml:space="preserve">INC 3 T 2 </t>
    </r>
    <r>
      <rPr>
        <sz val="11"/>
        <rFont val="Calibri"/>
        <family val="2"/>
        <scheme val="minor"/>
      </rPr>
      <t>- Implementación de al menos 35% de la Estrategia Comunicacional  de acciones  sanitarias con la comunidad, en forma conjunta con el Área de Comunicación del Ministerio Provincial</t>
    </r>
  </si>
  <si>
    <r>
      <rPr>
        <b/>
        <sz val="11"/>
        <rFont val="Calibri"/>
        <family val="2"/>
        <scheme val="minor"/>
      </rPr>
      <t>INC 4 T 1</t>
    </r>
    <r>
      <rPr>
        <sz val="11"/>
        <rFont val="Calibri"/>
        <family val="2"/>
        <scheme val="minor"/>
      </rPr>
      <t xml:space="preserve"> - Consolidación de un equipo de formación provincial certificado por la UEC</t>
    </r>
  </si>
  <si>
    <r>
      <rPr>
        <b/>
        <sz val="11"/>
        <rFont val="Calibri"/>
        <family val="2"/>
        <scheme val="minor"/>
      </rPr>
      <t>INC 4 T 2</t>
    </r>
    <r>
      <rPr>
        <sz val="11"/>
        <rFont val="Calibri"/>
        <family val="2"/>
        <scheme val="minor"/>
      </rPr>
      <t xml:space="preserve"> - Capacitación de al menos 2 ( dos ) trabajadores por CAPS de la red nueva (promedio)</t>
    </r>
  </si>
  <si>
    <r>
      <rPr>
        <b/>
        <sz val="11"/>
        <rFont val="Calibri"/>
        <family val="2"/>
        <scheme val="minor"/>
      </rPr>
      <t>INC 5 T 1</t>
    </r>
    <r>
      <rPr>
        <sz val="11"/>
        <rFont val="Calibri"/>
        <family val="2"/>
        <scheme val="minor"/>
      </rPr>
      <t xml:space="preserve"> - Listados con identificación de las personas adultas nominalizadas y discrimación de condiciones como Hta, Diabetes, ECNT y otras de riesgo o vulnerabilidad en el 50% de los efectores</t>
    </r>
  </si>
  <si>
    <r>
      <rPr>
        <b/>
        <sz val="11"/>
        <rFont val="Calibri"/>
        <family val="2"/>
        <scheme val="minor"/>
      </rPr>
      <t>INC 5 T 2</t>
    </r>
    <r>
      <rPr>
        <sz val="11"/>
        <rFont val="Calibri"/>
        <family val="2"/>
        <scheme val="minor"/>
      </rPr>
      <t xml:space="preserve"> - Listados con identificación de las personas adultas nominalizadas y discrimación de condiciones como Hta, Diabetes, ECNT y otras de riesgo o vulnerabilidad (100% CAPS)</t>
    </r>
  </si>
  <si>
    <t>2.-PROYECTOS INNOVADORES</t>
  </si>
  <si>
    <t xml:space="preserve">Proyectos  innovadores  que potencien  acciones promotoras de redes de salud </t>
  </si>
  <si>
    <t>Propuestas Pcias que incentiven la transferencia de conocimiento aplicable y el uso de la innovación tecnológica</t>
  </si>
  <si>
    <t>3 años</t>
  </si>
  <si>
    <t>Honorarios Comité de expertos</t>
  </si>
  <si>
    <t>comité de evaluación de propuestas</t>
  </si>
  <si>
    <t>Consultoria Individual- LO</t>
  </si>
  <si>
    <t>seguimiento  y monitoreo de ejecución</t>
  </si>
  <si>
    <t>pasajes y viaticos</t>
  </si>
  <si>
    <t>3.- PILOTO DE CERTIFICACIÓN</t>
  </si>
  <si>
    <t xml:space="preserve">Gastos planificados varios para llevar adelante el proyecto piloto </t>
  </si>
  <si>
    <t>Gastos elegibles</t>
  </si>
  <si>
    <t>4.- INVESTIGACIÓN</t>
  </si>
  <si>
    <t>Encuesta de Factores de riesgo / Sobremuestra</t>
  </si>
  <si>
    <t>UFIS 20% de costo de la encuesta de ENFR</t>
  </si>
  <si>
    <t xml:space="preserve">Diabetes </t>
  </si>
  <si>
    <t>Firmas consultoras</t>
  </si>
  <si>
    <t>Riesgo Cardiovascular</t>
  </si>
  <si>
    <t>Innovaciòn en cuidados del adulto y enf. Crònicas</t>
  </si>
  <si>
    <t>TICs aplicados a los servicios de salud en red</t>
  </si>
  <si>
    <t>5.- RECURSOS HUMANOS</t>
  </si>
  <si>
    <t>Coordinador General de Redes</t>
  </si>
  <si>
    <t>Responsable de Proyecto II</t>
  </si>
  <si>
    <t>Staff de Coordinación Mesa de entradas y Apoyo a la Coordinación General de Redes</t>
  </si>
  <si>
    <t>Consultor I a Consultor IV</t>
  </si>
  <si>
    <t>Staff de Apoyo de la Coordinación General de Redes</t>
  </si>
  <si>
    <t>Consultor III a Consultor Experto I</t>
  </si>
  <si>
    <t>Asesor Legal</t>
  </si>
  <si>
    <t>Coordinador III a  Responsable de Proyecto I</t>
  </si>
  <si>
    <t>Responsable de la Unidad de Gestión Jurisdiccional</t>
  </si>
  <si>
    <t>Staff de Apoyo de la Unidad de Gestión Jurisdiccional</t>
  </si>
  <si>
    <t>Consutor I a Consultor experto I</t>
  </si>
  <si>
    <t>Responsable Operativo Regional</t>
  </si>
  <si>
    <t>Consultor Experto III a Coordinador I</t>
  </si>
  <si>
    <t>Staff Técnico del Área de Seguimiento Jurisdiccional</t>
  </si>
  <si>
    <t>Consultor IV a  Consultor Experto IV</t>
  </si>
  <si>
    <t>Staff de Apoyo del Área de Gestión jurisdiccional</t>
  </si>
  <si>
    <t>Responsable  del Área de Auditoría</t>
  </si>
  <si>
    <t>Consultor Experto III a  Coordinador I</t>
  </si>
  <si>
    <t>Staff Técnico del Área de Auditoría</t>
  </si>
  <si>
    <t>Consultor Experto I a Consultor Experto III</t>
  </si>
  <si>
    <t>Responsable UGJ</t>
  </si>
  <si>
    <t>Consultor Experto IV a Coordinador III</t>
  </si>
  <si>
    <t>Responsable  del Área de Microgestión</t>
  </si>
  <si>
    <t>Coordinador I a Coordinador IV</t>
  </si>
  <si>
    <t xml:space="preserve">Staff de Seguimiento a la Microgestión </t>
  </si>
  <si>
    <t>Consultor II a Consultor Experto I</t>
  </si>
  <si>
    <t>Staff Asistente de la unidad  de Microgestión</t>
  </si>
  <si>
    <t>Administrativo III a Consultor III</t>
  </si>
  <si>
    <t>Staff de Microgestión Jurisdiccional</t>
  </si>
  <si>
    <t>Referente médico de microgestión</t>
  </si>
  <si>
    <t>Consultor IV a Consultor Experto III</t>
  </si>
  <si>
    <t>Agente Sanitario de microgestión</t>
  </si>
  <si>
    <t>Responsable de la Unidad de Fortalecimiento de Competencias de Equipos de Salud</t>
  </si>
  <si>
    <t>Staff de Apoyo de la Unidad de Fortalecimiento de Competencias del Equipo de Salud</t>
  </si>
  <si>
    <t>Tutor Docente Curso</t>
  </si>
  <si>
    <t>Consultor III  a Consultor Experto III</t>
  </si>
  <si>
    <t>Responsable  del Área de Comunicación en Redes de Salud</t>
  </si>
  <si>
    <t>Consultor Experto Iii  a Coordinador II</t>
  </si>
  <si>
    <t>Staff Técnico del Área de Comunicación en Redes de Salud</t>
  </si>
  <si>
    <t>Consultor Experto I a Consultor Experto IV</t>
  </si>
  <si>
    <t>Responsable del Unidad de Planificación y Administración</t>
  </si>
  <si>
    <t>Responsable de Area Administración</t>
  </si>
  <si>
    <t>Consultor Experto IV a Coordinador II</t>
  </si>
  <si>
    <t>Staff de Apoyo del Unidad de   Planificación y Administración</t>
  </si>
  <si>
    <t>Consultor II a Consultor Experto II</t>
  </si>
  <si>
    <t>Especialista Financiero</t>
  </si>
  <si>
    <t>Consultor Experto I a Coordinador I</t>
  </si>
  <si>
    <t>Staff Técnico del Unidad de Administración y Planificación</t>
  </si>
  <si>
    <t>Responsable de Area RRHH</t>
  </si>
  <si>
    <t>Consultor Experto II a Coordinador I</t>
  </si>
  <si>
    <t>Staff Técnico de RRHH</t>
  </si>
  <si>
    <t>Consultor III a Consultor Experto III</t>
  </si>
  <si>
    <t xml:space="preserve">Responsable  de la Unidad  de Monitoreo e Investigación </t>
  </si>
  <si>
    <t>Responsable del Area de Investigación</t>
  </si>
  <si>
    <t>Coordinador I - Coordinador IV</t>
  </si>
  <si>
    <t>Staff Técnico del Área de monitoreo e  Investigación</t>
  </si>
  <si>
    <t>Reembolsos por gastos médicos</t>
  </si>
  <si>
    <t>Equipamiento informatico</t>
  </si>
  <si>
    <t>computadoras / perifericos</t>
  </si>
  <si>
    <t>Para equipo docente y de apoyo a la capacitación</t>
  </si>
  <si>
    <t>Para capacitación de los RRHH involucrados</t>
  </si>
  <si>
    <t xml:space="preserve"> Acuerdo de obra y/o Locación de obra</t>
  </si>
  <si>
    <t>Pasajes y viaticos de la UEC  asistencia técnica y supervisión a equipos Pcias</t>
  </si>
  <si>
    <t xml:space="preserve">Material gráfico general </t>
  </si>
  <si>
    <t>Servicio de auditoria</t>
  </si>
  <si>
    <t>auditoria de incentivos</t>
  </si>
  <si>
    <t>FORTALECIMIENTO DE LAS REDES DE ATENCION PRIMARIA</t>
  </si>
  <si>
    <t xml:space="preserve">6- EQUIPAMIENTO </t>
  </si>
  <si>
    <t xml:space="preserve">7- CAPACITACIONES </t>
  </si>
  <si>
    <t>9- AUDITORIA</t>
  </si>
  <si>
    <t>MEDICAMENTOS</t>
  </si>
  <si>
    <t>1- RECURSOS HUMANOS</t>
  </si>
  <si>
    <t>2- EQUIPAMIENTO MEDICO</t>
  </si>
  <si>
    <t>Equipamiento para fotalecer la capacidad diagnóstica en el 1er nivel de atención</t>
  </si>
  <si>
    <t>Equipamiento medico</t>
  </si>
  <si>
    <t>3- EQUIPAMIENTO INFORMATICO</t>
  </si>
  <si>
    <t>Equipamiento Informático para la gestión de servicios farmacéuticos y Sistema Operativo para la Dispensa y Posterior digitalizacion de la receta</t>
  </si>
  <si>
    <t>4- EQUIPAMIENTO CAPS -DEPOSITOS Y FARMACIAS</t>
  </si>
  <si>
    <t xml:space="preserve">Instalaciones y equipamiento logístico para depósito y farmacias </t>
  </si>
  <si>
    <t>(Estanterias, mobiliario, mesas de trabajo, sillas)</t>
  </si>
  <si>
    <t>5- MATERIAL GRAFICO</t>
  </si>
  <si>
    <t>6- DIGITALIZACION DE DATOS</t>
  </si>
  <si>
    <t>Graboverificación formularios R ( 2015-2016)</t>
  </si>
  <si>
    <t>Graboverificación formularios R ( 2017)</t>
  </si>
  <si>
    <t>Equipamiento varios</t>
  </si>
  <si>
    <t>Material grafico</t>
  </si>
  <si>
    <t>Servicio de graboverificacion</t>
  </si>
  <si>
    <t>7- ESTUDIOS Y EVALUACIONES</t>
  </si>
  <si>
    <t>Estudios a definir para la jerarquizacion del 1er nivel de atención</t>
  </si>
  <si>
    <t>8- CAPACITACION</t>
  </si>
  <si>
    <t>Materiales de comunicación y capacitacion</t>
  </si>
  <si>
    <t xml:space="preserve">Ecocardiografos </t>
  </si>
  <si>
    <t xml:space="preserve">Ecografos </t>
  </si>
  <si>
    <t xml:space="preserve">Equipo de Rayos Portatiles </t>
  </si>
  <si>
    <t xml:space="preserve">Mamografos </t>
  </si>
  <si>
    <t xml:space="preserve">Cardiodesfibrilador </t>
  </si>
  <si>
    <t>Locación de Obra</t>
  </si>
  <si>
    <t>Reembolsos de Gastos</t>
  </si>
  <si>
    <t>Total REDES</t>
  </si>
  <si>
    <t>COSTO TOTAL DEL PROGRAMA</t>
  </si>
  <si>
    <t>ACTIVIDADES</t>
  </si>
  <si>
    <t>DESCRIPCION</t>
  </si>
  <si>
    <t>PROGRAMA</t>
  </si>
  <si>
    <t>TIPO DE GASTO</t>
  </si>
  <si>
    <t>CANTIDAD</t>
  </si>
  <si>
    <t xml:space="preserve">RITA </t>
  </si>
  <si>
    <t>PROYECTO PILOTO CCR</t>
  </si>
  <si>
    <t>FORTALECIMIENTO DEL PRIMER NIVEL DE ATENCIÓN</t>
  </si>
  <si>
    <t>INCENTIVOS</t>
  </si>
  <si>
    <t>PROYECTOS INNOVADORES</t>
  </si>
  <si>
    <t>ADMINISTRACION DEL PROYECTO</t>
  </si>
  <si>
    <t xml:space="preserve">ADMINISTRACION </t>
  </si>
  <si>
    <t>Auditoria Financiera</t>
  </si>
  <si>
    <t>Costo UFIs</t>
  </si>
  <si>
    <t xml:space="preserve">Otras servicios </t>
  </si>
  <si>
    <t>Otros insumos</t>
  </si>
  <si>
    <t xml:space="preserve"> Comunicación Social</t>
  </si>
  <si>
    <t>Área de Sistemas de Información</t>
  </si>
  <si>
    <t>Auditoria y Control de Calidad</t>
  </si>
  <si>
    <t>Coordinación de Remediar</t>
  </si>
  <si>
    <t>Depósito</t>
  </si>
  <si>
    <t>Unidad de Logística y Gestión de Medicamentos</t>
  </si>
  <si>
    <t>Unidad de Planificación Estratégica</t>
  </si>
  <si>
    <t>Unidad de Promoción del Uso Racional de Medicamentos</t>
  </si>
  <si>
    <t xml:space="preserve">Unidad de Seguimiento y Evaluación </t>
  </si>
  <si>
    <t xml:space="preserve">TOTAL MEDICAMENTOS </t>
  </si>
  <si>
    <t xml:space="preserve">TOTAL ADMINISTRACION </t>
  </si>
  <si>
    <t xml:space="preserve">Gastos operativos </t>
  </si>
  <si>
    <t>8- MATERIAL DE COMUNICACIÓN</t>
  </si>
  <si>
    <t>Equipamiento informatico UFIs</t>
  </si>
  <si>
    <t>Firma consultora</t>
  </si>
  <si>
    <t>Responsable provincial Medicamentos</t>
  </si>
  <si>
    <t>BID 1</t>
  </si>
  <si>
    <t>LOCAL 1</t>
  </si>
  <si>
    <t>MSAL 1</t>
  </si>
  <si>
    <t>BID 2</t>
  </si>
  <si>
    <t>LOCAL 2</t>
  </si>
  <si>
    <t>MSAL 2</t>
  </si>
  <si>
    <t>BID 3</t>
  </si>
  <si>
    <t>LOCAL 3</t>
  </si>
  <si>
    <t>MSAL 3</t>
  </si>
  <si>
    <t>BID TOTAL</t>
  </si>
  <si>
    <t>LOCAL TOTAL</t>
  </si>
  <si>
    <t>MSAL TOTAL</t>
  </si>
  <si>
    <t xml:space="preserve">ROHA </t>
  </si>
  <si>
    <t xml:space="preserve">SITAM </t>
  </si>
  <si>
    <t xml:space="preserve">NAVEGADORAS </t>
  </si>
  <si>
    <t>PILOTO DE CERTIFICACIÓN</t>
  </si>
  <si>
    <t>INVESTIGACIÓN</t>
  </si>
  <si>
    <t xml:space="preserve">SUBPROGRAMA </t>
  </si>
  <si>
    <t>COMPONENTE 1: Fortalecimiento del Primer Nivel de Atencion</t>
  </si>
  <si>
    <t>SUBCOMPONENTE 1: Redes</t>
  </si>
  <si>
    <t>1.- Proyectos de Inversion Jurisdiccional - INCENTIVOS</t>
  </si>
  <si>
    <t>1.1</t>
  </si>
  <si>
    <t>1.1.1</t>
  </si>
  <si>
    <t xml:space="preserve">Codigo </t>
  </si>
  <si>
    <t>1.2</t>
  </si>
  <si>
    <t>1.2.1</t>
  </si>
  <si>
    <t>1.3</t>
  </si>
  <si>
    <t>SUBCOMPONENTE 2: Fortalecimiento de la Red de distribucion de medicamentos - Cobertura Universal</t>
  </si>
  <si>
    <t>SUBCOMPONENTE 3: Fortalecimiento de las Redes - Equipamiento</t>
  </si>
  <si>
    <t>Equipamiento para fotalecer la capacidad diagnóstica en el tratamiento</t>
  </si>
  <si>
    <t>Ergómetros (U$S 8.700)</t>
  </si>
  <si>
    <t>Electrocardiógrafos (U$S 1.070)</t>
  </si>
  <si>
    <t>Equipo de Rayos Portatiles (U$S 6.500)</t>
  </si>
  <si>
    <t>Cardiodesfrilidar (U$S 8.000)</t>
  </si>
  <si>
    <t>DESFIBRILADOR EXTERNO AUTOMÁTICO (DEA) (U$S 1.000)</t>
  </si>
  <si>
    <t>Equipamiento informatico (PC y Lectoras)</t>
  </si>
  <si>
    <t xml:space="preserve">Instalaciones y equipamiento logístico para CAPS, depósito y farmacias </t>
  </si>
  <si>
    <t>(Son 32 Productos , entre ellos Estanterias,  mesas de trabajo, sillas, zorras, etc)</t>
  </si>
  <si>
    <t>Estudios 
1)IMPACTO  DE LA CAPACITACIÓN EN LA PRÁCTICA CLÍNICA. CURSO DE TERAPEUTICA RACIONAL EN EL PRIMER NIVEL DE ATENCIÓN. (2015)
2)
JERARQUIZACIÓN DEL PRIMER NIVEL DE ATENCIÓN – ACCESO A MEDICAMENTOS ESENCIALES. Evaluación de Medio Término 2018</t>
  </si>
  <si>
    <t>COMPONENTE 2: INSTITUTO NACIONAL DEL CANCER</t>
  </si>
  <si>
    <t>SUBCOMPONENTE 1: Sistemas de Información - Fortalecimiento de Registro</t>
  </si>
  <si>
    <t>2.1</t>
  </si>
  <si>
    <t>2.1.1</t>
  </si>
  <si>
    <t>2.1.2</t>
  </si>
  <si>
    <t>2.1.3</t>
  </si>
  <si>
    <t>2.2</t>
  </si>
  <si>
    <t>SUBCOMPONENTE 2: Fortalecimiento de la Deteccion en el Primer Nivel de Atención</t>
  </si>
  <si>
    <t>2.2.1</t>
  </si>
  <si>
    <t>AMPLIACIÓN DEL TAMIZAJE CON TEST DE VPH</t>
  </si>
  <si>
    <t>EXPANSIÓN DEL PROYECTO PILOTO CCR</t>
  </si>
  <si>
    <t>2.2.2</t>
  </si>
  <si>
    <t>2.2.3</t>
  </si>
  <si>
    <t>ESTRATEGIA NAVEGADORAS Y FORTALECIMIENTO DE REDES</t>
  </si>
  <si>
    <t>2.2.4</t>
  </si>
  <si>
    <t>FORTALECIMIENTO DEL PRIMER NIVEL DE ATENCIÓN - CAPACITACIÓN</t>
  </si>
  <si>
    <t>2.2.5</t>
  </si>
  <si>
    <t>PROYECTO PILOTO DE CUIDADOS PALIATIVOS</t>
  </si>
  <si>
    <t>1.1.2</t>
  </si>
  <si>
    <t>1.1.3</t>
  </si>
  <si>
    <t>1.1.4</t>
  </si>
  <si>
    <t>1.1.5</t>
  </si>
  <si>
    <t>RECURSOS HUMANOS</t>
  </si>
  <si>
    <t>1.1.6</t>
  </si>
  <si>
    <t xml:space="preserve">EQUIPAMIENTO </t>
  </si>
  <si>
    <t>1.1.7</t>
  </si>
  <si>
    <t xml:space="preserve">CAPACITACIONES </t>
  </si>
  <si>
    <t>1.1.8</t>
  </si>
  <si>
    <t>MATERIAL DE COMUNICACIÓN</t>
  </si>
  <si>
    <t>AUDITORIA</t>
  </si>
  <si>
    <t>1.1.9</t>
  </si>
  <si>
    <t>EQUIPAMIENTO INFORMATICO</t>
  </si>
  <si>
    <t>1.2.2</t>
  </si>
  <si>
    <t>1.2.3</t>
  </si>
  <si>
    <t>1.2.4</t>
  </si>
  <si>
    <t>1.2.5</t>
  </si>
  <si>
    <t>1.2.6</t>
  </si>
  <si>
    <t>1.2.7</t>
  </si>
  <si>
    <t>CAPACITACION</t>
  </si>
  <si>
    <t>ESTUDIOS Y EVALUACIONES</t>
  </si>
  <si>
    <t>DIGITALIZACION DE DATOS</t>
  </si>
  <si>
    <t>MATERIAL GRAFICO</t>
  </si>
  <si>
    <t>EQUIPAMIENTO CAPS -DEPOSITOS Y FARMACIAS</t>
  </si>
  <si>
    <t>RITA</t>
  </si>
  <si>
    <t>2.1.1.1</t>
  </si>
  <si>
    <t>2.1.1.2</t>
  </si>
  <si>
    <t>2.1.1.3</t>
  </si>
  <si>
    <t>2.1.2.1</t>
  </si>
  <si>
    <t>2.1.2.2</t>
  </si>
  <si>
    <t>2.1.2.3</t>
  </si>
  <si>
    <t>2.1.3.1</t>
  </si>
  <si>
    <t>Expansión en la implementación de SITAM</t>
  </si>
  <si>
    <t>2.1.3.1.1</t>
  </si>
  <si>
    <t>2.1.3.1.2</t>
  </si>
  <si>
    <t>2.1.3.1.3</t>
  </si>
  <si>
    <t>2.1.3.1.4</t>
  </si>
  <si>
    <t>2.1.3.2</t>
  </si>
  <si>
    <t>APLICATIVO MOVIL SITAM</t>
  </si>
  <si>
    <t>2.2.1.1</t>
  </si>
  <si>
    <t>2.2.1.2</t>
  </si>
  <si>
    <t>2.2.2.1</t>
  </si>
  <si>
    <t>2.2.2.2</t>
  </si>
  <si>
    <t>2.2.2.3</t>
  </si>
  <si>
    <t>2.2.2.4</t>
  </si>
  <si>
    <t>2.2.3.1</t>
  </si>
  <si>
    <t>Navegadoras</t>
  </si>
  <si>
    <t>2.2.3.1.1</t>
  </si>
  <si>
    <t>2.2.3.1.2</t>
  </si>
  <si>
    <t>2.2.3.1.3</t>
  </si>
  <si>
    <t>2.2.3.2</t>
  </si>
  <si>
    <t>2.2.3.2.1</t>
  </si>
  <si>
    <t>2.2.3.2.2</t>
  </si>
  <si>
    <t>2.2.4.1</t>
  </si>
  <si>
    <t>Capacitación</t>
  </si>
  <si>
    <t>2.2.4.2</t>
  </si>
  <si>
    <t>2.2.5.1</t>
  </si>
  <si>
    <t>2.2.5.2</t>
  </si>
  <si>
    <t>2.2.5.3</t>
  </si>
  <si>
    <t>2.2.5.4</t>
  </si>
  <si>
    <t>2.2.5.5</t>
  </si>
  <si>
    <t>* El incremento de la muestra de ENFR se financia por F. Externa y se considera el Pago de la Encuesta como Contraparte del Prestamo</t>
  </si>
  <si>
    <t>I TRIM 2017</t>
  </si>
  <si>
    <t>II TRIM 2017</t>
  </si>
  <si>
    <t>III TRIM 2017</t>
  </si>
  <si>
    <t>IV TRIM 2017</t>
  </si>
  <si>
    <t>TOTAL 2017</t>
  </si>
  <si>
    <t xml:space="preserve">POA 2017 -  Multifase - Fase II </t>
  </si>
  <si>
    <t xml:space="preserve">SUBCOMPONENTE 1: Desarrollo de Redes integradas de servicios de salud </t>
  </si>
  <si>
    <t>UFIS 30% de costo de la encuesta de ENFR</t>
  </si>
  <si>
    <t>1.1.10</t>
  </si>
  <si>
    <t xml:space="preserve">Talleres </t>
  </si>
  <si>
    <t>SUBCOMPONENTE 3: Fortalecimiento de la Red Pública de gestión de medicamentos</t>
  </si>
  <si>
    <t xml:space="preserve">COMPONENTE 2: Fortalecimiento de la línea de cuidados oncológicos </t>
  </si>
  <si>
    <t xml:space="preserve">SUBCOMPONENTE 1: Sistemas de Información para la gestión clínica y sanitaria </t>
  </si>
  <si>
    <t xml:space="preserve">Investigaciones </t>
  </si>
  <si>
    <t xml:space="preserve">Estudio de impacto del SITAM en gestión hospitalaria </t>
  </si>
  <si>
    <t xml:space="preserve">Impacto del fortalecimiento del PNA en la detección oprotuna de los canceres </t>
  </si>
  <si>
    <t xml:space="preserve">EQUIPAMIENTO MEDICO </t>
  </si>
  <si>
    <t>1.3.1</t>
  </si>
  <si>
    <t>1.3.2</t>
  </si>
  <si>
    <t>1.3.3</t>
  </si>
  <si>
    <t>1.3.4</t>
  </si>
  <si>
    <t>1.3.5</t>
  </si>
  <si>
    <t xml:space="preserve">FORTALECIMIENTO SUPERVIÓN PROVINCIAS </t>
  </si>
  <si>
    <t xml:space="preserve">Para fortalecimiento de equipos de supervisión a Provincias </t>
  </si>
  <si>
    <t>2.1.3.3</t>
  </si>
  <si>
    <t xml:space="preserve">Investigación </t>
  </si>
  <si>
    <t>Aplicativo Móvil SITAM</t>
  </si>
  <si>
    <t xml:space="preserve">IMPREVISTOS </t>
  </si>
  <si>
    <t xml:space="preserve">SUBCOMPONENTE 2: Equipamiento de efectores del primer nivel de atención </t>
  </si>
  <si>
    <t>SUBCOMPONENTE 2: Fortalecimiento de efectores del primer nivel de atención para la detección oportuna de cáncer</t>
  </si>
  <si>
    <t>EQUIPAMIENTO MEDICO</t>
  </si>
  <si>
    <t xml:space="preserve">SUBCOMPONENTE 3: Fortalecimiento de la Red Pública de gestión de medicamentos </t>
  </si>
  <si>
    <t>Pasajes y Viáticos</t>
  </si>
  <si>
    <t>Consultoria Individual</t>
  </si>
  <si>
    <t>comité de evaluación de propuestas - LO</t>
  </si>
  <si>
    <t>Firma Consultora</t>
  </si>
  <si>
    <t>2.2.4.3</t>
  </si>
  <si>
    <t>2.2.4.4</t>
  </si>
  <si>
    <t>2.2.4.5</t>
  </si>
  <si>
    <t>2.1.4</t>
  </si>
  <si>
    <t>2.1.4.1</t>
  </si>
  <si>
    <t>2.1.4.1.1</t>
  </si>
  <si>
    <t>2.1.4.1.2</t>
  </si>
  <si>
    <t>2.1.4.1.3</t>
  </si>
  <si>
    <t>2.1.4.2</t>
  </si>
  <si>
    <t>2.1.4.2.1</t>
  </si>
  <si>
    <t>2.1.4.2.2</t>
  </si>
  <si>
    <t>Año 4</t>
  </si>
  <si>
    <t>Año 1 
(Abril 2017 - Marzo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</si>
</sst>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 #,##0.00_ ;_ * \-#,##0.00_ ;_ * &quot;-&quot;??_ ;_ @_ "/>
    <numFmt numFmtId="165" formatCode="_-* #,##0.00\ _€_-;\-* #,##0.00\ _€_-;_-* &quot;-&quot;??\ _€_-;_-@_-"/>
    <numFmt numFmtId="166" formatCode="_ * #,##0_ ;_ * \-#,##0_ ;_ * &quot;-&quot;??_ ;_ @_ "/>
    <numFmt numFmtId="167" formatCode="[$USD]\ #,##0.00"/>
    <numFmt numFmtId="168" formatCode="_ * #,##0.0_ ;_ * \-#,##0.0_ ;_ * &quot;-&quot;??_ ;_ @_ "/>
    <numFmt numFmtId="169" formatCode="_ * #,##0.0000_ ;_ * \-#,##0.0000_ ;_ * &quot;-&quot;??_ ;_ @_ "/>
  </numFmts>
  <fonts count="12" x14ac:knownFonts="1">
    <font>
      <sz val="11"/>
      <color theme="1"/>
      <name val="Calibri"/>
      <family val="2"/>
      <scheme val="minor"/>
    </font>
    <font>
      <b/>
      <sz val="11"/>
      <color theme="1"/>
      <name val="Calibri"/>
      <family val="2"/>
      <scheme val="minor"/>
    </font>
    <font>
      <sz val="11"/>
      <color theme="1"/>
      <name val="Calibri"/>
      <family val="2"/>
      <scheme val="minor"/>
    </font>
    <font>
      <sz val="11"/>
      <name val="Calibri"/>
      <family val="2"/>
      <scheme val="minor"/>
    </font>
    <font>
      <b/>
      <sz val="11"/>
      <name val="Calibri"/>
      <family val="2"/>
      <scheme val="minor"/>
    </font>
    <font>
      <sz val="10"/>
      <name val="Arial"/>
      <family val="2"/>
    </font>
    <font>
      <b/>
      <sz val="11"/>
      <color theme="0"/>
      <name val="Calibri"/>
      <family val="2"/>
      <scheme val="minor"/>
    </font>
    <font>
      <b/>
      <sz val="9"/>
      <color indexed="81"/>
      <name val="Tahoma"/>
      <family val="2"/>
    </font>
    <font>
      <sz val="9"/>
      <color indexed="81"/>
      <name val="Tahoma"/>
      <family val="2"/>
    </font>
    <font>
      <i/>
      <sz val="11"/>
      <color theme="1"/>
      <name val="Calibri"/>
      <family val="2"/>
      <scheme val="minor"/>
    </font>
    <font>
      <sz val="8"/>
      <color indexed="81"/>
      <name val="Tahoma"/>
      <charset val="1"/>
    </font>
    <font>
      <b/>
      <sz val="8"/>
      <color indexed="81"/>
      <name val="Tahoma"/>
      <charset val="1"/>
    </font>
  </fonts>
  <fills count="14">
    <fill>
      <patternFill patternType="none"/>
    </fill>
    <fill>
      <patternFill patternType="gray125"/>
    </fill>
    <fill>
      <patternFill patternType="solid">
        <fgColor theme="6" tint="0.39997558519241921"/>
        <bgColor indexed="64"/>
      </patternFill>
    </fill>
    <fill>
      <patternFill patternType="solid">
        <fgColor theme="2" tint="-9.9978637043366805E-2"/>
        <bgColor indexed="64"/>
      </patternFill>
    </fill>
    <fill>
      <patternFill patternType="solid">
        <fgColor rgb="FFFFFF00"/>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theme="0"/>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8" tint="-0.249977111117893"/>
        <bgColor indexed="64"/>
      </patternFill>
    </fill>
    <fill>
      <patternFill patternType="solid">
        <fgColor rgb="FFFF000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4">
    <xf numFmtId="0" fontId="0" fillId="0" borderId="0"/>
    <xf numFmtId="164" fontId="2" fillId="0" borderId="0" applyFont="0" applyFill="0" applyBorder="0" applyAlignment="0" applyProtection="0"/>
    <xf numFmtId="9" fontId="2" fillId="0" borderId="0" applyFont="0" applyFill="0" applyBorder="0" applyAlignment="0" applyProtection="0"/>
    <xf numFmtId="0" fontId="5" fillId="0" borderId="0"/>
  </cellStyleXfs>
  <cellXfs count="351">
    <xf numFmtId="0" fontId="0" fillId="0" borderId="0" xfId="0"/>
    <xf numFmtId="0" fontId="0" fillId="0" borderId="1" xfId="0" applyBorder="1" applyAlignment="1">
      <alignment horizontal="center"/>
    </xf>
    <xf numFmtId="0" fontId="1" fillId="0" borderId="0" xfId="0" applyFont="1"/>
    <xf numFmtId="0" fontId="0" fillId="0" borderId="1" xfId="0" applyFont="1" applyFill="1" applyBorder="1" applyAlignment="1">
      <alignment vertical="center"/>
    </xf>
    <xf numFmtId="0" fontId="0" fillId="0" borderId="3" xfId="0" applyBorder="1" applyAlignment="1">
      <alignment horizontal="center"/>
    </xf>
    <xf numFmtId="0" fontId="0" fillId="0" borderId="4" xfId="0" applyBorder="1" applyAlignment="1">
      <alignment horizontal="center"/>
    </xf>
    <xf numFmtId="0" fontId="0" fillId="0" borderId="7" xfId="0" applyBorder="1"/>
    <xf numFmtId="165" fontId="0" fillId="0" borderId="0" xfId="1" applyNumberFormat="1" applyFont="1" applyBorder="1"/>
    <xf numFmtId="165" fontId="0" fillId="0" borderId="7" xfId="1" applyNumberFormat="1" applyFont="1" applyBorder="1"/>
    <xf numFmtId="165" fontId="0" fillId="0" borderId="9" xfId="1" applyNumberFormat="1" applyFont="1" applyBorder="1"/>
    <xf numFmtId="0" fontId="0" fillId="0" borderId="8" xfId="0" applyBorder="1"/>
    <xf numFmtId="165" fontId="0" fillId="0" borderId="10" xfId="1" applyNumberFormat="1" applyFont="1" applyBorder="1"/>
    <xf numFmtId="165" fontId="0" fillId="0" borderId="8" xfId="1" applyNumberFormat="1" applyFont="1" applyBorder="1"/>
    <xf numFmtId="0" fontId="0" fillId="0" borderId="11" xfId="0" applyBorder="1"/>
    <xf numFmtId="0" fontId="0" fillId="0" borderId="0" xfId="0" applyAlignment="1">
      <alignment horizontal="center" vertical="center"/>
    </xf>
    <xf numFmtId="0" fontId="0" fillId="0" borderId="0" xfId="0" applyFill="1" applyAlignment="1">
      <alignment vertical="center"/>
    </xf>
    <xf numFmtId="165" fontId="0" fillId="0" borderId="0" xfId="1" applyNumberFormat="1" applyFont="1" applyFill="1" applyBorder="1"/>
    <xf numFmtId="0" fontId="0" fillId="0" borderId="1" xfId="0" applyFill="1" applyBorder="1" applyAlignment="1">
      <alignment vertical="center"/>
    </xf>
    <xf numFmtId="0" fontId="0" fillId="0" borderId="1" xfId="0" applyFill="1" applyBorder="1" applyAlignment="1">
      <alignment vertical="center" wrapText="1"/>
    </xf>
    <xf numFmtId="0" fontId="1" fillId="0" borderId="1" xfId="0" applyFont="1" applyFill="1" applyBorder="1" applyAlignment="1">
      <alignment horizontal="center" vertical="center"/>
    </xf>
    <xf numFmtId="166" fontId="0" fillId="0" borderId="1" xfId="1" applyNumberFormat="1" applyFont="1" applyFill="1" applyBorder="1" applyAlignment="1">
      <alignment vertical="center"/>
    </xf>
    <xf numFmtId="0" fontId="0" fillId="0" borderId="1" xfId="0" applyFont="1" applyFill="1" applyBorder="1" applyAlignment="1">
      <alignment horizontal="center" vertical="center" wrapText="1"/>
    </xf>
    <xf numFmtId="166" fontId="0" fillId="0" borderId="25" xfId="1" applyNumberFormat="1" applyFont="1" applyFill="1" applyBorder="1" applyAlignment="1">
      <alignment vertical="center"/>
    </xf>
    <xf numFmtId="0" fontId="1" fillId="0" borderId="24" xfId="0" applyFont="1" applyFill="1" applyBorder="1" applyAlignment="1">
      <alignment vertical="center"/>
    </xf>
    <xf numFmtId="166" fontId="0" fillId="0" borderId="26" xfId="1" applyNumberFormat="1" applyFont="1" applyFill="1" applyBorder="1" applyAlignment="1">
      <alignment vertical="center"/>
    </xf>
    <xf numFmtId="0" fontId="1" fillId="0" borderId="2" xfId="0" applyFont="1" applyFill="1" applyBorder="1" applyAlignment="1">
      <alignment vertical="center" wrapText="1"/>
    </xf>
    <xf numFmtId="0" fontId="1" fillId="0" borderId="2" xfId="0" applyFont="1" applyFill="1" applyBorder="1" applyAlignment="1">
      <alignment vertical="center"/>
    </xf>
    <xf numFmtId="0" fontId="0" fillId="0" borderId="1" xfId="0" applyFont="1" applyFill="1" applyBorder="1" applyAlignment="1">
      <alignment horizontal="center" vertical="center"/>
    </xf>
    <xf numFmtId="0" fontId="0" fillId="0" borderId="2" xfId="0" applyFont="1" applyFill="1" applyBorder="1" applyAlignment="1">
      <alignment vertical="center"/>
    </xf>
    <xf numFmtId="0" fontId="0" fillId="0" borderId="0" xfId="0" applyAlignment="1">
      <alignment vertical="center"/>
    </xf>
    <xf numFmtId="166" fontId="1" fillId="3" borderId="21" xfId="1" applyNumberFormat="1" applyFont="1" applyFill="1" applyBorder="1" applyAlignment="1">
      <alignment horizontal="center" vertical="center"/>
    </xf>
    <xf numFmtId="166" fontId="1" fillId="3" borderId="5" xfId="1" applyNumberFormat="1" applyFont="1" applyFill="1" applyBorder="1" applyAlignment="1">
      <alignment horizontal="center" vertical="center"/>
    </xf>
    <xf numFmtId="166" fontId="1" fillId="3" borderId="22" xfId="1" applyNumberFormat="1" applyFont="1" applyFill="1" applyBorder="1" applyAlignment="1">
      <alignment horizontal="center" vertical="center"/>
    </xf>
    <xf numFmtId="166" fontId="1" fillId="3" borderId="17" xfId="1" applyNumberFormat="1" applyFont="1" applyFill="1" applyBorder="1" applyAlignment="1">
      <alignment horizontal="center" vertical="center"/>
    </xf>
    <xf numFmtId="0" fontId="0" fillId="0" borderId="0" xfId="0" applyFont="1" applyAlignment="1">
      <alignment vertical="center"/>
    </xf>
    <xf numFmtId="0" fontId="1" fillId="5" borderId="30" xfId="0" applyFont="1" applyFill="1" applyBorder="1" applyAlignment="1">
      <alignment vertical="center"/>
    </xf>
    <xf numFmtId="0" fontId="1" fillId="2" borderId="10" xfId="0" applyFont="1" applyFill="1" applyBorder="1" applyAlignment="1">
      <alignment vertical="center"/>
    </xf>
    <xf numFmtId="0" fontId="1" fillId="2" borderId="10" xfId="0" applyFont="1" applyFill="1" applyBorder="1" applyAlignment="1">
      <alignment horizontal="center" vertical="center"/>
    </xf>
    <xf numFmtId="166" fontId="1" fillId="2" borderId="23" xfId="0" applyNumberFormat="1" applyFont="1" applyFill="1" applyBorder="1" applyAlignment="1">
      <alignment vertical="center"/>
    </xf>
    <xf numFmtId="166" fontId="1" fillId="2" borderId="3" xfId="0" applyNumberFormat="1" applyFont="1" applyFill="1" applyBorder="1" applyAlignment="1">
      <alignment vertical="center"/>
    </xf>
    <xf numFmtId="166" fontId="1" fillId="2" borderId="24" xfId="0" applyNumberFormat="1" applyFont="1" applyFill="1" applyBorder="1" applyAlignment="1">
      <alignment vertical="center"/>
    </xf>
    <xf numFmtId="0" fontId="1" fillId="2" borderId="34" xfId="0" applyFont="1" applyFill="1" applyBorder="1" applyAlignment="1">
      <alignment vertical="center"/>
    </xf>
    <xf numFmtId="0" fontId="1" fillId="5" borderId="2" xfId="0" applyFont="1" applyFill="1" applyBorder="1" applyAlignment="1">
      <alignment vertical="center"/>
    </xf>
    <xf numFmtId="0" fontId="1" fillId="5" borderId="3" xfId="0" applyFont="1" applyFill="1" applyBorder="1" applyAlignment="1">
      <alignment vertical="center"/>
    </xf>
    <xf numFmtId="0" fontId="1" fillId="5" borderId="3" xfId="0" applyFont="1" applyFill="1" applyBorder="1" applyAlignment="1">
      <alignment horizontal="center" vertical="center"/>
    </xf>
    <xf numFmtId="166" fontId="1" fillId="5" borderId="23" xfId="0" applyNumberFormat="1" applyFont="1" applyFill="1" applyBorder="1" applyAlignment="1">
      <alignment vertical="center"/>
    </xf>
    <xf numFmtId="166" fontId="1" fillId="5" borderId="3" xfId="0" applyNumberFormat="1" applyFont="1" applyFill="1" applyBorder="1" applyAlignment="1">
      <alignment vertical="center"/>
    </xf>
    <xf numFmtId="166" fontId="1" fillId="5" borderId="24" xfId="0" applyNumberFormat="1" applyFont="1" applyFill="1" applyBorder="1" applyAlignment="1">
      <alignment vertical="center"/>
    </xf>
    <xf numFmtId="0" fontId="1" fillId="5" borderId="34" xfId="0" applyFont="1" applyFill="1" applyBorder="1" applyAlignment="1">
      <alignment vertical="center"/>
    </xf>
    <xf numFmtId="0" fontId="1" fillId="3" borderId="2" xfId="0" applyFont="1" applyFill="1" applyBorder="1" applyAlignment="1">
      <alignment vertical="center"/>
    </xf>
    <xf numFmtId="0" fontId="1" fillId="3" borderId="3" xfId="0" applyFont="1" applyFill="1" applyBorder="1" applyAlignment="1">
      <alignment vertical="center"/>
    </xf>
    <xf numFmtId="0" fontId="1" fillId="3" borderId="3" xfId="0" applyFont="1" applyFill="1" applyBorder="1" applyAlignment="1">
      <alignment horizontal="center" vertical="center"/>
    </xf>
    <xf numFmtId="0" fontId="1" fillId="3" borderId="23" xfId="0" applyFont="1" applyFill="1" applyBorder="1" applyAlignment="1">
      <alignment vertical="center"/>
    </xf>
    <xf numFmtId="0" fontId="1" fillId="3" borderId="24" xfId="0" applyFont="1" applyFill="1" applyBorder="1" applyAlignment="1">
      <alignment vertical="center"/>
    </xf>
    <xf numFmtId="0" fontId="1" fillId="3" borderId="34" xfId="0" applyFont="1" applyFill="1" applyBorder="1" applyAlignment="1">
      <alignment vertical="center"/>
    </xf>
    <xf numFmtId="0" fontId="0" fillId="0" borderId="1" xfId="0" applyFont="1" applyBorder="1" applyAlignment="1">
      <alignment vertical="center"/>
    </xf>
    <xf numFmtId="0" fontId="0" fillId="0" borderId="1" xfId="0" applyFont="1" applyBorder="1" applyAlignment="1">
      <alignment vertical="center" wrapText="1"/>
    </xf>
    <xf numFmtId="0" fontId="0" fillId="0" borderId="1" xfId="0" applyBorder="1" applyAlignment="1">
      <alignment horizontal="center" vertical="center"/>
    </xf>
    <xf numFmtId="0" fontId="0" fillId="0" borderId="2" xfId="0" applyBorder="1" applyAlignment="1">
      <alignment vertical="center"/>
    </xf>
    <xf numFmtId="166" fontId="0" fillId="0" borderId="25" xfId="1" applyNumberFormat="1" applyFont="1" applyBorder="1" applyAlignment="1">
      <alignment vertical="center"/>
    </xf>
    <xf numFmtId="166" fontId="0" fillId="0" borderId="1" xfId="1" applyNumberFormat="1" applyFont="1" applyBorder="1" applyAlignment="1">
      <alignment vertical="center"/>
    </xf>
    <xf numFmtId="166" fontId="0" fillId="0" borderId="26" xfId="1" applyNumberFormat="1" applyFont="1" applyBorder="1" applyAlignment="1">
      <alignment vertical="center"/>
    </xf>
    <xf numFmtId="166" fontId="0" fillId="0" borderId="2" xfId="1" applyNumberFormat="1" applyFont="1" applyBorder="1" applyAlignment="1">
      <alignment vertical="center"/>
    </xf>
    <xf numFmtId="0" fontId="0" fillId="0" borderId="1" xfId="0" applyFont="1" applyBorder="1" applyAlignment="1">
      <alignment horizontal="center" vertical="center"/>
    </xf>
    <xf numFmtId="0" fontId="0" fillId="0" borderId="2" xfId="0" applyFont="1" applyBorder="1" applyAlignment="1">
      <alignment vertical="center"/>
    </xf>
    <xf numFmtId="0" fontId="0" fillId="0" borderId="1" xfId="0" applyBorder="1" applyAlignment="1">
      <alignment vertical="center"/>
    </xf>
    <xf numFmtId="166" fontId="3" fillId="0" borderId="25" xfId="1" applyNumberFormat="1" applyFont="1" applyFill="1" applyBorder="1" applyAlignment="1">
      <alignment vertical="center"/>
    </xf>
    <xf numFmtId="166" fontId="3" fillId="0" borderId="1" xfId="1" applyNumberFormat="1" applyFont="1" applyFill="1" applyBorder="1" applyAlignment="1">
      <alignment vertical="center"/>
    </xf>
    <xf numFmtId="166" fontId="3" fillId="0" borderId="26" xfId="1" applyNumberFormat="1" applyFont="1" applyFill="1" applyBorder="1" applyAlignment="1">
      <alignment vertical="center"/>
    </xf>
    <xf numFmtId="166" fontId="2" fillId="0" borderId="25" xfId="1" applyNumberFormat="1" applyFont="1" applyFill="1" applyBorder="1" applyAlignment="1">
      <alignment vertical="center"/>
    </xf>
    <xf numFmtId="166" fontId="2" fillId="0" borderId="1" xfId="1" applyNumberFormat="1" applyFont="1" applyFill="1" applyBorder="1" applyAlignment="1">
      <alignment vertical="center"/>
    </xf>
    <xf numFmtId="166" fontId="2" fillId="0" borderId="26" xfId="1" applyNumberFormat="1" applyFont="1" applyFill="1" applyBorder="1" applyAlignment="1">
      <alignment vertical="center"/>
    </xf>
    <xf numFmtId="166" fontId="2" fillId="0" borderId="25" xfId="1" applyNumberFormat="1" applyFont="1" applyBorder="1" applyAlignment="1">
      <alignment vertical="center"/>
    </xf>
    <xf numFmtId="166" fontId="2" fillId="0" borderId="1" xfId="1" applyNumberFormat="1" applyFont="1" applyBorder="1" applyAlignment="1">
      <alignment vertical="center"/>
    </xf>
    <xf numFmtId="166" fontId="2" fillId="0" borderId="26" xfId="1" applyNumberFormat="1" applyFont="1" applyBorder="1" applyAlignment="1">
      <alignment vertical="center"/>
    </xf>
    <xf numFmtId="0" fontId="0" fillId="0" borderId="1" xfId="0" applyBorder="1" applyAlignment="1">
      <alignment vertical="center" wrapText="1"/>
    </xf>
    <xf numFmtId="0" fontId="0" fillId="0" borderId="1" xfId="0" applyBorder="1" applyAlignment="1">
      <alignment horizontal="center" vertical="center" wrapText="1"/>
    </xf>
    <xf numFmtId="0" fontId="0" fillId="0" borderId="2" xfId="0" applyBorder="1" applyAlignment="1">
      <alignment vertical="center" wrapText="1"/>
    </xf>
    <xf numFmtId="0" fontId="0" fillId="0" borderId="1" xfId="0" applyFont="1" applyFill="1" applyBorder="1" applyAlignment="1">
      <alignment horizontal="left" vertical="center"/>
    </xf>
    <xf numFmtId="0" fontId="0" fillId="0" borderId="2" xfId="0" applyFont="1" applyFill="1" applyBorder="1" applyAlignment="1">
      <alignment horizontal="left" vertical="center"/>
    </xf>
    <xf numFmtId="0" fontId="0" fillId="0" borderId="1" xfId="0" applyFill="1" applyBorder="1" applyAlignment="1">
      <alignment horizontal="center" vertical="center"/>
    </xf>
    <xf numFmtId="0" fontId="0" fillId="0" borderId="2" xfId="0" applyFill="1" applyBorder="1" applyAlignment="1">
      <alignment vertical="center"/>
    </xf>
    <xf numFmtId="0" fontId="1" fillId="2" borderId="2" xfId="0" applyFont="1" applyFill="1" applyBorder="1" applyAlignment="1">
      <alignment vertical="center"/>
    </xf>
    <xf numFmtId="0" fontId="1" fillId="2" borderId="3" xfId="0" applyFont="1" applyFill="1" applyBorder="1" applyAlignment="1">
      <alignment vertical="center"/>
    </xf>
    <xf numFmtId="0" fontId="1" fillId="2" borderId="3" xfId="0" applyFont="1" applyFill="1" applyBorder="1" applyAlignment="1">
      <alignment horizontal="center" vertical="center"/>
    </xf>
    <xf numFmtId="0" fontId="0" fillId="4" borderId="0" xfId="0" applyFill="1" applyAlignment="1">
      <alignment vertical="center"/>
    </xf>
    <xf numFmtId="0" fontId="0" fillId="0" borderId="1" xfId="0" applyFont="1" applyFill="1" applyBorder="1" applyAlignment="1">
      <alignment vertical="center" wrapText="1"/>
    </xf>
    <xf numFmtId="0" fontId="0" fillId="0" borderId="2" xfId="0" applyFont="1" applyFill="1" applyBorder="1" applyAlignment="1">
      <alignment vertical="center" wrapText="1"/>
    </xf>
    <xf numFmtId="166" fontId="1" fillId="0" borderId="25" xfId="1" applyNumberFormat="1" applyFont="1" applyFill="1" applyBorder="1" applyAlignment="1">
      <alignment vertical="center"/>
    </xf>
    <xf numFmtId="166" fontId="1" fillId="0" borderId="1" xfId="1" applyNumberFormat="1" applyFont="1" applyFill="1" applyBorder="1" applyAlignment="1">
      <alignment vertical="center"/>
    </xf>
    <xf numFmtId="166" fontId="1" fillId="0" borderId="26" xfId="1" applyNumberFormat="1" applyFont="1" applyFill="1" applyBorder="1" applyAlignment="1">
      <alignment vertical="center"/>
    </xf>
    <xf numFmtId="166" fontId="0" fillId="7" borderId="25" xfId="1" applyNumberFormat="1" applyFont="1" applyFill="1" applyBorder="1" applyAlignment="1">
      <alignment vertical="center"/>
    </xf>
    <xf numFmtId="166" fontId="0" fillId="7" borderId="1" xfId="1" applyNumberFormat="1" applyFont="1" applyFill="1" applyBorder="1" applyAlignment="1">
      <alignment vertical="center"/>
    </xf>
    <xf numFmtId="166" fontId="0" fillId="7" borderId="26" xfId="1" applyNumberFormat="1" applyFont="1" applyFill="1" applyBorder="1" applyAlignment="1">
      <alignment vertical="center"/>
    </xf>
    <xf numFmtId="0" fontId="0" fillId="0" borderId="1" xfId="0" applyFill="1" applyBorder="1" applyAlignment="1">
      <alignment horizontal="center" vertical="center" wrapText="1"/>
    </xf>
    <xf numFmtId="0" fontId="0" fillId="0" borderId="2" xfId="0" applyFill="1" applyBorder="1" applyAlignment="1">
      <alignment vertical="center" wrapText="1"/>
    </xf>
    <xf numFmtId="166" fontId="2" fillId="7" borderId="25" xfId="1" applyNumberFormat="1" applyFont="1" applyFill="1" applyBorder="1" applyAlignment="1">
      <alignment vertical="center"/>
    </xf>
    <xf numFmtId="166" fontId="2" fillId="7" borderId="1" xfId="1" applyNumberFormat="1" applyFont="1" applyFill="1" applyBorder="1" applyAlignment="1">
      <alignment vertical="center"/>
    </xf>
    <xf numFmtId="166" fontId="2" fillId="7" borderId="26" xfId="1" applyNumberFormat="1" applyFont="1" applyFill="1" applyBorder="1" applyAlignment="1">
      <alignment vertical="center"/>
    </xf>
    <xf numFmtId="0" fontId="1" fillId="0" borderId="3" xfId="0" applyFont="1" applyFill="1" applyBorder="1" applyAlignment="1">
      <alignment vertical="center"/>
    </xf>
    <xf numFmtId="0" fontId="1" fillId="0" borderId="3" xfId="0" applyFont="1" applyFill="1" applyBorder="1" applyAlignment="1">
      <alignment horizontal="center" vertical="center"/>
    </xf>
    <xf numFmtId="166" fontId="1" fillId="0" borderId="3" xfId="0" applyNumberFormat="1" applyFont="1" applyFill="1" applyBorder="1" applyAlignment="1">
      <alignment vertical="center"/>
    </xf>
    <xf numFmtId="166" fontId="1" fillId="0" borderId="24" xfId="0" applyNumberFormat="1" applyFont="1" applyFill="1" applyBorder="1" applyAlignment="1">
      <alignment vertical="center"/>
    </xf>
    <xf numFmtId="0" fontId="0" fillId="0" borderId="1" xfId="0" applyFont="1" applyFill="1" applyBorder="1" applyAlignment="1">
      <alignment horizontal="left" vertical="center" wrapText="1"/>
    </xf>
    <xf numFmtId="0" fontId="0" fillId="0" borderId="2" xfId="0" applyFont="1" applyFill="1" applyBorder="1" applyAlignment="1">
      <alignment horizontal="left" vertical="center" wrapText="1"/>
    </xf>
    <xf numFmtId="0" fontId="0" fillId="0" borderId="3" xfId="0" applyFont="1" applyFill="1" applyBorder="1" applyAlignment="1">
      <alignment vertical="center" wrapText="1"/>
    </xf>
    <xf numFmtId="0" fontId="1" fillId="3" borderId="23" xfId="0" applyFont="1" applyFill="1" applyBorder="1" applyAlignment="1">
      <alignment vertical="center" wrapText="1"/>
    </xf>
    <xf numFmtId="0" fontId="1" fillId="3" borderId="3" xfId="0" applyFont="1" applyFill="1" applyBorder="1" applyAlignment="1">
      <alignment vertical="center" wrapText="1"/>
    </xf>
    <xf numFmtId="0" fontId="1" fillId="3" borderId="24" xfId="0" applyFont="1" applyFill="1" applyBorder="1" applyAlignment="1">
      <alignment vertical="center" wrapText="1"/>
    </xf>
    <xf numFmtId="166" fontId="0" fillId="3" borderId="23" xfId="1" applyNumberFormat="1" applyFont="1" applyFill="1" applyBorder="1" applyAlignment="1">
      <alignment vertical="center"/>
    </xf>
    <xf numFmtId="166" fontId="0" fillId="3" borderId="3" xfId="1" applyNumberFormat="1" applyFont="1" applyFill="1" applyBorder="1" applyAlignment="1">
      <alignment vertical="center"/>
    </xf>
    <xf numFmtId="166" fontId="0" fillId="3" borderId="24" xfId="1" applyNumberFormat="1" applyFont="1" applyFill="1" applyBorder="1" applyAlignment="1">
      <alignment vertical="center"/>
    </xf>
    <xf numFmtId="0" fontId="1" fillId="2" borderId="1" xfId="0" applyFont="1" applyFill="1" applyBorder="1" applyAlignment="1">
      <alignment vertical="center"/>
    </xf>
    <xf numFmtId="0" fontId="1" fillId="2" borderId="1" xfId="0" applyFont="1" applyFill="1" applyBorder="1" applyAlignment="1">
      <alignment horizontal="center" vertical="center"/>
    </xf>
    <xf numFmtId="166" fontId="1" fillId="2" borderId="25" xfId="0" applyNumberFormat="1" applyFont="1" applyFill="1" applyBorder="1" applyAlignment="1">
      <alignment vertical="center"/>
    </xf>
    <xf numFmtId="0" fontId="1" fillId="0" borderId="0" xfId="0" applyFont="1" applyAlignment="1">
      <alignment vertical="center"/>
    </xf>
    <xf numFmtId="0" fontId="1" fillId="4" borderId="1" xfId="0" applyFont="1" applyFill="1" applyBorder="1" applyAlignment="1">
      <alignment vertical="center"/>
    </xf>
    <xf numFmtId="0" fontId="1" fillId="4" borderId="1" xfId="0" applyFont="1" applyFill="1" applyBorder="1" applyAlignment="1">
      <alignment horizontal="center" vertical="center"/>
    </xf>
    <xf numFmtId="0" fontId="1" fillId="4" borderId="2" xfId="0" applyFont="1" applyFill="1" applyBorder="1" applyAlignment="1">
      <alignment vertical="center"/>
    </xf>
    <xf numFmtId="166" fontId="1" fillId="4" borderId="25" xfId="0" applyNumberFormat="1" applyFont="1" applyFill="1" applyBorder="1" applyAlignment="1">
      <alignment vertical="center"/>
    </xf>
    <xf numFmtId="166" fontId="1" fillId="4" borderId="1" xfId="0" applyNumberFormat="1" applyFont="1" applyFill="1" applyBorder="1" applyAlignment="1">
      <alignment vertical="center"/>
    </xf>
    <xf numFmtId="166" fontId="1" fillId="4" borderId="26" xfId="0" applyNumberFormat="1" applyFont="1" applyFill="1" applyBorder="1" applyAlignment="1">
      <alignment vertical="center"/>
    </xf>
    <xf numFmtId="166" fontId="1" fillId="4" borderId="2" xfId="0" applyNumberFormat="1" applyFont="1" applyFill="1" applyBorder="1" applyAlignment="1">
      <alignment vertical="center"/>
    </xf>
    <xf numFmtId="0" fontId="1" fillId="4" borderId="34" xfId="0" applyFont="1" applyFill="1" applyBorder="1" applyAlignment="1">
      <alignment vertical="center"/>
    </xf>
    <xf numFmtId="166" fontId="1" fillId="4" borderId="34" xfId="0" applyNumberFormat="1" applyFont="1" applyFill="1" applyBorder="1" applyAlignment="1">
      <alignment vertical="center"/>
    </xf>
    <xf numFmtId="0" fontId="1" fillId="8" borderId="1" xfId="0" applyFont="1" applyFill="1" applyBorder="1" applyAlignment="1">
      <alignment vertical="center"/>
    </xf>
    <xf numFmtId="0" fontId="0" fillId="8" borderId="1" xfId="0" applyFont="1" applyFill="1" applyBorder="1" applyAlignment="1">
      <alignment vertical="center"/>
    </xf>
    <xf numFmtId="0" fontId="1" fillId="8" borderId="1" xfId="0" applyFont="1" applyFill="1" applyBorder="1" applyAlignment="1">
      <alignment horizontal="center" vertical="center"/>
    </xf>
    <xf numFmtId="0" fontId="1" fillId="8" borderId="2" xfId="0" applyFont="1" applyFill="1" applyBorder="1" applyAlignment="1">
      <alignment horizontal="center" vertical="center"/>
    </xf>
    <xf numFmtId="0" fontId="1" fillId="8" borderId="25" xfId="0" applyFont="1" applyFill="1" applyBorder="1" applyAlignment="1">
      <alignment vertical="center"/>
    </xf>
    <xf numFmtId="166" fontId="1" fillId="8" borderId="1" xfId="1" applyNumberFormat="1" applyFont="1" applyFill="1" applyBorder="1" applyAlignment="1">
      <alignment vertical="center"/>
    </xf>
    <xf numFmtId="166" fontId="1" fillId="8" borderId="26" xfId="1" applyNumberFormat="1" applyFont="1" applyFill="1" applyBorder="1" applyAlignment="1">
      <alignment vertical="center"/>
    </xf>
    <xf numFmtId="166" fontId="1" fillId="8" borderId="25" xfId="1" applyNumberFormat="1" applyFont="1" applyFill="1" applyBorder="1" applyAlignment="1">
      <alignment vertical="center"/>
    </xf>
    <xf numFmtId="166" fontId="1" fillId="8" borderId="2" xfId="1" applyNumberFormat="1" applyFont="1" applyFill="1" applyBorder="1" applyAlignment="1">
      <alignment vertical="center"/>
    </xf>
    <xf numFmtId="0" fontId="1" fillId="8" borderId="34" xfId="0" applyFont="1" applyFill="1" applyBorder="1" applyAlignment="1">
      <alignment horizontal="center" vertical="center"/>
    </xf>
    <xf numFmtId="0" fontId="1" fillId="0" borderId="14" xfId="0" applyFont="1" applyBorder="1" applyAlignment="1">
      <alignment vertical="center"/>
    </xf>
    <xf numFmtId="0" fontId="1" fillId="0" borderId="15" xfId="0" applyFont="1" applyBorder="1" applyAlignment="1">
      <alignment vertical="center"/>
    </xf>
    <xf numFmtId="0" fontId="1" fillId="0" borderId="15" xfId="0" applyFont="1" applyBorder="1" applyAlignment="1">
      <alignment horizontal="center" vertical="center"/>
    </xf>
    <xf numFmtId="166" fontId="1" fillId="0" borderId="14" xfId="0" applyNumberFormat="1" applyFont="1" applyBorder="1" applyAlignment="1">
      <alignment vertical="center"/>
    </xf>
    <xf numFmtId="166" fontId="1" fillId="0" borderId="15" xfId="0" applyNumberFormat="1" applyFont="1" applyBorder="1" applyAlignment="1">
      <alignment vertical="center"/>
    </xf>
    <xf numFmtId="166" fontId="1" fillId="0" borderId="16" xfId="0" applyNumberFormat="1" applyFont="1" applyBorder="1" applyAlignment="1">
      <alignment vertical="center"/>
    </xf>
    <xf numFmtId="166" fontId="1" fillId="0" borderId="13" xfId="0" applyNumberFormat="1" applyFont="1" applyBorder="1" applyAlignment="1">
      <alignment horizontal="center" vertical="center"/>
    </xf>
    <xf numFmtId="0" fontId="0" fillId="0" borderId="0" xfId="0" applyAlignment="1">
      <alignment vertical="center" wrapText="1"/>
    </xf>
    <xf numFmtId="0" fontId="1" fillId="2" borderId="30" xfId="0" applyFont="1" applyFill="1" applyBorder="1" applyAlignment="1">
      <alignment vertical="center" wrapText="1"/>
    </xf>
    <xf numFmtId="0" fontId="1" fillId="5" borderId="2" xfId="0" applyFont="1" applyFill="1" applyBorder="1" applyAlignment="1">
      <alignment vertical="center" wrapText="1"/>
    </xf>
    <xf numFmtId="0" fontId="1" fillId="3" borderId="2" xfId="0" applyFont="1" applyFill="1" applyBorder="1" applyAlignment="1">
      <alignment vertical="center" wrapText="1"/>
    </xf>
    <xf numFmtId="0" fontId="1" fillId="2" borderId="2" xfId="0" applyFont="1" applyFill="1" applyBorder="1" applyAlignment="1">
      <alignment vertical="center" wrapText="1"/>
    </xf>
    <xf numFmtId="0" fontId="1" fillId="2" borderId="1" xfId="0" applyFont="1" applyFill="1" applyBorder="1" applyAlignment="1">
      <alignment vertical="center" wrapText="1"/>
    </xf>
    <xf numFmtId="0" fontId="1" fillId="4" borderId="1" xfId="0" applyFont="1" applyFill="1" applyBorder="1" applyAlignment="1">
      <alignment vertical="center" wrapText="1"/>
    </xf>
    <xf numFmtId="0" fontId="1" fillId="8" borderId="1" xfId="0" applyFont="1" applyFill="1" applyBorder="1" applyAlignment="1">
      <alignment vertical="center" wrapText="1"/>
    </xf>
    <xf numFmtId="0" fontId="1" fillId="0" borderId="15" xfId="0" applyFont="1" applyBorder="1" applyAlignment="1">
      <alignment vertical="center" wrapText="1"/>
    </xf>
    <xf numFmtId="0" fontId="0" fillId="2" borderId="10" xfId="0" applyFont="1" applyFill="1" applyBorder="1" applyAlignment="1">
      <alignment vertical="center" wrapText="1"/>
    </xf>
    <xf numFmtId="0" fontId="0" fillId="5" borderId="3" xfId="0" applyFont="1" applyFill="1" applyBorder="1" applyAlignment="1">
      <alignment vertical="center" wrapText="1"/>
    </xf>
    <xf numFmtId="0" fontId="0" fillId="3" borderId="3" xfId="0" applyFont="1" applyFill="1" applyBorder="1" applyAlignment="1">
      <alignment vertical="center" wrapText="1"/>
    </xf>
    <xf numFmtId="0" fontId="0" fillId="2" borderId="3" xfId="0" applyFont="1" applyFill="1" applyBorder="1" applyAlignment="1">
      <alignment vertical="center" wrapText="1"/>
    </xf>
    <xf numFmtId="0" fontId="0" fillId="2" borderId="1" xfId="0" applyFont="1" applyFill="1" applyBorder="1" applyAlignment="1">
      <alignment vertical="center" wrapText="1"/>
    </xf>
    <xf numFmtId="0" fontId="0" fillId="4" borderId="1" xfId="0" applyFont="1" applyFill="1" applyBorder="1" applyAlignment="1">
      <alignment vertical="center" wrapText="1"/>
    </xf>
    <xf numFmtId="0" fontId="1" fillId="2" borderId="10" xfId="0" applyFont="1" applyFill="1" applyBorder="1" applyAlignment="1">
      <alignment vertical="center" wrapText="1"/>
    </xf>
    <xf numFmtId="0" fontId="1" fillId="5" borderId="3" xfId="0" applyFont="1" applyFill="1" applyBorder="1" applyAlignment="1">
      <alignment vertical="center" wrapText="1"/>
    </xf>
    <xf numFmtId="0" fontId="1" fillId="2" borderId="3" xfId="0" applyFont="1" applyFill="1" applyBorder="1" applyAlignment="1">
      <alignment vertical="center" wrapText="1"/>
    </xf>
    <xf numFmtId="0" fontId="1" fillId="3" borderId="3" xfId="0" applyFont="1" applyFill="1" applyBorder="1" applyAlignment="1">
      <alignment horizontal="left" vertical="center" wrapText="1"/>
    </xf>
    <xf numFmtId="166" fontId="0" fillId="0" borderId="34" xfId="0" applyNumberFormat="1" applyBorder="1" applyAlignment="1">
      <alignment vertical="center"/>
    </xf>
    <xf numFmtId="0" fontId="1" fillId="10" borderId="1" xfId="0" applyFont="1" applyFill="1" applyBorder="1" applyAlignment="1">
      <alignment vertical="center"/>
    </xf>
    <xf numFmtId="0" fontId="1" fillId="10" borderId="1" xfId="0" applyFont="1" applyFill="1" applyBorder="1" applyAlignment="1">
      <alignment vertical="center" wrapText="1"/>
    </xf>
    <xf numFmtId="0" fontId="1" fillId="10" borderId="1" xfId="0" applyFont="1" applyFill="1" applyBorder="1" applyAlignment="1">
      <alignment horizontal="center" vertical="center"/>
    </xf>
    <xf numFmtId="0" fontId="0" fillId="10" borderId="1" xfId="0" applyFont="1" applyFill="1" applyBorder="1" applyAlignment="1">
      <alignment vertical="center"/>
    </xf>
    <xf numFmtId="0" fontId="1" fillId="10" borderId="2" xfId="0" applyFont="1" applyFill="1" applyBorder="1" applyAlignment="1">
      <alignment horizontal="center" vertical="center"/>
    </xf>
    <xf numFmtId="166" fontId="1" fillId="10" borderId="27" xfId="1" applyNumberFormat="1" applyFont="1" applyFill="1" applyBorder="1" applyAlignment="1">
      <alignment vertical="center"/>
    </xf>
    <xf numFmtId="166" fontId="1" fillId="10" borderId="28" xfId="1" applyNumberFormat="1" applyFont="1" applyFill="1" applyBorder="1" applyAlignment="1">
      <alignment vertical="center"/>
    </xf>
    <xf numFmtId="166" fontId="1" fillId="10" borderId="29" xfId="1" applyNumberFormat="1" applyFont="1" applyFill="1" applyBorder="1" applyAlignment="1">
      <alignment vertical="center"/>
    </xf>
    <xf numFmtId="166" fontId="1" fillId="10" borderId="32" xfId="1" applyNumberFormat="1" applyFont="1" applyFill="1" applyBorder="1" applyAlignment="1">
      <alignment vertical="center"/>
    </xf>
    <xf numFmtId="166" fontId="1" fillId="10" borderId="34" xfId="0" applyNumberFormat="1" applyFont="1" applyFill="1" applyBorder="1" applyAlignment="1">
      <alignment horizontal="center" vertical="center"/>
    </xf>
    <xf numFmtId="166" fontId="0" fillId="0" borderId="0" xfId="0" applyNumberFormat="1" applyAlignment="1">
      <alignment vertical="center"/>
    </xf>
    <xf numFmtId="166" fontId="0" fillId="0" borderId="0" xfId="0" applyNumberFormat="1" applyAlignment="1">
      <alignment horizontal="center" vertical="center"/>
    </xf>
    <xf numFmtId="166" fontId="1" fillId="3" borderId="2" xfId="1" applyNumberFormat="1" applyFont="1" applyFill="1" applyBorder="1" applyAlignment="1">
      <alignment vertical="center"/>
    </xf>
    <xf numFmtId="166" fontId="1" fillId="3" borderId="2" xfId="1" applyNumberFormat="1" applyFont="1" applyFill="1" applyBorder="1" applyAlignment="1">
      <alignment vertical="center" wrapText="1"/>
    </xf>
    <xf numFmtId="166" fontId="1" fillId="3" borderId="3" xfId="1" applyNumberFormat="1" applyFont="1" applyFill="1" applyBorder="1" applyAlignment="1">
      <alignment vertical="center" wrapText="1"/>
    </xf>
    <xf numFmtId="166" fontId="0" fillId="3" borderId="3" xfId="1" applyNumberFormat="1" applyFont="1" applyFill="1" applyBorder="1" applyAlignment="1">
      <alignment vertical="center" wrapText="1"/>
    </xf>
    <xf numFmtId="166" fontId="1" fillId="3" borderId="3" xfId="1" applyNumberFormat="1" applyFont="1" applyFill="1" applyBorder="1" applyAlignment="1">
      <alignment horizontal="center" vertical="center"/>
    </xf>
    <xf numFmtId="166" fontId="1" fillId="3" borderId="3" xfId="1" applyNumberFormat="1" applyFont="1" applyFill="1" applyBorder="1" applyAlignment="1">
      <alignment vertical="center"/>
    </xf>
    <xf numFmtId="166" fontId="1" fillId="3" borderId="23" xfId="1" applyNumberFormat="1" applyFont="1" applyFill="1" applyBorder="1" applyAlignment="1">
      <alignment vertical="center"/>
    </xf>
    <xf numFmtId="166" fontId="1" fillId="3" borderId="34" xfId="1" applyNumberFormat="1" applyFont="1" applyFill="1" applyBorder="1" applyAlignment="1">
      <alignment vertical="center"/>
    </xf>
    <xf numFmtId="166" fontId="0" fillId="0" borderId="0" xfId="1" applyNumberFormat="1" applyFont="1" applyAlignment="1">
      <alignment vertical="center"/>
    </xf>
    <xf numFmtId="0" fontId="0" fillId="10" borderId="5" xfId="0" applyFill="1" applyBorder="1" applyAlignment="1">
      <alignment vertical="center"/>
    </xf>
    <xf numFmtId="0" fontId="0" fillId="10" borderId="5" xfId="0" applyFill="1" applyBorder="1" applyAlignment="1">
      <alignment vertical="center" wrapText="1"/>
    </xf>
    <xf numFmtId="0" fontId="0" fillId="10" borderId="5" xfId="0" applyFill="1" applyBorder="1" applyAlignment="1">
      <alignment horizontal="left" vertical="center" wrapText="1"/>
    </xf>
    <xf numFmtId="0" fontId="0" fillId="10" borderId="6" xfId="0" applyFont="1" applyFill="1" applyBorder="1" applyAlignment="1">
      <alignment vertical="center"/>
    </xf>
    <xf numFmtId="0" fontId="1" fillId="10" borderId="5" xfId="0" applyFont="1" applyFill="1" applyBorder="1" applyAlignment="1">
      <alignment horizontal="center" vertical="center" wrapText="1"/>
    </xf>
    <xf numFmtId="0" fontId="1" fillId="10" borderId="17" xfId="0" applyFont="1" applyFill="1" applyBorder="1" applyAlignment="1">
      <alignment vertical="center" wrapText="1"/>
    </xf>
    <xf numFmtId="164" fontId="1" fillId="10" borderId="5" xfId="1" applyFont="1" applyFill="1" applyBorder="1" applyAlignment="1">
      <alignment vertical="center" wrapText="1"/>
    </xf>
    <xf numFmtId="164" fontId="1" fillId="10" borderId="41" xfId="1" applyFont="1" applyFill="1" applyBorder="1" applyAlignment="1">
      <alignment vertical="center" wrapText="1"/>
    </xf>
    <xf numFmtId="10" fontId="0" fillId="0" borderId="0" xfId="2" applyNumberFormat="1" applyFont="1" applyAlignment="1">
      <alignment vertical="center"/>
    </xf>
    <xf numFmtId="0" fontId="1" fillId="3" borderId="33" xfId="0" applyFont="1" applyFill="1" applyBorder="1" applyAlignment="1">
      <alignment horizontal="center" vertical="center" wrapText="1"/>
    </xf>
    <xf numFmtId="166" fontId="1" fillId="10" borderId="21" xfId="1" applyNumberFormat="1" applyFont="1" applyFill="1" applyBorder="1" applyAlignment="1">
      <alignment vertical="center"/>
    </xf>
    <xf numFmtId="166" fontId="1" fillId="10" borderId="5" xfId="1" applyNumberFormat="1" applyFont="1" applyFill="1" applyBorder="1" applyAlignment="1">
      <alignment vertical="center"/>
    </xf>
    <xf numFmtId="166" fontId="1" fillId="10" borderId="17" xfId="1" applyNumberFormat="1" applyFont="1" applyFill="1" applyBorder="1" applyAlignment="1">
      <alignment vertical="center"/>
    </xf>
    <xf numFmtId="166" fontId="1" fillId="10" borderId="21" xfId="1" applyNumberFormat="1" applyFont="1" applyFill="1" applyBorder="1" applyAlignment="1">
      <alignment vertical="center" wrapText="1"/>
    </xf>
    <xf numFmtId="166" fontId="1" fillId="10" borderId="5" xfId="1" applyNumberFormat="1" applyFont="1" applyFill="1" applyBorder="1" applyAlignment="1">
      <alignment vertical="center" wrapText="1"/>
    </xf>
    <xf numFmtId="166" fontId="1" fillId="10" borderId="22" xfId="1" applyNumberFormat="1" applyFont="1" applyFill="1" applyBorder="1" applyAlignment="1">
      <alignment vertical="center" wrapText="1"/>
    </xf>
    <xf numFmtId="166" fontId="1" fillId="10" borderId="42" xfId="0" applyNumberFormat="1" applyFont="1" applyFill="1" applyBorder="1" applyAlignment="1">
      <alignment vertical="center"/>
    </xf>
    <xf numFmtId="164" fontId="0" fillId="0" borderId="0" xfId="1" applyFont="1" applyAlignment="1">
      <alignment vertical="center"/>
    </xf>
    <xf numFmtId="0" fontId="1" fillId="3" borderId="9" xfId="0" applyFont="1" applyFill="1" applyBorder="1" applyAlignment="1">
      <alignment horizontal="center" vertical="center"/>
    </xf>
    <xf numFmtId="0" fontId="1" fillId="3" borderId="7" xfId="0" applyFont="1" applyFill="1" applyBorder="1" applyAlignment="1">
      <alignment horizontal="center" vertical="center" wrapText="1"/>
    </xf>
    <xf numFmtId="0" fontId="1" fillId="0" borderId="30" xfId="0" applyFont="1" applyFill="1" applyBorder="1" applyAlignment="1">
      <alignment vertical="center"/>
    </xf>
    <xf numFmtId="0" fontId="1" fillId="9" borderId="3" xfId="0" applyFont="1" applyFill="1" applyBorder="1" applyAlignment="1">
      <alignment horizontal="center" vertical="center"/>
    </xf>
    <xf numFmtId="0" fontId="0" fillId="0" borderId="1" xfId="0" applyFill="1" applyBorder="1" applyAlignment="1">
      <alignment horizontal="left" vertical="center" wrapText="1"/>
    </xf>
    <xf numFmtId="167" fontId="0" fillId="0" borderId="2" xfId="0" applyNumberFormat="1" applyFont="1" applyFill="1" applyBorder="1" applyAlignment="1">
      <alignment vertical="center"/>
    </xf>
    <xf numFmtId="166" fontId="6" fillId="12" borderId="21" xfId="1" applyNumberFormat="1" applyFont="1" applyFill="1" applyBorder="1" applyAlignment="1">
      <alignment horizontal="center" vertical="center"/>
    </xf>
    <xf numFmtId="166" fontId="6" fillId="12" borderId="5" xfId="1" applyNumberFormat="1" applyFont="1" applyFill="1" applyBorder="1" applyAlignment="1">
      <alignment horizontal="center" vertical="center"/>
    </xf>
    <xf numFmtId="166" fontId="6" fillId="12" borderId="22" xfId="1" applyNumberFormat="1" applyFont="1" applyFill="1" applyBorder="1" applyAlignment="1">
      <alignment horizontal="center" vertical="center"/>
    </xf>
    <xf numFmtId="166" fontId="6" fillId="12" borderId="17" xfId="1" applyNumberFormat="1" applyFont="1" applyFill="1" applyBorder="1" applyAlignment="1">
      <alignment horizontal="center" vertical="center"/>
    </xf>
    <xf numFmtId="0" fontId="1" fillId="10" borderId="2" xfId="0" applyFont="1" applyFill="1" applyBorder="1" applyAlignment="1">
      <alignment horizontal="center" vertical="center" wrapText="1"/>
    </xf>
    <xf numFmtId="0" fontId="1" fillId="10" borderId="3" xfId="0" applyFont="1" applyFill="1" applyBorder="1" applyAlignment="1">
      <alignment horizontal="center" vertical="center" wrapText="1"/>
    </xf>
    <xf numFmtId="166" fontId="1" fillId="10" borderId="23" xfId="1" applyNumberFormat="1" applyFont="1" applyFill="1" applyBorder="1" applyAlignment="1">
      <alignment horizontal="center" vertical="center"/>
    </xf>
    <xf numFmtId="166" fontId="1" fillId="10" borderId="3" xfId="1" applyNumberFormat="1" applyFont="1" applyFill="1" applyBorder="1" applyAlignment="1">
      <alignment horizontal="center" vertical="center"/>
    </xf>
    <xf numFmtId="166" fontId="1" fillId="10" borderId="24" xfId="1" applyNumberFormat="1" applyFont="1" applyFill="1" applyBorder="1" applyAlignment="1">
      <alignment horizontal="center" vertical="center"/>
    </xf>
    <xf numFmtId="0" fontId="1" fillId="11" borderId="12" xfId="0" applyFont="1" applyFill="1" applyBorder="1" applyAlignment="1">
      <alignment horizontal="center" vertical="center" wrapText="1"/>
    </xf>
    <xf numFmtId="0" fontId="1" fillId="11" borderId="0" xfId="0" applyFont="1" applyFill="1" applyBorder="1" applyAlignment="1">
      <alignment horizontal="center" vertical="center" wrapText="1"/>
    </xf>
    <xf numFmtId="166" fontId="1" fillId="11" borderId="46" xfId="1" applyNumberFormat="1" applyFont="1" applyFill="1" applyBorder="1" applyAlignment="1">
      <alignment horizontal="center" vertical="center"/>
    </xf>
    <xf numFmtId="166" fontId="1" fillId="11" borderId="0" xfId="1" applyNumberFormat="1" applyFont="1" applyFill="1" applyBorder="1" applyAlignment="1">
      <alignment horizontal="center" vertical="center"/>
    </xf>
    <xf numFmtId="166" fontId="1" fillId="11" borderId="47" xfId="1" applyNumberFormat="1" applyFont="1" applyFill="1" applyBorder="1" applyAlignment="1">
      <alignment horizontal="center" vertical="center"/>
    </xf>
    <xf numFmtId="0" fontId="1" fillId="9" borderId="2" xfId="0" applyFont="1" applyFill="1" applyBorder="1" applyAlignment="1">
      <alignment vertical="center" wrapText="1"/>
    </xf>
    <xf numFmtId="0" fontId="1" fillId="9" borderId="3" xfId="0" applyFont="1" applyFill="1" applyBorder="1" applyAlignment="1">
      <alignment vertical="center" wrapText="1"/>
    </xf>
    <xf numFmtId="0" fontId="0" fillId="9" borderId="3" xfId="0" applyFont="1" applyFill="1" applyBorder="1" applyAlignment="1">
      <alignment vertical="center" wrapText="1"/>
    </xf>
    <xf numFmtId="0" fontId="1" fillId="9" borderId="3" xfId="0" applyFont="1" applyFill="1" applyBorder="1" applyAlignment="1">
      <alignment vertical="center"/>
    </xf>
    <xf numFmtId="0" fontId="1" fillId="9" borderId="23" xfId="0" applyFont="1" applyFill="1" applyBorder="1" applyAlignment="1">
      <alignment vertical="center"/>
    </xf>
    <xf numFmtId="0" fontId="1" fillId="9" borderId="24" xfId="0" applyFont="1" applyFill="1" applyBorder="1" applyAlignment="1">
      <alignment vertical="center"/>
    </xf>
    <xf numFmtId="0" fontId="1" fillId="6" borderId="2" xfId="0" applyFont="1" applyFill="1" applyBorder="1" applyAlignment="1">
      <alignment vertical="center" wrapText="1"/>
    </xf>
    <xf numFmtId="0" fontId="1" fillId="6" borderId="3" xfId="0" applyFont="1" applyFill="1" applyBorder="1" applyAlignment="1">
      <alignment vertical="center" wrapText="1"/>
    </xf>
    <xf numFmtId="0" fontId="0" fillId="6" borderId="3" xfId="0" applyFont="1" applyFill="1" applyBorder="1" applyAlignment="1">
      <alignment vertical="center" wrapText="1"/>
    </xf>
    <xf numFmtId="0" fontId="1" fillId="6" borderId="3" xfId="0" applyFont="1" applyFill="1" applyBorder="1" applyAlignment="1">
      <alignment horizontal="center" vertical="center"/>
    </xf>
    <xf numFmtId="0" fontId="1" fillId="6" borderId="3" xfId="0" applyFont="1" applyFill="1" applyBorder="1" applyAlignment="1">
      <alignment vertical="center"/>
    </xf>
    <xf numFmtId="0" fontId="1" fillId="6" borderId="23" xfId="0" applyFont="1" applyFill="1" applyBorder="1" applyAlignment="1">
      <alignment vertical="center"/>
    </xf>
    <xf numFmtId="0" fontId="1" fillId="6" borderId="24" xfId="0" applyFont="1" applyFill="1" applyBorder="1" applyAlignment="1">
      <alignment vertical="center"/>
    </xf>
    <xf numFmtId="0" fontId="0" fillId="0" borderId="8" xfId="0" applyFont="1" applyBorder="1" applyAlignment="1">
      <alignment vertical="center" wrapText="1"/>
    </xf>
    <xf numFmtId="0" fontId="0" fillId="0" borderId="8" xfId="0" applyFont="1" applyBorder="1" applyAlignment="1">
      <alignment horizontal="center" vertical="center"/>
    </xf>
    <xf numFmtId="0" fontId="0" fillId="0" borderId="30" xfId="0" applyFont="1" applyBorder="1" applyAlignment="1">
      <alignment vertical="center"/>
    </xf>
    <xf numFmtId="166" fontId="3" fillId="0" borderId="48" xfId="1" applyNumberFormat="1" applyFont="1" applyFill="1" applyBorder="1" applyAlignment="1">
      <alignment vertical="center"/>
    </xf>
    <xf numFmtId="166" fontId="3" fillId="0" borderId="8" xfId="1" applyNumberFormat="1" applyFont="1" applyFill="1" applyBorder="1" applyAlignment="1">
      <alignment vertical="center"/>
    </xf>
    <xf numFmtId="166" fontId="3" fillId="0" borderId="49" xfId="1" applyNumberFormat="1" applyFont="1" applyFill="1" applyBorder="1" applyAlignment="1">
      <alignment vertical="center"/>
    </xf>
    <xf numFmtId="166" fontId="0" fillId="0" borderId="48" xfId="1" applyNumberFormat="1" applyFont="1" applyBorder="1" applyAlignment="1">
      <alignment vertical="center"/>
    </xf>
    <xf numFmtId="166" fontId="0" fillId="0" borderId="8" xfId="1" applyNumberFormat="1" applyFont="1" applyBorder="1" applyAlignment="1">
      <alignment vertical="center"/>
    </xf>
    <xf numFmtId="0" fontId="1" fillId="10" borderId="3" xfId="0" applyFont="1" applyFill="1" applyBorder="1" applyAlignment="1">
      <alignment horizontal="left" vertical="center"/>
    </xf>
    <xf numFmtId="0" fontId="1" fillId="11" borderId="3" xfId="0" applyFont="1" applyFill="1" applyBorder="1" applyAlignment="1">
      <alignment horizontal="left" vertical="center"/>
    </xf>
    <xf numFmtId="0" fontId="0" fillId="0" borderId="4" xfId="0" applyFill="1" applyBorder="1" applyAlignment="1">
      <alignment vertical="center"/>
    </xf>
    <xf numFmtId="0" fontId="0" fillId="0" borderId="11" xfId="0" applyFont="1" applyBorder="1" applyAlignment="1">
      <alignment vertical="center"/>
    </xf>
    <xf numFmtId="0" fontId="0" fillId="0" borderId="4" xfId="0" applyFont="1" applyBorder="1" applyAlignment="1">
      <alignment vertical="center"/>
    </xf>
    <xf numFmtId="0" fontId="0" fillId="0" borderId="4" xfId="0" applyBorder="1" applyAlignment="1">
      <alignment vertical="center"/>
    </xf>
    <xf numFmtId="0" fontId="0" fillId="0" borderId="4" xfId="0" applyFont="1" applyFill="1" applyBorder="1" applyAlignment="1">
      <alignment vertical="center"/>
    </xf>
    <xf numFmtId="0" fontId="0" fillId="0" borderId="4" xfId="0" applyFont="1" applyFill="1" applyBorder="1" applyAlignment="1">
      <alignment horizontal="left" vertical="center"/>
    </xf>
    <xf numFmtId="0" fontId="0" fillId="0" borderId="4" xfId="0" applyBorder="1" applyAlignment="1">
      <alignment vertical="center" wrapText="1"/>
    </xf>
    <xf numFmtId="0" fontId="1" fillId="10" borderId="34" xfId="0" applyFont="1" applyFill="1" applyBorder="1" applyAlignment="1">
      <alignment horizontal="center" vertical="center"/>
    </xf>
    <xf numFmtId="0" fontId="0" fillId="11" borderId="34" xfId="0" applyFill="1" applyBorder="1" applyAlignment="1">
      <alignment horizontal="center" vertical="center"/>
    </xf>
    <xf numFmtId="0" fontId="0" fillId="9" borderId="34" xfId="0" applyFill="1" applyBorder="1" applyAlignment="1">
      <alignment horizontal="center" vertical="center"/>
    </xf>
    <xf numFmtId="0" fontId="0" fillId="0" borderId="45" xfId="0" applyFill="1" applyBorder="1" applyAlignment="1">
      <alignment horizontal="center" vertical="center"/>
    </xf>
    <xf numFmtId="0" fontId="0" fillId="6" borderId="34" xfId="0" applyFill="1" applyBorder="1" applyAlignment="1">
      <alignment horizontal="center" vertical="center"/>
    </xf>
    <xf numFmtId="0" fontId="0" fillId="0" borderId="45" xfId="0" applyBorder="1" applyAlignment="1">
      <alignment horizontal="center" vertical="center"/>
    </xf>
    <xf numFmtId="0" fontId="0" fillId="0" borderId="43" xfId="0" applyFill="1" applyBorder="1" applyAlignment="1">
      <alignment vertical="center"/>
    </xf>
    <xf numFmtId="0" fontId="0" fillId="0" borderId="5" xfId="0" applyFill="1" applyBorder="1" applyAlignment="1">
      <alignment vertical="center" wrapText="1"/>
    </xf>
    <xf numFmtId="0" fontId="0" fillId="0" borderId="5" xfId="0" applyFont="1" applyFill="1" applyBorder="1" applyAlignment="1">
      <alignment horizontal="left" vertical="center" wrapText="1"/>
    </xf>
    <xf numFmtId="0" fontId="0" fillId="0" borderId="5" xfId="0" applyFont="1" applyFill="1" applyBorder="1" applyAlignment="1">
      <alignment vertical="center" wrapText="1"/>
    </xf>
    <xf numFmtId="0" fontId="0" fillId="0" borderId="5" xfId="0" applyFont="1" applyFill="1" applyBorder="1" applyAlignment="1">
      <alignment horizontal="center" vertical="center"/>
    </xf>
    <xf numFmtId="0" fontId="0" fillId="0" borderId="17" xfId="0" applyFont="1" applyFill="1" applyBorder="1" applyAlignment="1">
      <alignment vertical="center"/>
    </xf>
    <xf numFmtId="166" fontId="0" fillId="0" borderId="21" xfId="1" applyNumberFormat="1" applyFont="1" applyFill="1" applyBorder="1" applyAlignment="1">
      <alignment vertical="center"/>
    </xf>
    <xf numFmtId="166" fontId="0" fillId="0" borderId="5" xfId="1" applyNumberFormat="1" applyFont="1" applyFill="1" applyBorder="1" applyAlignment="1">
      <alignment vertical="center"/>
    </xf>
    <xf numFmtId="166" fontId="0" fillId="0" borderId="22" xfId="1" applyNumberFormat="1" applyFont="1" applyFill="1" applyBorder="1" applyAlignment="1">
      <alignment vertical="center"/>
    </xf>
    <xf numFmtId="166" fontId="3" fillId="0" borderId="5" xfId="1" applyNumberFormat="1" applyFont="1" applyFill="1" applyBorder="1" applyAlignment="1">
      <alignment vertical="center"/>
    </xf>
    <xf numFmtId="166" fontId="3" fillId="0" borderId="22" xfId="1" applyNumberFormat="1" applyFont="1" applyFill="1" applyBorder="1" applyAlignment="1">
      <alignment vertical="center"/>
    </xf>
    <xf numFmtId="166" fontId="0" fillId="0" borderId="21" xfId="1" applyNumberFormat="1" applyFont="1" applyBorder="1" applyAlignment="1">
      <alignment vertical="center"/>
    </xf>
    <xf numFmtId="166" fontId="0" fillId="0" borderId="5" xfId="1" applyNumberFormat="1" applyFont="1" applyBorder="1" applyAlignment="1">
      <alignment vertical="center"/>
    </xf>
    <xf numFmtId="166" fontId="3" fillId="0" borderId="2" xfId="1" applyNumberFormat="1" applyFont="1" applyFill="1" applyBorder="1" applyAlignment="1">
      <alignment vertical="center"/>
    </xf>
    <xf numFmtId="166" fontId="3" fillId="0" borderId="30" xfId="1" applyNumberFormat="1" applyFont="1" applyFill="1" applyBorder="1" applyAlignment="1">
      <alignment vertical="center"/>
    </xf>
    <xf numFmtId="166" fontId="2" fillId="0" borderId="2" xfId="1" applyNumberFormat="1" applyFont="1" applyFill="1" applyBorder="1" applyAlignment="1">
      <alignment vertical="center"/>
    </xf>
    <xf numFmtId="166" fontId="2" fillId="0" borderId="2" xfId="1" applyNumberFormat="1" applyFont="1" applyBorder="1" applyAlignment="1">
      <alignment vertical="center"/>
    </xf>
    <xf numFmtId="166" fontId="0" fillId="0" borderId="2" xfId="1" applyNumberFormat="1" applyFont="1" applyFill="1" applyBorder="1" applyAlignment="1">
      <alignment vertical="center"/>
    </xf>
    <xf numFmtId="166" fontId="3" fillId="0" borderId="17" xfId="1" applyNumberFormat="1" applyFont="1" applyFill="1" applyBorder="1" applyAlignment="1">
      <alignment vertical="center"/>
    </xf>
    <xf numFmtId="0" fontId="1" fillId="10" borderId="4" xfId="0" applyFont="1" applyFill="1" applyBorder="1" applyAlignment="1">
      <alignment horizontal="center" vertical="center" wrapText="1"/>
    </xf>
    <xf numFmtId="0" fontId="1" fillId="11" borderId="52" xfId="0" applyFont="1" applyFill="1" applyBorder="1" applyAlignment="1">
      <alignment horizontal="center" vertical="center" wrapText="1"/>
    </xf>
    <xf numFmtId="166" fontId="0" fillId="0" borderId="24" xfId="0" applyNumberFormat="1" applyBorder="1" applyAlignment="1">
      <alignment vertical="center"/>
    </xf>
    <xf numFmtId="0" fontId="1" fillId="6" borderId="4" xfId="0" applyFont="1" applyFill="1" applyBorder="1" applyAlignment="1">
      <alignment vertical="center"/>
    </xf>
    <xf numFmtId="166" fontId="0" fillId="0" borderId="52" xfId="0" applyNumberFormat="1" applyBorder="1" applyAlignment="1">
      <alignment vertical="center"/>
    </xf>
    <xf numFmtId="166" fontId="0" fillId="0" borderId="41" xfId="0" applyNumberFormat="1" applyBorder="1" applyAlignment="1">
      <alignment vertical="center"/>
    </xf>
    <xf numFmtId="166" fontId="0" fillId="0" borderId="49" xfId="1" applyNumberFormat="1" applyFont="1" applyBorder="1" applyAlignment="1">
      <alignment vertical="center"/>
    </xf>
    <xf numFmtId="166" fontId="0" fillId="0" borderId="22" xfId="1" applyNumberFormat="1" applyFont="1" applyBorder="1" applyAlignment="1">
      <alignment vertical="center"/>
    </xf>
    <xf numFmtId="166" fontId="1" fillId="0" borderId="13" xfId="0" applyNumberFormat="1" applyFont="1" applyBorder="1" applyAlignment="1">
      <alignment vertical="center"/>
    </xf>
    <xf numFmtId="166" fontId="1" fillId="0" borderId="53" xfId="0" applyNumberFormat="1" applyFont="1" applyBorder="1" applyAlignment="1">
      <alignment vertical="center"/>
    </xf>
    <xf numFmtId="166" fontId="1" fillId="0" borderId="54" xfId="0" applyNumberFormat="1" applyFont="1" applyBorder="1" applyAlignment="1">
      <alignment vertical="center"/>
    </xf>
    <xf numFmtId="0" fontId="9" fillId="0" borderId="0" xfId="0" applyFont="1" applyAlignment="1">
      <alignment horizontal="left" vertical="center"/>
    </xf>
    <xf numFmtId="166" fontId="1" fillId="0" borderId="2" xfId="1" applyNumberFormat="1" applyFont="1" applyFill="1" applyBorder="1" applyAlignment="1">
      <alignment vertical="center"/>
    </xf>
    <xf numFmtId="166" fontId="2" fillId="7" borderId="2" xfId="1" applyNumberFormat="1" applyFont="1" applyFill="1" applyBorder="1" applyAlignment="1">
      <alignment vertical="center"/>
    </xf>
    <xf numFmtId="166" fontId="0" fillId="7" borderId="2" xfId="1" applyNumberFormat="1" applyFont="1" applyFill="1" applyBorder="1" applyAlignment="1">
      <alignment vertical="center"/>
    </xf>
    <xf numFmtId="166" fontId="1" fillId="0" borderId="55" xfId="0" applyNumberFormat="1" applyFont="1" applyBorder="1" applyAlignment="1">
      <alignment vertical="center"/>
    </xf>
    <xf numFmtId="166" fontId="1" fillId="0" borderId="56" xfId="0" applyNumberFormat="1" applyFont="1" applyBorder="1" applyAlignment="1">
      <alignment vertical="center"/>
    </xf>
    <xf numFmtId="166" fontId="0" fillId="0" borderId="0" xfId="0" applyNumberFormat="1" applyFill="1" applyAlignment="1">
      <alignment vertical="center"/>
    </xf>
    <xf numFmtId="168" fontId="0" fillId="0" borderId="0" xfId="0" applyNumberFormat="1" applyFill="1" applyAlignment="1">
      <alignment vertical="center"/>
    </xf>
    <xf numFmtId="166" fontId="0" fillId="0" borderId="0" xfId="1" applyNumberFormat="1" applyFont="1" applyAlignment="1">
      <alignment horizontal="center" vertical="center"/>
    </xf>
    <xf numFmtId="166" fontId="1" fillId="10" borderId="4" xfId="1" applyNumberFormat="1" applyFont="1" applyFill="1" applyBorder="1" applyAlignment="1">
      <alignment horizontal="center" vertical="center" wrapText="1"/>
    </xf>
    <xf numFmtId="166" fontId="1" fillId="11" borderId="52" xfId="1" applyNumberFormat="1" applyFont="1" applyFill="1" applyBorder="1" applyAlignment="1">
      <alignment horizontal="center" vertical="center" wrapText="1"/>
    </xf>
    <xf numFmtId="166" fontId="1" fillId="9" borderId="23" xfId="1" applyNumberFormat="1" applyFont="1" applyFill="1" applyBorder="1" applyAlignment="1">
      <alignment vertical="center"/>
    </xf>
    <xf numFmtId="166" fontId="1" fillId="9" borderId="3" xfId="1" applyNumberFormat="1" applyFont="1" applyFill="1" applyBorder="1" applyAlignment="1">
      <alignment vertical="center"/>
    </xf>
    <xf numFmtId="166" fontId="1" fillId="9" borderId="24" xfId="1" applyNumberFormat="1" applyFont="1" applyFill="1" applyBorder="1" applyAlignment="1">
      <alignment vertical="center"/>
    </xf>
    <xf numFmtId="166" fontId="0" fillId="0" borderId="24" xfId="1" applyNumberFormat="1" applyFont="1" applyBorder="1" applyAlignment="1">
      <alignment vertical="center"/>
    </xf>
    <xf numFmtId="166" fontId="0" fillId="0" borderId="24" xfId="1" applyNumberFormat="1" applyFont="1" applyFill="1" applyBorder="1" applyAlignment="1">
      <alignment vertical="center"/>
    </xf>
    <xf numFmtId="166" fontId="1" fillId="6" borderId="23" xfId="1" applyNumberFormat="1" applyFont="1" applyFill="1" applyBorder="1" applyAlignment="1">
      <alignment vertical="center"/>
    </xf>
    <xf numFmtId="166" fontId="1" fillId="6" borderId="3" xfId="1" applyNumberFormat="1" applyFont="1" applyFill="1" applyBorder="1" applyAlignment="1">
      <alignment vertical="center"/>
    </xf>
    <xf numFmtId="166" fontId="1" fillId="6" borderId="4" xfId="1" applyNumberFormat="1" applyFont="1" applyFill="1" applyBorder="1" applyAlignment="1">
      <alignment vertical="center"/>
    </xf>
    <xf numFmtId="166" fontId="0" fillId="0" borderId="52" xfId="1" applyNumberFormat="1" applyFont="1" applyBorder="1" applyAlignment="1">
      <alignment vertical="center"/>
    </xf>
    <xf numFmtId="166" fontId="1" fillId="6" borderId="24" xfId="1" applyNumberFormat="1" applyFont="1" applyFill="1" applyBorder="1" applyAlignment="1">
      <alignment vertical="center"/>
    </xf>
    <xf numFmtId="166" fontId="0" fillId="0" borderId="41" xfId="1" applyNumberFormat="1" applyFont="1" applyBorder="1" applyAlignment="1">
      <alignment vertical="center"/>
    </xf>
    <xf numFmtId="166" fontId="1" fillId="0" borderId="53" xfId="1" applyNumberFormat="1" applyFont="1" applyBorder="1" applyAlignment="1">
      <alignment vertical="center"/>
    </xf>
    <xf numFmtId="166" fontId="1" fillId="0" borderId="54" xfId="1" applyNumberFormat="1" applyFont="1" applyBorder="1" applyAlignment="1">
      <alignment vertical="center"/>
    </xf>
    <xf numFmtId="166" fontId="1" fillId="0" borderId="13" xfId="1" applyNumberFormat="1" applyFont="1" applyBorder="1" applyAlignment="1">
      <alignment vertical="center"/>
    </xf>
    <xf numFmtId="166" fontId="0" fillId="4" borderId="25" xfId="1" applyNumberFormat="1" applyFont="1" applyFill="1" applyBorder="1" applyAlignment="1">
      <alignment vertical="center"/>
    </xf>
    <xf numFmtId="166" fontId="3" fillId="4" borderId="25" xfId="1" applyNumberFormat="1" applyFont="1" applyFill="1" applyBorder="1" applyAlignment="1">
      <alignment vertical="center"/>
    </xf>
    <xf numFmtId="166" fontId="2" fillId="4" borderId="25" xfId="1" applyNumberFormat="1" applyFont="1" applyFill="1" applyBorder="1" applyAlignment="1">
      <alignment vertical="center"/>
    </xf>
    <xf numFmtId="166" fontId="0" fillId="13" borderId="25" xfId="1" applyNumberFormat="1" applyFont="1" applyFill="1" applyBorder="1" applyAlignment="1">
      <alignment vertical="center"/>
    </xf>
    <xf numFmtId="166" fontId="2" fillId="13" borderId="25" xfId="1" applyNumberFormat="1" applyFont="1" applyFill="1" applyBorder="1" applyAlignment="1">
      <alignment vertical="center"/>
    </xf>
    <xf numFmtId="169" fontId="0" fillId="0" borderId="0" xfId="0" applyNumberFormat="1" applyAlignment="1">
      <alignment vertical="center"/>
    </xf>
    <xf numFmtId="166" fontId="6" fillId="12" borderId="37" xfId="1" applyNumberFormat="1" applyFont="1" applyFill="1" applyBorder="1" applyAlignment="1">
      <alignment horizontal="center" vertical="center" wrapText="1"/>
    </xf>
    <xf numFmtId="166" fontId="6" fillId="12" borderId="49" xfId="1" applyNumberFormat="1" applyFont="1" applyFill="1" applyBorder="1" applyAlignment="1">
      <alignment horizontal="center" vertical="center" wrapText="1"/>
    </xf>
    <xf numFmtId="0" fontId="6" fillId="12" borderId="36" xfId="0" applyFont="1" applyFill="1" applyBorder="1" applyAlignment="1">
      <alignment horizontal="center" vertical="center" wrapText="1"/>
    </xf>
    <xf numFmtId="0" fontId="6" fillId="12" borderId="7" xfId="0" applyFont="1" applyFill="1" applyBorder="1" applyAlignment="1">
      <alignment horizontal="center" vertical="center" wrapText="1"/>
    </xf>
    <xf numFmtId="0" fontId="6" fillId="12" borderId="37" xfId="0" applyFont="1" applyFill="1" applyBorder="1" applyAlignment="1">
      <alignment horizontal="center" vertical="center" wrapText="1"/>
    </xf>
    <xf numFmtId="0" fontId="6" fillId="12" borderId="44" xfId="0" applyFont="1" applyFill="1" applyBorder="1" applyAlignment="1">
      <alignment horizontal="center" vertical="center" wrapText="1"/>
    </xf>
    <xf numFmtId="0" fontId="6" fillId="12" borderId="18" xfId="0" applyFont="1" applyFill="1" applyBorder="1" applyAlignment="1">
      <alignment horizontal="center" vertical="center" wrapText="1"/>
    </xf>
    <xf numFmtId="0" fontId="6" fillId="12" borderId="19" xfId="0" applyFont="1" applyFill="1" applyBorder="1" applyAlignment="1">
      <alignment horizontal="center" vertical="center"/>
    </xf>
    <xf numFmtId="0" fontId="6" fillId="12" borderId="18" xfId="0" applyFont="1" applyFill="1" applyBorder="1" applyAlignment="1">
      <alignment horizontal="center" vertical="center"/>
    </xf>
    <xf numFmtId="0" fontId="6" fillId="12" borderId="20" xfId="0" applyFont="1" applyFill="1" applyBorder="1" applyAlignment="1">
      <alignment horizontal="center" vertical="center"/>
    </xf>
    <xf numFmtId="166" fontId="6" fillId="12" borderId="18" xfId="1" applyNumberFormat="1" applyFont="1" applyFill="1" applyBorder="1" applyAlignment="1">
      <alignment horizontal="center" vertical="center"/>
    </xf>
    <xf numFmtId="166" fontId="6" fillId="12" borderId="19" xfId="1" applyNumberFormat="1" applyFont="1" applyFill="1" applyBorder="1" applyAlignment="1">
      <alignment horizontal="center" vertical="center"/>
    </xf>
    <xf numFmtId="0" fontId="6" fillId="12" borderId="31" xfId="0" applyFont="1" applyFill="1" applyBorder="1" applyAlignment="1">
      <alignment horizontal="center" vertical="center"/>
    </xf>
    <xf numFmtId="0" fontId="6" fillId="12" borderId="45" xfId="0" applyFont="1" applyFill="1" applyBorder="1" applyAlignment="1">
      <alignment horizontal="center" vertical="center"/>
    </xf>
    <xf numFmtId="0" fontId="6" fillId="12" borderId="50" xfId="0" applyFont="1" applyFill="1" applyBorder="1" applyAlignment="1">
      <alignment horizontal="center" vertical="center"/>
    </xf>
    <xf numFmtId="0" fontId="6" fillId="12" borderId="9" xfId="0" applyFont="1" applyFill="1" applyBorder="1" applyAlignment="1">
      <alignment horizontal="center" vertical="center"/>
    </xf>
    <xf numFmtId="0" fontId="6" fillId="12" borderId="51" xfId="0" applyFont="1" applyFill="1" applyBorder="1" applyAlignment="1">
      <alignment horizontal="center" vertical="center" wrapText="1"/>
    </xf>
    <xf numFmtId="0" fontId="6" fillId="12" borderId="47" xfId="0" applyFont="1" applyFill="1" applyBorder="1" applyAlignment="1">
      <alignment horizontal="center" vertical="center" wrapText="1"/>
    </xf>
    <xf numFmtId="0" fontId="0" fillId="0" borderId="5" xfId="0" applyBorder="1" applyAlignment="1">
      <alignment horizontal="center" vertical="center"/>
    </xf>
    <xf numFmtId="0" fontId="0" fillId="0" borderId="8" xfId="0" applyBorder="1" applyAlignment="1">
      <alignment horizontal="center" vertical="center"/>
    </xf>
    <xf numFmtId="0" fontId="0" fillId="0" borderId="4" xfId="0" applyBorder="1" applyAlignment="1">
      <alignment horizontal="center"/>
    </xf>
    <xf numFmtId="0" fontId="0" fillId="0" borderId="1" xfId="0" applyBorder="1" applyAlignment="1">
      <alignment horizontal="center"/>
    </xf>
    <xf numFmtId="0" fontId="1" fillId="3" borderId="31" xfId="0" applyFont="1" applyFill="1" applyBorder="1" applyAlignment="1">
      <alignment horizontal="center" vertical="center" wrapText="1"/>
    </xf>
    <xf numFmtId="0" fontId="1" fillId="3" borderId="33" xfId="0" applyFont="1" applyFill="1" applyBorder="1" applyAlignment="1">
      <alignment horizontal="center" vertical="center" wrapText="1"/>
    </xf>
    <xf numFmtId="0" fontId="1" fillId="3" borderId="35" xfId="0" applyFont="1" applyFill="1" applyBorder="1" applyAlignment="1">
      <alignment horizontal="center" vertical="center"/>
    </xf>
    <xf numFmtId="0" fontId="1" fillId="3" borderId="38" xfId="0" applyFont="1" applyFill="1" applyBorder="1" applyAlignment="1">
      <alignment horizontal="center" vertical="center"/>
    </xf>
    <xf numFmtId="0" fontId="1" fillId="3" borderId="36" xfId="0" applyFont="1" applyFill="1" applyBorder="1" applyAlignment="1">
      <alignment horizontal="center" vertical="center" wrapText="1"/>
    </xf>
    <xf numFmtId="0" fontId="1" fillId="3" borderId="39" xfId="0" applyFont="1" applyFill="1" applyBorder="1" applyAlignment="1">
      <alignment horizontal="center" vertical="center" wrapText="1"/>
    </xf>
    <xf numFmtId="0" fontId="1" fillId="3" borderId="37" xfId="0" applyFont="1" applyFill="1" applyBorder="1" applyAlignment="1">
      <alignment horizontal="center" vertical="center" wrapText="1"/>
    </xf>
    <xf numFmtId="0" fontId="1" fillId="3" borderId="40" xfId="0" applyFont="1" applyFill="1" applyBorder="1" applyAlignment="1">
      <alignment horizontal="center" vertical="center" wrapText="1"/>
    </xf>
    <xf numFmtId="0" fontId="1" fillId="3" borderId="18" xfId="0" applyFont="1" applyFill="1" applyBorder="1" applyAlignment="1">
      <alignment horizontal="center" vertical="center"/>
    </xf>
    <xf numFmtId="0" fontId="1" fillId="3" borderId="19" xfId="0" applyFont="1" applyFill="1" applyBorder="1" applyAlignment="1">
      <alignment horizontal="center" vertical="center"/>
    </xf>
    <xf numFmtId="0" fontId="1" fillId="3" borderId="20" xfId="0" applyFont="1" applyFill="1" applyBorder="1" applyAlignment="1">
      <alignment horizontal="center" vertical="center"/>
    </xf>
  </cellXfs>
  <cellStyles count="4">
    <cellStyle name="Comma" xfId="1" builtinId="3"/>
    <cellStyle name="Normal" xfId="0" builtinId="0"/>
    <cellStyle name="Normal 2" xfId="3"/>
    <cellStyle name="Percent" xfId="2" builtinId="5"/>
  </cellStyles>
  <dxfs count="0"/>
  <tableStyles count="0" defaultTableStyle="TableStyleMedium2" defaultPivotStyle="PivotStyleLight16"/>
  <colors>
    <mruColors>
      <color rgb="FFFF9900"/>
      <color rgb="FF00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CN289"/>
  <sheetViews>
    <sheetView tabSelected="1" topLeftCell="A265" zoomScale="70" zoomScaleNormal="70" workbookViewId="0">
      <selection activeCell="D288" sqref="D288"/>
    </sheetView>
  </sheetViews>
  <sheetFormatPr defaultColWidth="11.42578125" defaultRowHeight="15" x14ac:dyDescent="0.25"/>
  <cols>
    <col min="1" max="1" width="11.42578125" style="14"/>
    <col min="2" max="2" width="17.140625" style="29" customWidth="1"/>
    <col min="3" max="3" width="66.140625" style="142" customWidth="1"/>
    <col min="4" max="4" width="39.7109375" style="142" customWidth="1"/>
    <col min="5" max="5" width="28" style="142" customWidth="1"/>
    <col min="6" max="6" width="10.28515625" style="34" bestFit="1" customWidth="1"/>
    <col min="7" max="8" width="13.85546875" style="14" hidden="1" customWidth="1"/>
    <col min="9" max="9" width="17.5703125" style="29" bestFit="1" customWidth="1"/>
    <col min="10" max="10" width="14.42578125" style="29" bestFit="1" customWidth="1"/>
    <col min="11" max="11" width="15.28515625" style="29" bestFit="1" customWidth="1"/>
    <col min="12" max="12" width="15.7109375" style="29" bestFit="1" customWidth="1"/>
    <col min="13" max="13" width="17.42578125" style="29" bestFit="1" customWidth="1"/>
    <col min="14" max="14" width="15.7109375" style="29" bestFit="1" customWidth="1"/>
    <col min="15" max="15" width="16" style="29" bestFit="1" customWidth="1"/>
    <col min="16" max="16" width="17.42578125" style="29" bestFit="1" customWidth="1"/>
    <col min="17" max="17" width="17.140625" style="182" bestFit="1" customWidth="1"/>
    <col min="18" max="18" width="16" style="182" bestFit="1" customWidth="1"/>
    <col min="19" max="19" width="39.28515625" style="295" bestFit="1" customWidth="1"/>
    <col min="20" max="20" width="11.42578125" style="29"/>
    <col min="21" max="23" width="14.140625" style="29" bestFit="1" customWidth="1"/>
    <col min="24" max="16384" width="11.42578125" style="29"/>
  </cols>
  <sheetData>
    <row r="1" spans="1:19" x14ac:dyDescent="0.25">
      <c r="D1" s="142" t="s">
        <v>129</v>
      </c>
      <c r="E1" s="142" t="s">
        <v>130</v>
      </c>
    </row>
    <row r="2" spans="1:19" ht="15.75" thickBot="1" x14ac:dyDescent="0.3"/>
    <row r="3" spans="1:19" x14ac:dyDescent="0.25">
      <c r="A3" s="330" t="s">
        <v>408</v>
      </c>
      <c r="B3" s="332" t="s">
        <v>355</v>
      </c>
      <c r="C3" s="320" t="s">
        <v>353</v>
      </c>
      <c r="D3" s="320" t="s">
        <v>354</v>
      </c>
      <c r="E3" s="320" t="s">
        <v>356</v>
      </c>
      <c r="F3" s="320" t="s">
        <v>357</v>
      </c>
      <c r="G3" s="320" t="s">
        <v>127</v>
      </c>
      <c r="H3" s="322" t="s">
        <v>128</v>
      </c>
      <c r="I3" s="324" t="s">
        <v>553</v>
      </c>
      <c r="J3" s="325"/>
      <c r="K3" s="326" t="s">
        <v>3</v>
      </c>
      <c r="L3" s="327"/>
      <c r="M3" s="326" t="s">
        <v>4</v>
      </c>
      <c r="N3" s="327"/>
      <c r="O3" s="326" t="s">
        <v>552</v>
      </c>
      <c r="P3" s="325"/>
      <c r="Q3" s="328" t="s">
        <v>154</v>
      </c>
      <c r="R3" s="329"/>
      <c r="S3" s="318" t="s">
        <v>352</v>
      </c>
    </row>
    <row r="4" spans="1:19" x14ac:dyDescent="0.25">
      <c r="A4" s="331"/>
      <c r="B4" s="333"/>
      <c r="C4" s="321"/>
      <c r="D4" s="321"/>
      <c r="E4" s="321"/>
      <c r="F4" s="321"/>
      <c r="G4" s="321"/>
      <c r="H4" s="323"/>
      <c r="I4" s="207" t="s">
        <v>124</v>
      </c>
      <c r="J4" s="208" t="s">
        <v>125</v>
      </c>
      <c r="K4" s="207" t="s">
        <v>124</v>
      </c>
      <c r="L4" s="208" t="s">
        <v>125</v>
      </c>
      <c r="M4" s="207" t="s">
        <v>124</v>
      </c>
      <c r="N4" s="208" t="s">
        <v>125</v>
      </c>
      <c r="O4" s="207" t="s">
        <v>124</v>
      </c>
      <c r="P4" s="208" t="s">
        <v>125</v>
      </c>
      <c r="Q4" s="207" t="s">
        <v>124</v>
      </c>
      <c r="R4" s="210" t="s">
        <v>125</v>
      </c>
      <c r="S4" s="319"/>
    </row>
    <row r="5" spans="1:19" x14ac:dyDescent="0.25">
      <c r="A5" s="251">
        <v>1</v>
      </c>
      <c r="B5" s="242" t="s">
        <v>403</v>
      </c>
      <c r="C5" s="211"/>
      <c r="D5" s="212"/>
      <c r="E5" s="212"/>
      <c r="F5" s="212"/>
      <c r="G5" s="212"/>
      <c r="H5" s="212"/>
      <c r="I5" s="213"/>
      <c r="J5" s="214"/>
      <c r="K5" s="213"/>
      <c r="L5" s="214"/>
      <c r="M5" s="213"/>
      <c r="N5" s="214"/>
      <c r="O5" s="213"/>
      <c r="P5" s="214"/>
      <c r="Q5" s="213"/>
      <c r="R5" s="214"/>
      <c r="S5" s="296"/>
    </row>
    <row r="6" spans="1:19" x14ac:dyDescent="0.25">
      <c r="A6" s="252" t="s">
        <v>406</v>
      </c>
      <c r="B6" s="243" t="s">
        <v>511</v>
      </c>
      <c r="C6" s="216"/>
      <c r="D6" s="217"/>
      <c r="E6" s="217"/>
      <c r="F6" s="217"/>
      <c r="G6" s="217"/>
      <c r="H6" s="217"/>
      <c r="I6" s="218"/>
      <c r="J6" s="219"/>
      <c r="K6" s="218"/>
      <c r="L6" s="219"/>
      <c r="M6" s="218"/>
      <c r="N6" s="219"/>
      <c r="O6" s="218"/>
      <c r="P6" s="219"/>
      <c r="Q6" s="218"/>
      <c r="R6" s="219"/>
      <c r="S6" s="297"/>
    </row>
    <row r="7" spans="1:19" x14ac:dyDescent="0.25">
      <c r="A7" s="253" t="s">
        <v>407</v>
      </c>
      <c r="B7" s="224"/>
      <c r="C7" s="221" t="s">
        <v>405</v>
      </c>
      <c r="D7" s="222"/>
      <c r="E7" s="223"/>
      <c r="F7" s="204"/>
      <c r="G7" s="204"/>
      <c r="H7" s="224"/>
      <c r="I7" s="225"/>
      <c r="J7" s="224"/>
      <c r="K7" s="225"/>
      <c r="L7" s="224"/>
      <c r="M7" s="225"/>
      <c r="N7" s="224"/>
      <c r="O7" s="225"/>
      <c r="P7" s="224"/>
      <c r="Q7" s="298"/>
      <c r="R7" s="299"/>
      <c r="S7" s="300"/>
    </row>
    <row r="8" spans="1:19" s="15" customFormat="1" ht="45" x14ac:dyDescent="0.25">
      <c r="A8" s="254"/>
      <c r="B8" s="244" t="s">
        <v>218</v>
      </c>
      <c r="C8" s="18" t="s">
        <v>220</v>
      </c>
      <c r="D8" s="103">
        <v>0.15</v>
      </c>
      <c r="E8" s="86" t="s">
        <v>221</v>
      </c>
      <c r="F8" s="27"/>
      <c r="G8" s="27"/>
      <c r="H8" s="28"/>
      <c r="I8" s="22">
        <v>6808801.3513782118</v>
      </c>
      <c r="J8" s="20"/>
      <c r="K8" s="22"/>
      <c r="L8" s="20"/>
      <c r="M8" s="22"/>
      <c r="N8" s="20"/>
      <c r="O8" s="22"/>
      <c r="P8" s="20"/>
      <c r="Q8" s="59">
        <f>+M8+K8+I8+O8</f>
        <v>6808801.3513782118</v>
      </c>
      <c r="R8" s="60">
        <f>+N8+L8+J8+P8</f>
        <v>0</v>
      </c>
      <c r="S8" s="301">
        <f>+Q8+R8</f>
        <v>6808801.3513782118</v>
      </c>
    </row>
    <row r="9" spans="1:19" s="15" customFormat="1" ht="30" x14ac:dyDescent="0.25">
      <c r="A9" s="254"/>
      <c r="B9" s="244" t="s">
        <v>218</v>
      </c>
      <c r="C9" s="18" t="s">
        <v>222</v>
      </c>
      <c r="D9" s="103">
        <v>0.05</v>
      </c>
      <c r="E9" s="86" t="s">
        <v>221</v>
      </c>
      <c r="F9" s="27"/>
      <c r="G9" s="27"/>
      <c r="H9" s="28"/>
      <c r="I9" s="22"/>
      <c r="J9" s="20"/>
      <c r="K9" s="22">
        <v>0</v>
      </c>
      <c r="L9" s="20"/>
      <c r="M9" s="22">
        <v>2269600.4504594039</v>
      </c>
      <c r="N9" s="20"/>
      <c r="O9" s="22"/>
      <c r="P9" s="20"/>
      <c r="Q9" s="59">
        <f t="shared" ref="Q9:Q72" si="0">+M9+K9+I9+O9</f>
        <v>2269600.4504594039</v>
      </c>
      <c r="R9" s="60">
        <f t="shared" ref="R9:R72" si="1">+N9+L9+J9+P9</f>
        <v>0</v>
      </c>
      <c r="S9" s="301">
        <f t="shared" ref="S9:S71" si="2">+Q9+R9</f>
        <v>2269600.4504594039</v>
      </c>
    </row>
    <row r="10" spans="1:19" s="15" customFormat="1" ht="30" x14ac:dyDescent="0.25">
      <c r="A10" s="254"/>
      <c r="B10" s="244" t="s">
        <v>218</v>
      </c>
      <c r="C10" s="18" t="s">
        <v>223</v>
      </c>
      <c r="D10" s="103">
        <v>0.05</v>
      </c>
      <c r="E10" s="86" t="s">
        <v>221</v>
      </c>
      <c r="F10" s="27"/>
      <c r="G10" s="27"/>
      <c r="H10" s="28"/>
      <c r="I10" s="22"/>
      <c r="J10" s="20"/>
      <c r="K10" s="22">
        <v>2269600.4504594039</v>
      </c>
      <c r="L10" s="20"/>
      <c r="M10" s="22">
        <v>0</v>
      </c>
      <c r="N10" s="20"/>
      <c r="O10" s="22"/>
      <c r="P10" s="20"/>
      <c r="Q10" s="59">
        <f t="shared" si="0"/>
        <v>2269600.4504594039</v>
      </c>
      <c r="R10" s="60">
        <f t="shared" si="1"/>
        <v>0</v>
      </c>
      <c r="S10" s="301">
        <f t="shared" si="2"/>
        <v>2269600.4504594039</v>
      </c>
    </row>
    <row r="11" spans="1:19" s="15" customFormat="1" x14ac:dyDescent="0.25">
      <c r="A11" s="254"/>
      <c r="B11" s="244" t="s">
        <v>218</v>
      </c>
      <c r="C11" s="18" t="s">
        <v>224</v>
      </c>
      <c r="D11" s="103">
        <v>0.1</v>
      </c>
      <c r="E11" s="86" t="s">
        <v>221</v>
      </c>
      <c r="F11" s="27"/>
      <c r="G11" s="27"/>
      <c r="H11" s="28"/>
      <c r="I11" s="22"/>
      <c r="J11" s="20"/>
      <c r="K11" s="22">
        <v>0</v>
      </c>
      <c r="L11" s="20"/>
      <c r="M11" s="22">
        <v>0</v>
      </c>
      <c r="N11" s="20"/>
      <c r="O11" s="22">
        <v>4539200.9009188078</v>
      </c>
      <c r="P11" s="20"/>
      <c r="Q11" s="59">
        <f t="shared" si="0"/>
        <v>4539200.9009188078</v>
      </c>
      <c r="R11" s="60">
        <f t="shared" si="1"/>
        <v>0</v>
      </c>
      <c r="S11" s="301">
        <f t="shared" si="2"/>
        <v>4539200.9009188078</v>
      </c>
    </row>
    <row r="12" spans="1:19" s="15" customFormat="1" ht="30" x14ac:dyDescent="0.25">
      <c r="A12" s="254"/>
      <c r="B12" s="244" t="s">
        <v>218</v>
      </c>
      <c r="C12" s="18" t="s">
        <v>225</v>
      </c>
      <c r="D12" s="103">
        <v>0.1</v>
      </c>
      <c r="E12" s="86" t="s">
        <v>221</v>
      </c>
      <c r="F12" s="27"/>
      <c r="G12" s="27"/>
      <c r="H12" s="28"/>
      <c r="I12" s="22"/>
      <c r="J12" s="20"/>
      <c r="K12" s="22"/>
      <c r="L12" s="20"/>
      <c r="M12" s="22">
        <v>0</v>
      </c>
      <c r="N12" s="20"/>
      <c r="O12" s="22">
        <v>4539200.9009188078</v>
      </c>
      <c r="P12" s="20"/>
      <c r="Q12" s="59">
        <f t="shared" si="0"/>
        <v>4539200.9009188078</v>
      </c>
      <c r="R12" s="60">
        <f t="shared" si="1"/>
        <v>0</v>
      </c>
      <c r="S12" s="301">
        <f t="shared" si="2"/>
        <v>4539200.9009188078</v>
      </c>
    </row>
    <row r="13" spans="1:19" s="15" customFormat="1" ht="45" x14ac:dyDescent="0.25">
      <c r="A13" s="254"/>
      <c r="B13" s="244" t="s">
        <v>218</v>
      </c>
      <c r="C13" s="18" t="s">
        <v>226</v>
      </c>
      <c r="D13" s="103">
        <v>0.1</v>
      </c>
      <c r="E13" s="86" t="s">
        <v>221</v>
      </c>
      <c r="F13" s="27"/>
      <c r="G13" s="27"/>
      <c r="H13" s="28"/>
      <c r="J13" s="20"/>
      <c r="K13" s="22">
        <v>4539200.9009188078</v>
      </c>
      <c r="L13" s="20"/>
      <c r="M13" s="22"/>
      <c r="N13" s="20"/>
      <c r="O13" s="22"/>
      <c r="P13" s="20"/>
      <c r="Q13" s="22">
        <f t="shared" si="0"/>
        <v>4539200.9009188078</v>
      </c>
      <c r="R13" s="20">
        <f t="shared" si="1"/>
        <v>0</v>
      </c>
      <c r="S13" s="302">
        <f t="shared" ref="S13" si="3">+Q13+R13</f>
        <v>4539200.9009188078</v>
      </c>
    </row>
    <row r="14" spans="1:19" s="15" customFormat="1" ht="45" x14ac:dyDescent="0.25">
      <c r="A14" s="254"/>
      <c r="B14" s="244" t="s">
        <v>218</v>
      </c>
      <c r="C14" s="18" t="s">
        <v>227</v>
      </c>
      <c r="D14" s="103">
        <v>0.1</v>
      </c>
      <c r="E14" s="86" t="s">
        <v>221</v>
      </c>
      <c r="F14" s="27"/>
      <c r="G14" s="27"/>
      <c r="H14" s="28"/>
      <c r="I14" s="22"/>
      <c r="J14" s="20"/>
      <c r="K14" s="22">
        <v>0</v>
      </c>
      <c r="L14" s="20"/>
      <c r="M14" s="22">
        <v>4539200.9009188078</v>
      </c>
      <c r="N14" s="20"/>
      <c r="O14" s="22"/>
      <c r="P14" s="20"/>
      <c r="Q14" s="59">
        <f t="shared" si="0"/>
        <v>4539200.9009188078</v>
      </c>
      <c r="R14" s="60">
        <f t="shared" si="1"/>
        <v>0</v>
      </c>
      <c r="S14" s="301">
        <f t="shared" si="2"/>
        <v>4539200.9009188078</v>
      </c>
    </row>
    <row r="15" spans="1:19" s="15" customFormat="1" ht="30" x14ac:dyDescent="0.25">
      <c r="A15" s="254"/>
      <c r="B15" s="244" t="s">
        <v>218</v>
      </c>
      <c r="C15" s="18" t="s">
        <v>228</v>
      </c>
      <c r="D15" s="103">
        <v>0.1</v>
      </c>
      <c r="E15" s="86" t="s">
        <v>221</v>
      </c>
      <c r="F15" s="27"/>
      <c r="G15" s="27"/>
      <c r="H15" s="28"/>
      <c r="I15" s="22">
        <f>4539200.90091881*0.7</f>
        <v>3177440.6306431666</v>
      </c>
      <c r="J15" s="20"/>
      <c r="K15" s="22">
        <f>4539200.90091881*0.3</f>
        <v>1361760.2702756429</v>
      </c>
      <c r="L15" s="20"/>
      <c r="M15" s="22"/>
      <c r="N15" s="20"/>
      <c r="O15" s="22"/>
      <c r="P15" s="20"/>
      <c r="Q15" s="22">
        <f t="shared" si="0"/>
        <v>4539200.9009188097</v>
      </c>
      <c r="R15" s="20">
        <f t="shared" si="1"/>
        <v>0</v>
      </c>
      <c r="S15" s="302">
        <f t="shared" si="2"/>
        <v>4539200.9009188097</v>
      </c>
    </row>
    <row r="16" spans="1:19" s="15" customFormat="1" ht="30" x14ac:dyDescent="0.25">
      <c r="A16" s="254"/>
      <c r="B16" s="244" t="s">
        <v>218</v>
      </c>
      <c r="C16" s="18" t="s">
        <v>229</v>
      </c>
      <c r="D16" s="103">
        <v>0.05</v>
      </c>
      <c r="E16" s="86" t="s">
        <v>221</v>
      </c>
      <c r="F16" s="27"/>
      <c r="G16" s="27"/>
      <c r="H16" s="28"/>
      <c r="I16" s="22"/>
      <c r="J16" s="20"/>
      <c r="K16" s="22">
        <v>0</v>
      </c>
      <c r="L16" s="20"/>
      <c r="M16" s="22">
        <v>0</v>
      </c>
      <c r="N16" s="20"/>
      <c r="O16" s="22">
        <v>2269600.4504594039</v>
      </c>
      <c r="P16" s="20"/>
      <c r="Q16" s="59">
        <f t="shared" si="0"/>
        <v>2269600.4504594039</v>
      </c>
      <c r="R16" s="60">
        <f t="shared" si="1"/>
        <v>0</v>
      </c>
      <c r="S16" s="301">
        <f t="shared" si="2"/>
        <v>2269600.4504594039</v>
      </c>
    </row>
    <row r="17" spans="1:19" s="15" customFormat="1" ht="45" x14ac:dyDescent="0.25">
      <c r="A17" s="254"/>
      <c r="B17" s="244" t="s">
        <v>218</v>
      </c>
      <c r="C17" s="18" t="s">
        <v>230</v>
      </c>
      <c r="D17" s="103">
        <v>0.1</v>
      </c>
      <c r="E17" s="86" t="s">
        <v>221</v>
      </c>
      <c r="F17" s="27"/>
      <c r="G17" s="27"/>
      <c r="H17" s="28"/>
      <c r="I17" s="22"/>
      <c r="J17" s="20"/>
      <c r="K17" s="22">
        <v>0</v>
      </c>
      <c r="L17" s="20"/>
      <c r="M17" s="22">
        <v>4539200.9009188078</v>
      </c>
      <c r="N17" s="20"/>
      <c r="O17" s="22"/>
      <c r="P17" s="20"/>
      <c r="Q17" s="59">
        <f t="shared" si="0"/>
        <v>4539200.9009188078</v>
      </c>
      <c r="R17" s="60">
        <f t="shared" si="1"/>
        <v>0</v>
      </c>
      <c r="S17" s="301">
        <f t="shared" si="2"/>
        <v>4539200.9009188078</v>
      </c>
    </row>
    <row r="18" spans="1:19" s="15" customFormat="1" ht="45" x14ac:dyDescent="0.25">
      <c r="A18" s="254"/>
      <c r="B18" s="244" t="s">
        <v>218</v>
      </c>
      <c r="C18" s="18" t="s">
        <v>231</v>
      </c>
      <c r="D18" s="103">
        <v>0.1</v>
      </c>
      <c r="E18" s="86" t="s">
        <v>221</v>
      </c>
      <c r="F18" s="27"/>
      <c r="G18" s="27"/>
      <c r="H18" s="28"/>
      <c r="I18" s="22"/>
      <c r="J18" s="20"/>
      <c r="K18" s="22"/>
      <c r="L18" s="20"/>
      <c r="M18" s="22">
        <v>0</v>
      </c>
      <c r="N18" s="20"/>
      <c r="O18" s="22">
        <v>4539200.9009188078</v>
      </c>
      <c r="P18" s="20"/>
      <c r="Q18" s="59">
        <f t="shared" si="0"/>
        <v>4539200.9009188078</v>
      </c>
      <c r="R18" s="60">
        <f t="shared" si="1"/>
        <v>0</v>
      </c>
      <c r="S18" s="301">
        <f t="shared" si="2"/>
        <v>4539200.9009188078</v>
      </c>
    </row>
    <row r="19" spans="1:19" x14ac:dyDescent="0.25">
      <c r="A19" s="253" t="s">
        <v>442</v>
      </c>
      <c r="B19" s="224" t="s">
        <v>218</v>
      </c>
      <c r="C19" s="221" t="s">
        <v>362</v>
      </c>
      <c r="D19" s="222"/>
      <c r="E19" s="223"/>
      <c r="F19" s="204"/>
      <c r="G19" s="204"/>
      <c r="H19" s="224"/>
      <c r="I19" s="225"/>
      <c r="J19" s="224"/>
      <c r="K19" s="225"/>
      <c r="L19" s="224"/>
      <c r="M19" s="225"/>
      <c r="N19" s="224"/>
      <c r="O19" s="225"/>
      <c r="P19" s="224"/>
      <c r="Q19" s="298">
        <f t="shared" si="0"/>
        <v>0</v>
      </c>
      <c r="R19" s="299">
        <f t="shared" si="1"/>
        <v>0</v>
      </c>
      <c r="S19" s="300"/>
    </row>
    <row r="20" spans="1:19" s="15" customFormat="1" ht="45" x14ac:dyDescent="0.25">
      <c r="A20" s="254"/>
      <c r="B20" s="244" t="s">
        <v>218</v>
      </c>
      <c r="C20" s="18" t="s">
        <v>233</v>
      </c>
      <c r="D20" s="103" t="s">
        <v>234</v>
      </c>
      <c r="E20" s="86" t="s">
        <v>221</v>
      </c>
      <c r="F20" s="27">
        <v>60</v>
      </c>
      <c r="G20" s="27" t="s">
        <v>235</v>
      </c>
      <c r="H20" s="28">
        <v>10000</v>
      </c>
      <c r="I20" s="22">
        <v>120000</v>
      </c>
      <c r="J20" s="20"/>
      <c r="K20" s="22">
        <v>280000</v>
      </c>
      <c r="L20" s="67"/>
      <c r="M20" s="22">
        <v>200000</v>
      </c>
      <c r="N20" s="67"/>
      <c r="O20" s="22"/>
      <c r="P20" s="67"/>
      <c r="Q20" s="59">
        <f t="shared" si="0"/>
        <v>600000</v>
      </c>
      <c r="R20" s="60">
        <f t="shared" si="1"/>
        <v>0</v>
      </c>
      <c r="S20" s="301">
        <f t="shared" si="2"/>
        <v>600000</v>
      </c>
    </row>
    <row r="21" spans="1:19" s="15" customFormat="1" x14ac:dyDescent="0.25">
      <c r="A21" s="254"/>
      <c r="B21" s="244" t="s">
        <v>218</v>
      </c>
      <c r="C21" s="18" t="s">
        <v>236</v>
      </c>
      <c r="D21" s="205" t="s">
        <v>539</v>
      </c>
      <c r="E21" s="18" t="s">
        <v>538</v>
      </c>
      <c r="F21" s="27">
        <v>3</v>
      </c>
      <c r="G21" s="27" t="s">
        <v>235</v>
      </c>
      <c r="H21" s="28">
        <f>6500/15</f>
        <v>433.33333333333331</v>
      </c>
      <c r="I21" s="22"/>
      <c r="J21" s="20">
        <v>2600</v>
      </c>
      <c r="K21" s="22"/>
      <c r="L21" s="67">
        <v>1300</v>
      </c>
      <c r="M21" s="22"/>
      <c r="N21" s="67">
        <v>0</v>
      </c>
      <c r="O21" s="22"/>
      <c r="P21" s="67"/>
      <c r="Q21" s="59">
        <f t="shared" si="0"/>
        <v>0</v>
      </c>
      <c r="R21" s="60">
        <f t="shared" si="1"/>
        <v>3900</v>
      </c>
      <c r="S21" s="301">
        <f t="shared" si="2"/>
        <v>3900</v>
      </c>
    </row>
    <row r="22" spans="1:19" s="15" customFormat="1" x14ac:dyDescent="0.25">
      <c r="A22" s="254"/>
      <c r="B22" s="244" t="s">
        <v>218</v>
      </c>
      <c r="C22" s="18" t="s">
        <v>34</v>
      </c>
      <c r="D22" s="103" t="s">
        <v>239</v>
      </c>
      <c r="E22" s="18" t="s">
        <v>537</v>
      </c>
      <c r="F22" s="27"/>
      <c r="G22" s="27"/>
      <c r="H22" s="28"/>
      <c r="I22" s="22">
        <f>6333.33333333333*0.6</f>
        <v>3799.9999999999982</v>
      </c>
      <c r="J22" s="20">
        <v>2533.2000000000003</v>
      </c>
      <c r="K22" s="22">
        <f>6333.33333333333*0.6</f>
        <v>3799.9999999999982</v>
      </c>
      <c r="L22" s="67">
        <v>2533.2000000000003</v>
      </c>
      <c r="M22" s="22">
        <f>6333.33333333333*0.6</f>
        <v>3799.9999999999982</v>
      </c>
      <c r="N22" s="67">
        <v>2533.2000000000003</v>
      </c>
      <c r="O22" s="22"/>
      <c r="P22" s="67"/>
      <c r="Q22" s="59">
        <f t="shared" si="0"/>
        <v>11399.999999999995</v>
      </c>
      <c r="R22" s="60">
        <f t="shared" si="1"/>
        <v>7599.6</v>
      </c>
      <c r="S22" s="301">
        <f t="shared" si="2"/>
        <v>18999.599999999995</v>
      </c>
    </row>
    <row r="23" spans="1:19" x14ac:dyDescent="0.25">
      <c r="A23" s="253" t="s">
        <v>443</v>
      </c>
      <c r="B23" s="224" t="s">
        <v>218</v>
      </c>
      <c r="C23" s="221" t="s">
        <v>400</v>
      </c>
      <c r="D23" s="222"/>
      <c r="E23" s="223"/>
      <c r="F23" s="204"/>
      <c r="G23" s="204"/>
      <c r="H23" s="224"/>
      <c r="I23" s="225"/>
      <c r="J23" s="224"/>
      <c r="K23" s="225"/>
      <c r="L23" s="224"/>
      <c r="M23" s="225"/>
      <c r="N23" s="224"/>
      <c r="O23" s="225"/>
      <c r="P23" s="224"/>
      <c r="Q23" s="298">
        <f t="shared" si="0"/>
        <v>0</v>
      </c>
      <c r="R23" s="299">
        <f t="shared" si="1"/>
        <v>0</v>
      </c>
      <c r="S23" s="300"/>
    </row>
    <row r="24" spans="1:19" s="15" customFormat="1" x14ac:dyDescent="0.25">
      <c r="A24" s="254"/>
      <c r="B24" s="244" t="s">
        <v>218</v>
      </c>
      <c r="C24" s="18" t="s">
        <v>242</v>
      </c>
      <c r="D24" s="103" t="s">
        <v>243</v>
      </c>
      <c r="E24" s="86" t="s">
        <v>221</v>
      </c>
      <c r="F24" s="27"/>
      <c r="G24" s="27"/>
      <c r="H24" s="28"/>
      <c r="I24" s="22">
        <v>0</v>
      </c>
      <c r="J24" s="20"/>
      <c r="K24" s="22">
        <f>110000*0.45</f>
        <v>49500</v>
      </c>
      <c r="L24" s="67"/>
      <c r="M24" s="22">
        <f>110000*0.55</f>
        <v>60500.000000000007</v>
      </c>
      <c r="N24" s="67"/>
      <c r="O24" s="22"/>
      <c r="P24" s="67"/>
      <c r="Q24" s="59">
        <f t="shared" si="0"/>
        <v>110000</v>
      </c>
      <c r="R24" s="60">
        <f t="shared" si="1"/>
        <v>0</v>
      </c>
      <c r="S24" s="301">
        <f t="shared" si="2"/>
        <v>110000</v>
      </c>
    </row>
    <row r="25" spans="1:19" x14ac:dyDescent="0.25">
      <c r="A25" s="253" t="s">
        <v>444</v>
      </c>
      <c r="B25" s="224" t="s">
        <v>218</v>
      </c>
      <c r="C25" s="221" t="s">
        <v>401</v>
      </c>
      <c r="D25" s="222"/>
      <c r="E25" s="223"/>
      <c r="F25" s="204"/>
      <c r="G25" s="204"/>
      <c r="H25" s="224"/>
      <c r="I25" s="225"/>
      <c r="J25" s="224"/>
      <c r="K25" s="225"/>
      <c r="L25" s="224"/>
      <c r="M25" s="225"/>
      <c r="N25" s="224"/>
      <c r="O25" s="225"/>
      <c r="P25" s="224"/>
      <c r="Q25" s="298">
        <f t="shared" si="0"/>
        <v>0</v>
      </c>
      <c r="R25" s="299">
        <f t="shared" si="1"/>
        <v>0</v>
      </c>
      <c r="S25" s="300"/>
    </row>
    <row r="26" spans="1:19" s="15" customFormat="1" x14ac:dyDescent="0.25">
      <c r="A26" s="254"/>
      <c r="B26" s="244" t="s">
        <v>218</v>
      </c>
      <c r="C26" s="18" t="s">
        <v>245</v>
      </c>
      <c r="D26" s="103" t="s">
        <v>512</v>
      </c>
      <c r="E26" s="18" t="s">
        <v>540</v>
      </c>
      <c r="F26" s="27"/>
      <c r="G26" s="27"/>
      <c r="H26" s="28"/>
      <c r="I26" s="22">
        <f>1900000*0.2</f>
        <v>380000</v>
      </c>
      <c r="J26" s="20">
        <f>190000</f>
        <v>190000</v>
      </c>
      <c r="K26" s="22"/>
      <c r="L26" s="67"/>
      <c r="M26" s="22">
        <v>0</v>
      </c>
      <c r="N26" s="67"/>
      <c r="O26" s="22"/>
      <c r="P26" s="67"/>
      <c r="Q26" s="59">
        <f t="shared" si="0"/>
        <v>380000</v>
      </c>
      <c r="R26" s="60">
        <f t="shared" si="1"/>
        <v>190000</v>
      </c>
      <c r="S26" s="301">
        <f t="shared" si="2"/>
        <v>570000</v>
      </c>
    </row>
    <row r="27" spans="1:19" s="15" customFormat="1" x14ac:dyDescent="0.25">
      <c r="A27" s="254"/>
      <c r="B27" s="244" t="s">
        <v>218</v>
      </c>
      <c r="C27" s="18" t="s">
        <v>247</v>
      </c>
      <c r="D27" s="103"/>
      <c r="E27" s="18" t="s">
        <v>540</v>
      </c>
      <c r="F27" s="27"/>
      <c r="G27" s="27"/>
      <c r="H27" s="28"/>
      <c r="I27" s="22">
        <v>0</v>
      </c>
      <c r="J27" s="20"/>
      <c r="K27" s="22">
        <v>230546</v>
      </c>
      <c r="L27" s="67"/>
      <c r="M27" s="22"/>
      <c r="N27" s="67"/>
      <c r="O27" s="22"/>
      <c r="P27" s="67"/>
      <c r="Q27" s="59">
        <f t="shared" si="0"/>
        <v>230546</v>
      </c>
      <c r="R27" s="60">
        <f t="shared" si="1"/>
        <v>0</v>
      </c>
      <c r="S27" s="301">
        <f t="shared" si="2"/>
        <v>230546</v>
      </c>
    </row>
    <row r="28" spans="1:19" s="15" customFormat="1" x14ac:dyDescent="0.25">
      <c r="A28" s="254"/>
      <c r="B28" s="244" t="s">
        <v>218</v>
      </c>
      <c r="C28" s="18" t="s">
        <v>249</v>
      </c>
      <c r="D28" s="103"/>
      <c r="E28" s="18" t="s">
        <v>540</v>
      </c>
      <c r="F28" s="27"/>
      <c r="G28" s="27"/>
      <c r="H28" s="28"/>
      <c r="I28" s="22">
        <v>0</v>
      </c>
      <c r="J28" s="20"/>
      <c r="K28" s="22">
        <v>0</v>
      </c>
      <c r="L28" s="67"/>
      <c r="M28" s="22">
        <v>208000</v>
      </c>
      <c r="N28" s="67"/>
      <c r="O28" s="22"/>
      <c r="P28" s="67"/>
      <c r="Q28" s="59">
        <f t="shared" si="0"/>
        <v>208000</v>
      </c>
      <c r="R28" s="60">
        <f t="shared" si="1"/>
        <v>0</v>
      </c>
      <c r="S28" s="301">
        <f t="shared" si="2"/>
        <v>208000</v>
      </c>
    </row>
    <row r="29" spans="1:19" x14ac:dyDescent="0.25">
      <c r="A29" s="253" t="s">
        <v>445</v>
      </c>
      <c r="B29" s="224" t="s">
        <v>218</v>
      </c>
      <c r="C29" s="221" t="s">
        <v>446</v>
      </c>
      <c r="D29" s="222"/>
      <c r="E29" s="223"/>
      <c r="F29" s="204"/>
      <c r="G29" s="204"/>
      <c r="H29" s="224"/>
      <c r="I29" s="225"/>
      <c r="J29" s="224"/>
      <c r="K29" s="225"/>
      <c r="L29" s="224"/>
      <c r="M29" s="225"/>
      <c r="N29" s="224"/>
      <c r="O29" s="225"/>
      <c r="P29" s="224"/>
      <c r="Q29" s="298">
        <f t="shared" si="0"/>
        <v>0</v>
      </c>
      <c r="R29" s="299">
        <f t="shared" si="1"/>
        <v>0</v>
      </c>
      <c r="S29" s="300"/>
    </row>
    <row r="30" spans="1:19" s="15" customFormat="1" x14ac:dyDescent="0.25">
      <c r="A30" s="254"/>
      <c r="B30" s="244" t="s">
        <v>218</v>
      </c>
      <c r="C30" s="18" t="s">
        <v>253</v>
      </c>
      <c r="D30" s="103" t="s">
        <v>254</v>
      </c>
      <c r="E30" s="86" t="s">
        <v>132</v>
      </c>
      <c r="F30" s="27">
        <v>1</v>
      </c>
      <c r="G30" s="27">
        <v>12</v>
      </c>
      <c r="H30" s="28">
        <v>27748</v>
      </c>
      <c r="I30" s="22"/>
      <c r="J30" s="24">
        <v>28857.920000000002</v>
      </c>
      <c r="K30" s="22"/>
      <c r="L30" s="67">
        <v>36072.400000000001</v>
      </c>
      <c r="M30" s="22"/>
      <c r="N30" s="67">
        <v>45090.5</v>
      </c>
      <c r="O30" s="22"/>
      <c r="P30" s="67">
        <v>45090.5</v>
      </c>
      <c r="Q30" s="59">
        <f t="shared" si="0"/>
        <v>0</v>
      </c>
      <c r="R30" s="60">
        <f t="shared" si="1"/>
        <v>155111.32</v>
      </c>
      <c r="S30" s="301">
        <f t="shared" si="2"/>
        <v>155111.32</v>
      </c>
    </row>
    <row r="31" spans="1:19" s="15" customFormat="1" ht="30" x14ac:dyDescent="0.25">
      <c r="A31" s="254"/>
      <c r="B31" s="244" t="s">
        <v>218</v>
      </c>
      <c r="C31" s="18" t="s">
        <v>255</v>
      </c>
      <c r="D31" s="103" t="s">
        <v>256</v>
      </c>
      <c r="E31" s="86" t="s">
        <v>132</v>
      </c>
      <c r="F31" s="27">
        <v>2</v>
      </c>
      <c r="G31" s="27">
        <v>12</v>
      </c>
      <c r="H31" s="28">
        <v>13025</v>
      </c>
      <c r="I31" s="22"/>
      <c r="J31" s="20">
        <v>27092</v>
      </c>
      <c r="K31" s="22"/>
      <c r="L31" s="67">
        <v>33865</v>
      </c>
      <c r="M31" s="22"/>
      <c r="N31" s="67">
        <v>42331.25</v>
      </c>
      <c r="O31" s="22"/>
      <c r="P31" s="67">
        <v>42331.25</v>
      </c>
      <c r="Q31" s="59">
        <f t="shared" si="0"/>
        <v>0</v>
      </c>
      <c r="R31" s="60">
        <f t="shared" si="1"/>
        <v>145619.5</v>
      </c>
      <c r="S31" s="301">
        <f t="shared" si="2"/>
        <v>145619.5</v>
      </c>
    </row>
    <row r="32" spans="1:19" s="15" customFormat="1" x14ac:dyDescent="0.25">
      <c r="A32" s="254"/>
      <c r="B32" s="244" t="s">
        <v>218</v>
      </c>
      <c r="C32" s="18" t="s">
        <v>257</v>
      </c>
      <c r="D32" s="103" t="s">
        <v>258</v>
      </c>
      <c r="E32" s="86" t="s">
        <v>132</v>
      </c>
      <c r="F32" s="27">
        <v>2</v>
      </c>
      <c r="G32" s="27">
        <v>12</v>
      </c>
      <c r="H32" s="28">
        <v>13025</v>
      </c>
      <c r="I32" s="22"/>
      <c r="J32" s="20">
        <v>27092</v>
      </c>
      <c r="K32" s="22"/>
      <c r="L32" s="67">
        <v>33865</v>
      </c>
      <c r="M32" s="22"/>
      <c r="N32" s="67">
        <v>42331.25</v>
      </c>
      <c r="O32" s="22"/>
      <c r="P32" s="67">
        <v>42331.25</v>
      </c>
      <c r="Q32" s="59">
        <f t="shared" si="0"/>
        <v>0</v>
      </c>
      <c r="R32" s="60">
        <f t="shared" si="1"/>
        <v>145619.5</v>
      </c>
      <c r="S32" s="301">
        <f t="shared" si="2"/>
        <v>145619.5</v>
      </c>
    </row>
    <row r="33" spans="1:19" s="15" customFormat="1" ht="30" x14ac:dyDescent="0.25">
      <c r="A33" s="254"/>
      <c r="B33" s="244" t="s">
        <v>218</v>
      </c>
      <c r="C33" s="18" t="s">
        <v>259</v>
      </c>
      <c r="D33" s="103" t="s">
        <v>260</v>
      </c>
      <c r="E33" s="86" t="s">
        <v>132</v>
      </c>
      <c r="F33" s="27">
        <v>1</v>
      </c>
      <c r="G33" s="27">
        <v>12</v>
      </c>
      <c r="H33" s="28">
        <v>26238</v>
      </c>
      <c r="I33" s="22"/>
      <c r="J33" s="20">
        <v>27287.52</v>
      </c>
      <c r="K33" s="22"/>
      <c r="L33" s="67">
        <v>34109.4</v>
      </c>
      <c r="M33" s="22"/>
      <c r="N33" s="67">
        <v>42636.75</v>
      </c>
      <c r="O33" s="22"/>
      <c r="P33" s="67">
        <v>42636.75</v>
      </c>
      <c r="Q33" s="59">
        <f t="shared" si="0"/>
        <v>0</v>
      </c>
      <c r="R33" s="60">
        <f t="shared" si="1"/>
        <v>146670.41999999998</v>
      </c>
      <c r="S33" s="301">
        <f t="shared" si="2"/>
        <v>146670.41999999998</v>
      </c>
    </row>
    <row r="34" spans="1:19" s="15" customFormat="1" ht="30" x14ac:dyDescent="0.25">
      <c r="A34" s="254"/>
      <c r="B34" s="244" t="s">
        <v>218</v>
      </c>
      <c r="C34" s="18" t="s">
        <v>261</v>
      </c>
      <c r="D34" s="103" t="s">
        <v>260</v>
      </c>
      <c r="E34" s="86" t="s">
        <v>132</v>
      </c>
      <c r="F34" s="27">
        <v>1</v>
      </c>
      <c r="G34" s="27">
        <v>12</v>
      </c>
      <c r="H34" s="28">
        <v>26238</v>
      </c>
      <c r="I34" s="22"/>
      <c r="J34" s="20">
        <v>27287.52</v>
      </c>
      <c r="K34" s="22"/>
      <c r="L34" s="67">
        <v>34109.4</v>
      </c>
      <c r="M34" s="22"/>
      <c r="N34" s="67">
        <v>42636.75</v>
      </c>
      <c r="O34" s="22"/>
      <c r="P34" s="67">
        <v>42636.75</v>
      </c>
      <c r="Q34" s="59">
        <f t="shared" si="0"/>
        <v>0</v>
      </c>
      <c r="R34" s="60">
        <f t="shared" si="1"/>
        <v>146670.41999999998</v>
      </c>
      <c r="S34" s="301">
        <f t="shared" si="2"/>
        <v>146670.41999999998</v>
      </c>
    </row>
    <row r="35" spans="1:19" s="15" customFormat="1" x14ac:dyDescent="0.25">
      <c r="A35" s="254"/>
      <c r="B35" s="244" t="s">
        <v>218</v>
      </c>
      <c r="C35" s="18" t="s">
        <v>262</v>
      </c>
      <c r="D35" s="103" t="s">
        <v>263</v>
      </c>
      <c r="E35" s="86" t="s">
        <v>132</v>
      </c>
      <c r="F35" s="27">
        <v>1</v>
      </c>
      <c r="G35" s="27">
        <v>12</v>
      </c>
      <c r="H35" s="28">
        <v>12080</v>
      </c>
      <c r="I35" s="22"/>
      <c r="J35" s="20">
        <v>12563.2</v>
      </c>
      <c r="K35" s="22"/>
      <c r="L35" s="67">
        <v>15704</v>
      </c>
      <c r="M35" s="22"/>
      <c r="N35" s="67">
        <v>19630</v>
      </c>
      <c r="O35" s="22"/>
      <c r="P35" s="67">
        <v>19630</v>
      </c>
      <c r="Q35" s="59">
        <f t="shared" si="0"/>
        <v>0</v>
      </c>
      <c r="R35" s="60">
        <f t="shared" si="1"/>
        <v>67527.199999999997</v>
      </c>
      <c r="S35" s="301">
        <f t="shared" si="2"/>
        <v>67527.199999999997</v>
      </c>
    </row>
    <row r="36" spans="1:19" s="15" customFormat="1" x14ac:dyDescent="0.25">
      <c r="A36" s="254"/>
      <c r="B36" s="244" t="s">
        <v>218</v>
      </c>
      <c r="C36" s="18" t="s">
        <v>264</v>
      </c>
      <c r="D36" s="103" t="s">
        <v>265</v>
      </c>
      <c r="E36" s="86" t="s">
        <v>132</v>
      </c>
      <c r="F36" s="27">
        <v>3</v>
      </c>
      <c r="G36" s="27">
        <v>12</v>
      </c>
      <c r="H36" s="28">
        <v>18876</v>
      </c>
      <c r="I36" s="22"/>
      <c r="J36" s="20">
        <v>58893.120000000003</v>
      </c>
      <c r="K36" s="22"/>
      <c r="L36" s="67">
        <v>73616.400000000009</v>
      </c>
      <c r="M36" s="22"/>
      <c r="N36" s="67">
        <v>92020.500000000015</v>
      </c>
      <c r="O36" s="22"/>
      <c r="P36" s="67">
        <v>92020.500000000015</v>
      </c>
      <c r="Q36" s="59">
        <f t="shared" si="0"/>
        <v>0</v>
      </c>
      <c r="R36" s="60">
        <f t="shared" si="1"/>
        <v>316550.52</v>
      </c>
      <c r="S36" s="301">
        <f t="shared" si="2"/>
        <v>316550.52</v>
      </c>
    </row>
    <row r="37" spans="1:19" s="15" customFormat="1" x14ac:dyDescent="0.25">
      <c r="A37" s="254"/>
      <c r="B37" s="244" t="s">
        <v>218</v>
      </c>
      <c r="C37" s="18" t="s">
        <v>266</v>
      </c>
      <c r="D37" s="103" t="s">
        <v>267</v>
      </c>
      <c r="E37" s="86" t="s">
        <v>132</v>
      </c>
      <c r="F37" s="27">
        <v>17</v>
      </c>
      <c r="G37" s="27">
        <v>12</v>
      </c>
      <c r="H37" s="28">
        <v>16234</v>
      </c>
      <c r="I37" s="22"/>
      <c r="J37" s="20">
        <v>287017.12</v>
      </c>
      <c r="K37" s="22"/>
      <c r="L37" s="67">
        <v>358771.4</v>
      </c>
      <c r="M37" s="22"/>
      <c r="N37" s="67">
        <v>448464.25</v>
      </c>
      <c r="O37" s="22"/>
      <c r="P37" s="67">
        <v>448464.25</v>
      </c>
      <c r="Q37" s="59">
        <f t="shared" si="0"/>
        <v>0</v>
      </c>
      <c r="R37" s="60">
        <f t="shared" si="1"/>
        <v>1542717.02</v>
      </c>
      <c r="S37" s="301">
        <f t="shared" si="2"/>
        <v>1542717.02</v>
      </c>
    </row>
    <row r="38" spans="1:19" s="15" customFormat="1" x14ac:dyDescent="0.25">
      <c r="A38" s="254"/>
      <c r="B38" s="244" t="s">
        <v>218</v>
      </c>
      <c r="C38" s="18" t="s">
        <v>268</v>
      </c>
      <c r="D38" s="103" t="s">
        <v>256</v>
      </c>
      <c r="E38" s="86" t="s">
        <v>132</v>
      </c>
      <c r="F38" s="27">
        <v>1</v>
      </c>
      <c r="G38" s="27">
        <v>12</v>
      </c>
      <c r="H38" s="28">
        <v>11137</v>
      </c>
      <c r="I38" s="22"/>
      <c r="J38" s="20">
        <v>11582.480000000001</v>
      </c>
      <c r="K38" s="22"/>
      <c r="L38" s="67">
        <v>14478.100000000002</v>
      </c>
      <c r="M38" s="22"/>
      <c r="N38" s="67">
        <v>18097.625000000004</v>
      </c>
      <c r="O38" s="22"/>
      <c r="P38" s="67">
        <v>18097.625000000004</v>
      </c>
      <c r="Q38" s="59">
        <f t="shared" si="0"/>
        <v>0</v>
      </c>
      <c r="R38" s="60">
        <f t="shared" si="1"/>
        <v>62255.830000000016</v>
      </c>
      <c r="S38" s="301">
        <f t="shared" si="2"/>
        <v>62255.830000000016</v>
      </c>
    </row>
    <row r="39" spans="1:19" s="15" customFormat="1" x14ac:dyDescent="0.25">
      <c r="A39" s="254"/>
      <c r="B39" s="244" t="s">
        <v>218</v>
      </c>
      <c r="C39" s="18" t="s">
        <v>269</v>
      </c>
      <c r="D39" s="103" t="s">
        <v>270</v>
      </c>
      <c r="E39" s="86" t="s">
        <v>132</v>
      </c>
      <c r="F39" s="27">
        <v>1</v>
      </c>
      <c r="G39" s="27">
        <v>12</v>
      </c>
      <c r="H39" s="28">
        <v>16234</v>
      </c>
      <c r="I39" s="22"/>
      <c r="J39" s="20">
        <v>16883.36</v>
      </c>
      <c r="K39" s="22"/>
      <c r="L39" s="67">
        <v>21104.2</v>
      </c>
      <c r="M39" s="22"/>
      <c r="N39" s="67">
        <v>26380.25</v>
      </c>
      <c r="O39" s="22"/>
      <c r="P39" s="67">
        <v>26380.25</v>
      </c>
      <c r="Q39" s="59">
        <f t="shared" si="0"/>
        <v>0</v>
      </c>
      <c r="R39" s="60">
        <f t="shared" si="1"/>
        <v>90748.06</v>
      </c>
      <c r="S39" s="301">
        <f t="shared" si="2"/>
        <v>90748.06</v>
      </c>
    </row>
    <row r="40" spans="1:19" s="15" customFormat="1" x14ac:dyDescent="0.25">
      <c r="A40" s="254"/>
      <c r="B40" s="244" t="s">
        <v>218</v>
      </c>
      <c r="C40" s="18" t="s">
        <v>271</v>
      </c>
      <c r="D40" s="103" t="s">
        <v>272</v>
      </c>
      <c r="E40" s="86" t="s">
        <v>132</v>
      </c>
      <c r="F40" s="27">
        <v>1</v>
      </c>
      <c r="G40" s="27">
        <v>12</v>
      </c>
      <c r="H40" s="28">
        <v>15101</v>
      </c>
      <c r="I40" s="22"/>
      <c r="J40" s="20">
        <v>15705.04</v>
      </c>
      <c r="K40" s="22"/>
      <c r="L40" s="67">
        <v>19631.300000000003</v>
      </c>
      <c r="M40" s="22"/>
      <c r="N40" s="67">
        <v>24539.125000000004</v>
      </c>
      <c r="O40" s="22"/>
      <c r="P40" s="67">
        <v>24539.125000000004</v>
      </c>
      <c r="Q40" s="59">
        <f t="shared" si="0"/>
        <v>0</v>
      </c>
      <c r="R40" s="60">
        <f t="shared" si="1"/>
        <v>84414.590000000011</v>
      </c>
      <c r="S40" s="301">
        <f t="shared" si="2"/>
        <v>84414.590000000011</v>
      </c>
    </row>
    <row r="41" spans="1:19" s="15" customFormat="1" x14ac:dyDescent="0.25">
      <c r="A41" s="254"/>
      <c r="B41" s="244" t="s">
        <v>218</v>
      </c>
      <c r="C41" s="18" t="s">
        <v>273</v>
      </c>
      <c r="D41" s="103" t="s">
        <v>274</v>
      </c>
      <c r="E41" s="86" t="s">
        <v>132</v>
      </c>
      <c r="F41" s="27">
        <v>24</v>
      </c>
      <c r="G41" s="27">
        <v>12</v>
      </c>
      <c r="H41" s="28">
        <v>21896</v>
      </c>
      <c r="I41" s="22"/>
      <c r="J41" s="20">
        <v>546524.16000000003</v>
      </c>
      <c r="K41" s="22"/>
      <c r="L41" s="67">
        <v>683155.20000000007</v>
      </c>
      <c r="M41" s="22"/>
      <c r="N41" s="67">
        <v>853944.00000000012</v>
      </c>
      <c r="O41" s="22"/>
      <c r="P41" s="67">
        <v>853944.00000000012</v>
      </c>
      <c r="Q41" s="59">
        <f t="shared" si="0"/>
        <v>0</v>
      </c>
      <c r="R41" s="60">
        <f t="shared" si="1"/>
        <v>2937567.3600000003</v>
      </c>
      <c r="S41" s="301">
        <f t="shared" si="2"/>
        <v>2937567.3600000003</v>
      </c>
    </row>
    <row r="42" spans="1:19" s="15" customFormat="1" x14ac:dyDescent="0.25">
      <c r="A42" s="254"/>
      <c r="B42" s="244" t="s">
        <v>218</v>
      </c>
      <c r="C42" s="18" t="s">
        <v>275</v>
      </c>
      <c r="D42" s="103" t="s">
        <v>276</v>
      </c>
      <c r="E42" s="86" t="s">
        <v>132</v>
      </c>
      <c r="F42" s="27">
        <v>1</v>
      </c>
      <c r="G42" s="27">
        <v>12</v>
      </c>
      <c r="H42" s="28">
        <v>23406</v>
      </c>
      <c r="I42" s="22"/>
      <c r="J42" s="20">
        <v>24342.239999999998</v>
      </c>
      <c r="K42" s="22"/>
      <c r="L42" s="67">
        <v>30427.799999999996</v>
      </c>
      <c r="M42" s="22"/>
      <c r="N42" s="67">
        <v>38034.749999999993</v>
      </c>
      <c r="O42" s="22"/>
      <c r="P42" s="67">
        <v>38034.749999999993</v>
      </c>
      <c r="Q42" s="59">
        <f t="shared" si="0"/>
        <v>0</v>
      </c>
      <c r="R42" s="60">
        <f t="shared" si="1"/>
        <v>130839.53999999998</v>
      </c>
      <c r="S42" s="301">
        <f t="shared" si="2"/>
        <v>130839.53999999998</v>
      </c>
    </row>
    <row r="43" spans="1:19" s="15" customFormat="1" x14ac:dyDescent="0.25">
      <c r="A43" s="254"/>
      <c r="B43" s="244" t="s">
        <v>218</v>
      </c>
      <c r="C43" s="18" t="s">
        <v>277</v>
      </c>
      <c r="D43" s="103" t="s">
        <v>278</v>
      </c>
      <c r="E43" s="86" t="s">
        <v>132</v>
      </c>
      <c r="F43" s="27">
        <v>4</v>
      </c>
      <c r="G43" s="27">
        <v>12</v>
      </c>
      <c r="H43" s="28">
        <v>13968</v>
      </c>
      <c r="I43" s="22"/>
      <c r="J43" s="20">
        <v>58106.880000000005</v>
      </c>
      <c r="K43" s="22"/>
      <c r="L43" s="67">
        <v>72633.600000000006</v>
      </c>
      <c r="M43" s="22"/>
      <c r="N43" s="67">
        <v>90792</v>
      </c>
      <c r="O43" s="22"/>
      <c r="P43" s="67">
        <v>90792</v>
      </c>
      <c r="Q43" s="59">
        <f t="shared" si="0"/>
        <v>0</v>
      </c>
      <c r="R43" s="60">
        <f t="shared" si="1"/>
        <v>312324.47999999998</v>
      </c>
      <c r="S43" s="301">
        <f t="shared" si="2"/>
        <v>312324.47999999998</v>
      </c>
    </row>
    <row r="44" spans="1:19" s="15" customFormat="1" x14ac:dyDescent="0.25">
      <c r="A44" s="254"/>
      <c r="B44" s="244" t="s">
        <v>218</v>
      </c>
      <c r="C44" s="18" t="s">
        <v>279</v>
      </c>
      <c r="D44" s="103" t="s">
        <v>280</v>
      </c>
      <c r="E44" s="86" t="s">
        <v>132</v>
      </c>
      <c r="F44" s="27">
        <v>1</v>
      </c>
      <c r="G44" s="27">
        <v>12</v>
      </c>
      <c r="H44" s="28">
        <v>10193</v>
      </c>
      <c r="I44" s="22"/>
      <c r="J44" s="20">
        <v>10600.720000000001</v>
      </c>
      <c r="K44" s="22"/>
      <c r="L44" s="67">
        <v>13250.900000000001</v>
      </c>
      <c r="M44" s="22"/>
      <c r="N44" s="67">
        <v>16563.625</v>
      </c>
      <c r="O44" s="22"/>
      <c r="P44" s="67">
        <v>16563.625</v>
      </c>
      <c r="Q44" s="59">
        <f t="shared" si="0"/>
        <v>0</v>
      </c>
      <c r="R44" s="60">
        <f t="shared" si="1"/>
        <v>56978.87</v>
      </c>
      <c r="S44" s="301">
        <f t="shared" si="2"/>
        <v>56978.87</v>
      </c>
    </row>
    <row r="45" spans="1:19" s="15" customFormat="1" x14ac:dyDescent="0.25">
      <c r="A45" s="254"/>
      <c r="B45" s="244" t="s">
        <v>218</v>
      </c>
      <c r="C45" s="18" t="s">
        <v>281</v>
      </c>
      <c r="D45" s="103" t="s">
        <v>278</v>
      </c>
      <c r="E45" s="86" t="s">
        <v>132</v>
      </c>
      <c r="F45" s="27">
        <v>27</v>
      </c>
      <c r="G45" s="27">
        <v>12</v>
      </c>
      <c r="H45" s="28">
        <v>12080</v>
      </c>
      <c r="I45" s="22"/>
      <c r="J45" s="20">
        <v>339206.40000000002</v>
      </c>
      <c r="K45" s="22"/>
      <c r="L45" s="67">
        <v>424008</v>
      </c>
      <c r="M45" s="22"/>
      <c r="N45" s="67">
        <v>530010</v>
      </c>
      <c r="O45" s="22"/>
      <c r="P45" s="67">
        <v>530010</v>
      </c>
      <c r="Q45" s="59">
        <f t="shared" si="0"/>
        <v>0</v>
      </c>
      <c r="R45" s="60">
        <f t="shared" si="1"/>
        <v>1823234.4</v>
      </c>
      <c r="S45" s="301">
        <f t="shared" si="2"/>
        <v>1823234.4</v>
      </c>
    </row>
    <row r="46" spans="1:19" s="15" customFormat="1" x14ac:dyDescent="0.25">
      <c r="A46" s="254"/>
      <c r="B46" s="244" t="s">
        <v>218</v>
      </c>
      <c r="C46" s="18" t="s">
        <v>282</v>
      </c>
      <c r="D46" s="103" t="s">
        <v>283</v>
      </c>
      <c r="E46" s="86" t="s">
        <v>132</v>
      </c>
      <c r="F46" s="27">
        <v>24</v>
      </c>
      <c r="G46" s="27">
        <v>12</v>
      </c>
      <c r="H46" s="28">
        <v>15101</v>
      </c>
      <c r="I46" s="22"/>
      <c r="J46" s="20">
        <v>376920.96</v>
      </c>
      <c r="K46" s="22"/>
      <c r="L46" s="67">
        <v>471151.2</v>
      </c>
      <c r="M46" s="22"/>
      <c r="N46" s="67">
        <v>588939</v>
      </c>
      <c r="O46" s="22"/>
      <c r="P46" s="67">
        <v>588939</v>
      </c>
      <c r="Q46" s="59">
        <f t="shared" si="0"/>
        <v>0</v>
      </c>
      <c r="R46" s="60">
        <f t="shared" si="1"/>
        <v>2025950.16</v>
      </c>
      <c r="S46" s="301">
        <f t="shared" si="2"/>
        <v>2025950.16</v>
      </c>
    </row>
    <row r="47" spans="1:19" s="15" customFormat="1" x14ac:dyDescent="0.25">
      <c r="A47" s="254"/>
      <c r="B47" s="244" t="s">
        <v>218</v>
      </c>
      <c r="C47" s="18" t="s">
        <v>284</v>
      </c>
      <c r="D47" s="103" t="s">
        <v>280</v>
      </c>
      <c r="E47" s="86" t="s">
        <v>132</v>
      </c>
      <c r="F47" s="27">
        <v>25</v>
      </c>
      <c r="G47" s="27">
        <v>12</v>
      </c>
      <c r="H47" s="28">
        <v>11137</v>
      </c>
      <c r="I47" s="22"/>
      <c r="J47" s="20">
        <v>289562</v>
      </c>
      <c r="K47" s="22"/>
      <c r="L47" s="67">
        <v>361952.5</v>
      </c>
      <c r="M47" s="22"/>
      <c r="N47" s="67">
        <v>452440.625</v>
      </c>
      <c r="O47" s="22"/>
      <c r="P47" s="67">
        <v>452440.625</v>
      </c>
      <c r="Q47" s="59">
        <f t="shared" si="0"/>
        <v>0</v>
      </c>
      <c r="R47" s="60">
        <f t="shared" si="1"/>
        <v>1556395.75</v>
      </c>
      <c r="S47" s="301">
        <f t="shared" si="2"/>
        <v>1556395.75</v>
      </c>
    </row>
    <row r="48" spans="1:19" s="15" customFormat="1" ht="30" x14ac:dyDescent="0.25">
      <c r="A48" s="254"/>
      <c r="B48" s="244" t="s">
        <v>218</v>
      </c>
      <c r="C48" s="18" t="s">
        <v>285</v>
      </c>
      <c r="D48" s="103" t="s">
        <v>260</v>
      </c>
      <c r="E48" s="86" t="s">
        <v>132</v>
      </c>
      <c r="F48" s="27">
        <v>1</v>
      </c>
      <c r="G48" s="27">
        <v>12</v>
      </c>
      <c r="H48" s="28">
        <v>26238</v>
      </c>
      <c r="I48" s="22"/>
      <c r="J48" s="20">
        <v>27287.52</v>
      </c>
      <c r="K48" s="22"/>
      <c r="L48" s="67">
        <v>34109.4</v>
      </c>
      <c r="M48" s="22"/>
      <c r="N48" s="67">
        <v>42636.75</v>
      </c>
      <c r="O48" s="22"/>
      <c r="P48" s="67">
        <v>42636.75</v>
      </c>
      <c r="Q48" s="59">
        <f t="shared" si="0"/>
        <v>0</v>
      </c>
      <c r="R48" s="60">
        <f t="shared" si="1"/>
        <v>146670.41999999998</v>
      </c>
      <c r="S48" s="301">
        <f t="shared" si="2"/>
        <v>146670.41999999998</v>
      </c>
    </row>
    <row r="49" spans="1:19" s="15" customFormat="1" ht="30" x14ac:dyDescent="0.25">
      <c r="A49" s="254"/>
      <c r="B49" s="244" t="s">
        <v>218</v>
      </c>
      <c r="C49" s="18" t="s">
        <v>286</v>
      </c>
      <c r="D49" s="103" t="s">
        <v>278</v>
      </c>
      <c r="E49" s="86" t="s">
        <v>132</v>
      </c>
      <c r="F49" s="27">
        <v>6</v>
      </c>
      <c r="G49" s="27">
        <v>12</v>
      </c>
      <c r="H49" s="28">
        <v>13025</v>
      </c>
      <c r="I49" s="22"/>
      <c r="J49" s="20">
        <v>81276</v>
      </c>
      <c r="K49" s="22"/>
      <c r="L49" s="67">
        <v>101595</v>
      </c>
      <c r="M49" s="22"/>
      <c r="N49" s="67">
        <v>126993.75</v>
      </c>
      <c r="O49" s="22"/>
      <c r="P49" s="67">
        <v>126993.75</v>
      </c>
      <c r="Q49" s="59">
        <f t="shared" si="0"/>
        <v>0</v>
      </c>
      <c r="R49" s="60">
        <f t="shared" si="1"/>
        <v>436858.5</v>
      </c>
      <c r="S49" s="301">
        <f t="shared" si="2"/>
        <v>436858.5</v>
      </c>
    </row>
    <row r="50" spans="1:19" s="15" customFormat="1" x14ac:dyDescent="0.25">
      <c r="A50" s="254"/>
      <c r="B50" s="244" t="s">
        <v>218</v>
      </c>
      <c r="C50" s="18" t="s">
        <v>287</v>
      </c>
      <c r="D50" s="103" t="s">
        <v>288</v>
      </c>
      <c r="E50" s="86" t="s">
        <v>132</v>
      </c>
      <c r="F50" s="27">
        <v>3</v>
      </c>
      <c r="G50" s="27">
        <v>12</v>
      </c>
      <c r="H50" s="28">
        <v>13025</v>
      </c>
      <c r="I50" s="22"/>
      <c r="J50" s="20">
        <v>40638</v>
      </c>
      <c r="K50" s="22"/>
      <c r="L50" s="67">
        <v>50797.5</v>
      </c>
      <c r="M50" s="22"/>
      <c r="N50" s="67">
        <v>63496.875</v>
      </c>
      <c r="O50" s="22"/>
      <c r="P50" s="67">
        <v>63496.875</v>
      </c>
      <c r="Q50" s="59">
        <f t="shared" si="0"/>
        <v>0</v>
      </c>
      <c r="R50" s="60">
        <f t="shared" si="1"/>
        <v>218429.25</v>
      </c>
      <c r="S50" s="301">
        <f t="shared" si="2"/>
        <v>218429.25</v>
      </c>
    </row>
    <row r="51" spans="1:19" s="15" customFormat="1" x14ac:dyDescent="0.25">
      <c r="A51" s="254"/>
      <c r="B51" s="244" t="s">
        <v>218</v>
      </c>
      <c r="C51" s="18" t="s">
        <v>289</v>
      </c>
      <c r="D51" s="103" t="s">
        <v>290</v>
      </c>
      <c r="E51" s="86" t="s">
        <v>132</v>
      </c>
      <c r="F51" s="27">
        <v>1</v>
      </c>
      <c r="G51" s="27">
        <v>12</v>
      </c>
      <c r="H51" s="28">
        <v>20386</v>
      </c>
      <c r="I51" s="22"/>
      <c r="J51" s="20">
        <v>21201.439999999999</v>
      </c>
      <c r="K51" s="22"/>
      <c r="L51" s="67">
        <v>26501.8</v>
      </c>
      <c r="M51" s="22"/>
      <c r="N51" s="67">
        <v>33127.25</v>
      </c>
      <c r="O51" s="22"/>
      <c r="P51" s="67">
        <v>33127.25</v>
      </c>
      <c r="Q51" s="59">
        <f t="shared" si="0"/>
        <v>0</v>
      </c>
      <c r="R51" s="60">
        <f t="shared" si="1"/>
        <v>113957.74</v>
      </c>
      <c r="S51" s="301">
        <f t="shared" si="2"/>
        <v>113957.74</v>
      </c>
    </row>
    <row r="52" spans="1:19" s="15" customFormat="1" x14ac:dyDescent="0.25">
      <c r="A52" s="254"/>
      <c r="B52" s="244" t="s">
        <v>218</v>
      </c>
      <c r="C52" s="18" t="s">
        <v>291</v>
      </c>
      <c r="D52" s="103" t="s">
        <v>292</v>
      </c>
      <c r="E52" s="86" t="s">
        <v>132</v>
      </c>
      <c r="F52" s="27">
        <v>3</v>
      </c>
      <c r="G52" s="27">
        <v>12</v>
      </c>
      <c r="H52" s="28">
        <v>15101</v>
      </c>
      <c r="I52" s="22"/>
      <c r="J52" s="20">
        <v>47115.12</v>
      </c>
      <c r="K52" s="22"/>
      <c r="L52" s="67">
        <v>58893.900000000009</v>
      </c>
      <c r="M52" s="22"/>
      <c r="N52" s="67">
        <v>73617.375000000015</v>
      </c>
      <c r="O52" s="22"/>
      <c r="P52" s="67">
        <v>73617.375000000015</v>
      </c>
      <c r="Q52" s="59">
        <f t="shared" si="0"/>
        <v>0</v>
      </c>
      <c r="R52" s="60">
        <f t="shared" si="1"/>
        <v>253243.77000000002</v>
      </c>
      <c r="S52" s="301">
        <f t="shared" si="2"/>
        <v>253243.77000000002</v>
      </c>
    </row>
    <row r="53" spans="1:19" s="15" customFormat="1" ht="30" x14ac:dyDescent="0.25">
      <c r="A53" s="254"/>
      <c r="B53" s="244" t="s">
        <v>218</v>
      </c>
      <c r="C53" s="18" t="s">
        <v>293</v>
      </c>
      <c r="D53" s="103" t="s">
        <v>260</v>
      </c>
      <c r="E53" s="86" t="s">
        <v>132</v>
      </c>
      <c r="F53" s="27">
        <v>1</v>
      </c>
      <c r="G53" s="27">
        <v>12</v>
      </c>
      <c r="H53" s="28">
        <v>26238</v>
      </c>
      <c r="I53" s="22"/>
      <c r="J53" s="20">
        <v>27287.52</v>
      </c>
      <c r="K53" s="22"/>
      <c r="L53" s="67">
        <v>34109.4</v>
      </c>
      <c r="M53" s="22"/>
      <c r="N53" s="67">
        <v>42636.75</v>
      </c>
      <c r="O53" s="22"/>
      <c r="P53" s="67">
        <v>42636.75</v>
      </c>
      <c r="Q53" s="59">
        <f t="shared" si="0"/>
        <v>0</v>
      </c>
      <c r="R53" s="60">
        <f t="shared" si="1"/>
        <v>146670.41999999998</v>
      </c>
      <c r="S53" s="301">
        <f t="shared" si="2"/>
        <v>146670.41999999998</v>
      </c>
    </row>
    <row r="54" spans="1:19" s="15" customFormat="1" x14ac:dyDescent="0.25">
      <c r="A54" s="254"/>
      <c r="B54" s="244" t="s">
        <v>218</v>
      </c>
      <c r="C54" s="18" t="s">
        <v>294</v>
      </c>
      <c r="D54" s="103" t="s">
        <v>295</v>
      </c>
      <c r="E54" s="86" t="s">
        <v>132</v>
      </c>
      <c r="F54" s="27">
        <v>1</v>
      </c>
      <c r="G54" s="27">
        <v>12</v>
      </c>
      <c r="H54" s="28">
        <v>20386</v>
      </c>
      <c r="I54" s="22"/>
      <c r="J54" s="20">
        <v>21201.440000000002</v>
      </c>
      <c r="K54" s="22"/>
      <c r="L54" s="67">
        <v>26501.800000000003</v>
      </c>
      <c r="M54" s="22"/>
      <c r="N54" s="67">
        <v>33127.25</v>
      </c>
      <c r="O54" s="22"/>
      <c r="P54" s="67">
        <v>33127.25</v>
      </c>
      <c r="Q54" s="59">
        <f t="shared" si="0"/>
        <v>0</v>
      </c>
      <c r="R54" s="60">
        <f t="shared" si="1"/>
        <v>113957.74</v>
      </c>
      <c r="S54" s="301">
        <f t="shared" si="2"/>
        <v>113957.74</v>
      </c>
    </row>
    <row r="55" spans="1:19" s="15" customFormat="1" x14ac:dyDescent="0.25">
      <c r="A55" s="254"/>
      <c r="B55" s="244" t="s">
        <v>218</v>
      </c>
      <c r="C55" s="18" t="s">
        <v>296</v>
      </c>
      <c r="D55" s="103" t="s">
        <v>297</v>
      </c>
      <c r="E55" s="86" t="s">
        <v>132</v>
      </c>
      <c r="F55" s="27">
        <v>5</v>
      </c>
      <c r="G55" s="27">
        <v>12</v>
      </c>
      <c r="H55" s="28">
        <v>13025</v>
      </c>
      <c r="I55" s="22"/>
      <c r="J55" s="20">
        <v>67730</v>
      </c>
      <c r="K55" s="22"/>
      <c r="L55" s="67">
        <v>84662.5</v>
      </c>
      <c r="M55" s="22"/>
      <c r="N55" s="67">
        <v>105828.125</v>
      </c>
      <c r="O55" s="22"/>
      <c r="P55" s="67">
        <v>105828.125</v>
      </c>
      <c r="Q55" s="59">
        <f t="shared" si="0"/>
        <v>0</v>
      </c>
      <c r="R55" s="60">
        <f t="shared" si="1"/>
        <v>364048.75</v>
      </c>
      <c r="S55" s="301">
        <f t="shared" si="2"/>
        <v>364048.75</v>
      </c>
    </row>
    <row r="56" spans="1:19" s="15" customFormat="1" x14ac:dyDescent="0.25">
      <c r="A56" s="254"/>
      <c r="B56" s="244" t="s">
        <v>218</v>
      </c>
      <c r="C56" s="18" t="s">
        <v>298</v>
      </c>
      <c r="D56" s="103" t="s">
        <v>299</v>
      </c>
      <c r="E56" s="86" t="s">
        <v>132</v>
      </c>
      <c r="F56" s="27">
        <v>1</v>
      </c>
      <c r="G56" s="27">
        <v>12</v>
      </c>
      <c r="H56" s="28">
        <v>18876</v>
      </c>
      <c r="I56" s="22"/>
      <c r="J56" s="20">
        <v>19631.039999999997</v>
      </c>
      <c r="K56" s="22"/>
      <c r="L56" s="67">
        <v>24538.799999999996</v>
      </c>
      <c r="M56" s="22"/>
      <c r="N56" s="67">
        <v>30673.499999999993</v>
      </c>
      <c r="O56" s="22"/>
      <c r="P56" s="67">
        <v>30673.499999999993</v>
      </c>
      <c r="Q56" s="59">
        <f t="shared" si="0"/>
        <v>0</v>
      </c>
      <c r="R56" s="60">
        <f t="shared" si="1"/>
        <v>105516.83999999997</v>
      </c>
      <c r="S56" s="301">
        <f t="shared" si="2"/>
        <v>105516.83999999997</v>
      </c>
    </row>
    <row r="57" spans="1:19" s="15" customFormat="1" x14ac:dyDescent="0.25">
      <c r="A57" s="254"/>
      <c r="B57" s="244" t="s">
        <v>218</v>
      </c>
      <c r="C57" s="18" t="s">
        <v>300</v>
      </c>
      <c r="D57" s="103" t="s">
        <v>292</v>
      </c>
      <c r="E57" s="86" t="s">
        <v>132</v>
      </c>
      <c r="F57" s="27">
        <v>2</v>
      </c>
      <c r="G57" s="27">
        <v>12</v>
      </c>
      <c r="H57" s="28">
        <v>17366</v>
      </c>
      <c r="I57" s="22"/>
      <c r="J57" s="20">
        <v>36121.280000000006</v>
      </c>
      <c r="K57" s="22"/>
      <c r="L57" s="67">
        <v>45151.600000000006</v>
      </c>
      <c r="M57" s="22"/>
      <c r="N57" s="67">
        <v>56439.500000000007</v>
      </c>
      <c r="O57" s="22"/>
      <c r="P57" s="67">
        <v>56439.500000000007</v>
      </c>
      <c r="Q57" s="59">
        <f t="shared" si="0"/>
        <v>0</v>
      </c>
      <c r="R57" s="60">
        <f t="shared" si="1"/>
        <v>194151.88</v>
      </c>
      <c r="S57" s="301">
        <f t="shared" si="2"/>
        <v>194151.88</v>
      </c>
    </row>
    <row r="58" spans="1:19" s="15" customFormat="1" x14ac:dyDescent="0.25">
      <c r="A58" s="254"/>
      <c r="B58" s="244" t="s">
        <v>218</v>
      </c>
      <c r="C58" s="18" t="s">
        <v>301</v>
      </c>
      <c r="D58" s="103" t="s">
        <v>302</v>
      </c>
      <c r="E58" s="86" t="s">
        <v>132</v>
      </c>
      <c r="F58" s="27">
        <v>1</v>
      </c>
      <c r="G58" s="27">
        <v>12</v>
      </c>
      <c r="H58" s="28">
        <v>17366</v>
      </c>
      <c r="I58" s="22"/>
      <c r="J58" s="20">
        <v>18060.640000000003</v>
      </c>
      <c r="K58" s="22"/>
      <c r="L58" s="67">
        <v>22575.800000000003</v>
      </c>
      <c r="M58" s="22"/>
      <c r="N58" s="67">
        <v>28219.750000000004</v>
      </c>
      <c r="O58" s="22"/>
      <c r="P58" s="67">
        <v>28219.750000000004</v>
      </c>
      <c r="Q58" s="59">
        <f t="shared" si="0"/>
        <v>0</v>
      </c>
      <c r="R58" s="60">
        <f t="shared" si="1"/>
        <v>97075.94</v>
      </c>
      <c r="S58" s="301">
        <f t="shared" si="2"/>
        <v>97075.94</v>
      </c>
    </row>
    <row r="59" spans="1:19" s="15" customFormat="1" x14ac:dyDescent="0.25">
      <c r="A59" s="254"/>
      <c r="B59" s="244" t="s">
        <v>218</v>
      </c>
      <c r="C59" s="18" t="s">
        <v>303</v>
      </c>
      <c r="D59" s="103" t="s">
        <v>304</v>
      </c>
      <c r="E59" s="86" t="s">
        <v>132</v>
      </c>
      <c r="F59" s="27">
        <v>3</v>
      </c>
      <c r="G59" s="27">
        <v>12</v>
      </c>
      <c r="H59" s="28">
        <v>13968</v>
      </c>
      <c r="I59" s="22"/>
      <c r="J59" s="20">
        <v>43580.160000000003</v>
      </c>
      <c r="K59" s="22"/>
      <c r="L59" s="67">
        <v>54475.200000000004</v>
      </c>
      <c r="M59" s="22"/>
      <c r="N59" s="67">
        <v>68094</v>
      </c>
      <c r="O59" s="22"/>
      <c r="P59" s="67">
        <v>68094</v>
      </c>
      <c r="Q59" s="59">
        <f t="shared" si="0"/>
        <v>0</v>
      </c>
      <c r="R59" s="60">
        <f t="shared" si="1"/>
        <v>234243.36000000002</v>
      </c>
      <c r="S59" s="301">
        <f t="shared" si="2"/>
        <v>234243.36000000002</v>
      </c>
    </row>
    <row r="60" spans="1:19" s="15" customFormat="1" ht="30" x14ac:dyDescent="0.25">
      <c r="A60" s="254"/>
      <c r="B60" s="244" t="s">
        <v>218</v>
      </c>
      <c r="C60" s="18" t="s">
        <v>305</v>
      </c>
      <c r="D60" s="103" t="s">
        <v>260</v>
      </c>
      <c r="E60" s="86" t="s">
        <v>132</v>
      </c>
      <c r="F60" s="27">
        <v>1</v>
      </c>
      <c r="G60" s="27">
        <v>12</v>
      </c>
      <c r="H60" s="28">
        <v>26238</v>
      </c>
      <c r="I60" s="22"/>
      <c r="J60" s="20">
        <v>27287.52</v>
      </c>
      <c r="K60" s="22"/>
      <c r="L60" s="67">
        <v>34109.4</v>
      </c>
      <c r="M60" s="22"/>
      <c r="N60" s="67">
        <v>42636.75</v>
      </c>
      <c r="O60" s="22"/>
      <c r="P60" s="67">
        <v>42636.75</v>
      </c>
      <c r="Q60" s="59">
        <f t="shared" si="0"/>
        <v>0</v>
      </c>
      <c r="R60" s="60">
        <f t="shared" si="1"/>
        <v>146670.41999999998</v>
      </c>
      <c r="S60" s="301">
        <f t="shared" si="2"/>
        <v>146670.41999999998</v>
      </c>
    </row>
    <row r="61" spans="1:19" s="15" customFormat="1" x14ac:dyDescent="0.25">
      <c r="A61" s="254"/>
      <c r="B61" s="244" t="s">
        <v>218</v>
      </c>
      <c r="C61" s="18" t="s">
        <v>306</v>
      </c>
      <c r="D61" s="103" t="s">
        <v>307</v>
      </c>
      <c r="E61" s="86" t="s">
        <v>132</v>
      </c>
      <c r="F61" s="27">
        <v>1</v>
      </c>
      <c r="G61" s="27">
        <v>12</v>
      </c>
      <c r="H61" s="28">
        <v>23406</v>
      </c>
      <c r="I61" s="22"/>
      <c r="J61" s="20">
        <v>24342.240000000002</v>
      </c>
      <c r="K61" s="22"/>
      <c r="L61" s="67">
        <v>30427.800000000003</v>
      </c>
      <c r="M61" s="22"/>
      <c r="N61" s="67">
        <v>38034.75</v>
      </c>
      <c r="O61" s="22"/>
      <c r="P61" s="67">
        <v>38034.75</v>
      </c>
      <c r="Q61" s="59">
        <f t="shared" si="0"/>
        <v>0</v>
      </c>
      <c r="R61" s="60">
        <f t="shared" si="1"/>
        <v>130839.54000000001</v>
      </c>
      <c r="S61" s="301">
        <f t="shared" si="2"/>
        <v>130839.54000000001</v>
      </c>
    </row>
    <row r="62" spans="1:19" s="15" customFormat="1" x14ac:dyDescent="0.25">
      <c r="A62" s="254"/>
      <c r="B62" s="244" t="s">
        <v>218</v>
      </c>
      <c r="C62" s="18" t="s">
        <v>308</v>
      </c>
      <c r="D62" s="103" t="s">
        <v>302</v>
      </c>
      <c r="E62" s="86" t="s">
        <v>132</v>
      </c>
      <c r="F62" s="27">
        <v>3</v>
      </c>
      <c r="G62" s="27">
        <v>12</v>
      </c>
      <c r="H62" s="28">
        <v>16234</v>
      </c>
      <c r="I62" s="22"/>
      <c r="J62" s="20">
        <v>50650.080000000002</v>
      </c>
      <c r="K62" s="22"/>
      <c r="L62" s="67">
        <v>63312.600000000006</v>
      </c>
      <c r="M62" s="22"/>
      <c r="N62" s="67">
        <v>79140.75</v>
      </c>
      <c r="O62" s="22"/>
      <c r="P62" s="67">
        <v>79140.75</v>
      </c>
      <c r="Q62" s="59">
        <f t="shared" si="0"/>
        <v>0</v>
      </c>
      <c r="R62" s="60">
        <f t="shared" si="1"/>
        <v>272244.18</v>
      </c>
      <c r="S62" s="301">
        <f t="shared" si="2"/>
        <v>272244.18</v>
      </c>
    </row>
    <row r="63" spans="1:19" s="15" customFormat="1" x14ac:dyDescent="0.25">
      <c r="A63" s="254"/>
      <c r="B63" s="244" t="s">
        <v>218</v>
      </c>
      <c r="C63" s="18" t="s">
        <v>350</v>
      </c>
      <c r="D63" s="103" t="s">
        <v>309</v>
      </c>
      <c r="E63" s="86" t="s">
        <v>36</v>
      </c>
      <c r="F63" s="27">
        <v>95</v>
      </c>
      <c r="G63" s="27">
        <v>12</v>
      </c>
      <c r="H63" s="28">
        <v>3260</v>
      </c>
      <c r="I63" s="22"/>
      <c r="J63" s="20">
        <v>212800</v>
      </c>
      <c r="K63" s="22"/>
      <c r="L63" s="67">
        <v>235600</v>
      </c>
      <c r="M63" s="22"/>
      <c r="N63" s="67">
        <v>247760</v>
      </c>
      <c r="O63" s="22"/>
      <c r="P63" s="67">
        <v>247760</v>
      </c>
      <c r="Q63" s="59">
        <f t="shared" si="0"/>
        <v>0</v>
      </c>
      <c r="R63" s="60">
        <f t="shared" si="1"/>
        <v>943920</v>
      </c>
      <c r="S63" s="301">
        <f t="shared" si="2"/>
        <v>943920</v>
      </c>
    </row>
    <row r="64" spans="1:19" s="15" customFormat="1" ht="30" x14ac:dyDescent="0.25">
      <c r="A64" s="254"/>
      <c r="B64" s="244" t="s">
        <v>218</v>
      </c>
      <c r="C64" s="18" t="s">
        <v>34</v>
      </c>
      <c r="D64" s="103" t="s">
        <v>315</v>
      </c>
      <c r="E64" s="18" t="s">
        <v>537</v>
      </c>
      <c r="F64" s="27"/>
      <c r="G64" s="27"/>
      <c r="H64" s="28"/>
      <c r="I64" s="22">
        <f>20886.705396*0.6</f>
        <v>12532.0232376</v>
      </c>
      <c r="J64" s="20">
        <v>8354.8000000000011</v>
      </c>
      <c r="K64" s="22">
        <f>25064.0464752*0.6</f>
        <v>15038.42788512</v>
      </c>
      <c r="L64" s="67">
        <v>10025.620000000001</v>
      </c>
      <c r="M64" s="22">
        <f>32583.26041776*0.6</f>
        <v>19549.956250656</v>
      </c>
      <c r="N64" s="67">
        <v>13033.2</v>
      </c>
      <c r="O64" s="22"/>
      <c r="P64" s="67">
        <v>32583.156250656</v>
      </c>
      <c r="Q64" s="59">
        <f t="shared" si="0"/>
        <v>47120.407373375994</v>
      </c>
      <c r="R64" s="60">
        <f t="shared" si="1"/>
        <v>63996.776250656003</v>
      </c>
      <c r="S64" s="301">
        <f t="shared" si="2"/>
        <v>111117.183624032</v>
      </c>
    </row>
    <row r="65" spans="1:23" x14ac:dyDescent="0.25">
      <c r="A65" s="253" t="s">
        <v>447</v>
      </c>
      <c r="B65" s="224" t="s">
        <v>218</v>
      </c>
      <c r="C65" s="221" t="s">
        <v>448</v>
      </c>
      <c r="D65" s="222"/>
      <c r="E65" s="223"/>
      <c r="F65" s="204"/>
      <c r="G65" s="204"/>
      <c r="H65" s="224"/>
      <c r="I65" s="225"/>
      <c r="J65" s="224"/>
      <c r="K65" s="225"/>
      <c r="L65" s="224"/>
      <c r="M65" s="225"/>
      <c r="N65" s="224"/>
      <c r="O65" s="225"/>
      <c r="P65" s="224"/>
      <c r="Q65" s="298">
        <f t="shared" si="0"/>
        <v>0</v>
      </c>
      <c r="R65" s="299">
        <f t="shared" si="1"/>
        <v>0</v>
      </c>
      <c r="S65" s="300"/>
    </row>
    <row r="66" spans="1:23" s="15" customFormat="1" x14ac:dyDescent="0.25">
      <c r="A66" s="254"/>
      <c r="B66" s="244" t="s">
        <v>218</v>
      </c>
      <c r="C66" s="18" t="s">
        <v>310</v>
      </c>
      <c r="D66" s="103" t="s">
        <v>311</v>
      </c>
      <c r="E66" s="86" t="s">
        <v>133</v>
      </c>
      <c r="F66" s="27"/>
      <c r="G66" s="27"/>
      <c r="H66" s="28"/>
      <c r="I66" s="22"/>
      <c r="J66" s="20"/>
      <c r="K66" s="22">
        <v>533860</v>
      </c>
      <c r="L66" s="67"/>
      <c r="M66" s="22"/>
      <c r="N66" s="67"/>
      <c r="O66" s="22"/>
      <c r="P66" s="67"/>
      <c r="Q66" s="59">
        <f t="shared" si="0"/>
        <v>533860</v>
      </c>
      <c r="R66" s="60">
        <f t="shared" si="1"/>
        <v>0</v>
      </c>
      <c r="S66" s="301">
        <f t="shared" si="2"/>
        <v>533860</v>
      </c>
    </row>
    <row r="67" spans="1:23" x14ac:dyDescent="0.25">
      <c r="A67" s="253" t="s">
        <v>449</v>
      </c>
      <c r="B67" s="224" t="s">
        <v>218</v>
      </c>
      <c r="C67" s="221" t="s">
        <v>450</v>
      </c>
      <c r="D67" s="222"/>
      <c r="E67" s="223"/>
      <c r="F67" s="204"/>
      <c r="G67" s="204"/>
      <c r="H67" s="224"/>
      <c r="I67" s="225"/>
      <c r="J67" s="224"/>
      <c r="K67" s="225"/>
      <c r="L67" s="224"/>
      <c r="M67" s="225"/>
      <c r="N67" s="224"/>
      <c r="O67" s="225"/>
      <c r="P67" s="224"/>
      <c r="Q67" s="298">
        <f t="shared" si="0"/>
        <v>0</v>
      </c>
      <c r="R67" s="299">
        <f t="shared" si="1"/>
        <v>0</v>
      </c>
      <c r="S67" s="300"/>
    </row>
    <row r="68" spans="1:23" s="15" customFormat="1" ht="30" x14ac:dyDescent="0.25">
      <c r="A68" s="254"/>
      <c r="B68" s="244" t="s">
        <v>218</v>
      </c>
      <c r="C68" s="18" t="s">
        <v>34</v>
      </c>
      <c r="D68" s="103" t="s">
        <v>312</v>
      </c>
      <c r="E68" s="86" t="s">
        <v>136</v>
      </c>
      <c r="F68" s="27"/>
      <c r="G68" s="27"/>
      <c r="H68" s="28"/>
      <c r="I68" s="22">
        <v>573448.30514013604</v>
      </c>
      <c r="J68" s="20">
        <v>0</v>
      </c>
      <c r="K68" s="22">
        <v>688137.96616816323</v>
      </c>
      <c r="L68" s="67"/>
      <c r="M68" s="22">
        <v>773168.00764331198</v>
      </c>
      <c r="N68" s="67"/>
      <c r="O68" s="22"/>
      <c r="P68" s="67"/>
      <c r="Q68" s="59">
        <f t="shared" si="0"/>
        <v>2034754.2789516111</v>
      </c>
      <c r="R68" s="60">
        <f t="shared" si="1"/>
        <v>0</v>
      </c>
      <c r="S68" s="301">
        <f t="shared" si="2"/>
        <v>2034754.2789516111</v>
      </c>
    </row>
    <row r="69" spans="1:23" s="15" customFormat="1" ht="30" x14ac:dyDescent="0.25">
      <c r="A69" s="254"/>
      <c r="B69" s="244" t="s">
        <v>218</v>
      </c>
      <c r="C69" s="18" t="s">
        <v>8</v>
      </c>
      <c r="D69" s="103" t="s">
        <v>313</v>
      </c>
      <c r="E69" s="86" t="s">
        <v>136</v>
      </c>
      <c r="F69" s="27"/>
      <c r="G69" s="27"/>
      <c r="H69" s="28"/>
      <c r="I69" s="22">
        <v>8000</v>
      </c>
      <c r="J69" s="20">
        <v>0</v>
      </c>
      <c r="K69" s="22">
        <v>8000</v>
      </c>
      <c r="L69" s="67"/>
      <c r="M69" s="22">
        <v>8000</v>
      </c>
      <c r="N69" s="67"/>
      <c r="O69" s="22"/>
      <c r="P69" s="67"/>
      <c r="Q69" s="59">
        <f t="shared" si="0"/>
        <v>24000</v>
      </c>
      <c r="R69" s="60">
        <f t="shared" si="1"/>
        <v>0</v>
      </c>
      <c r="S69" s="301">
        <f t="shared" si="2"/>
        <v>24000</v>
      </c>
    </row>
    <row r="70" spans="1:23" s="15" customFormat="1" x14ac:dyDescent="0.25">
      <c r="A70" s="254"/>
      <c r="B70" s="244" t="s">
        <v>218</v>
      </c>
      <c r="C70" s="18" t="s">
        <v>9</v>
      </c>
      <c r="D70" s="103" t="s">
        <v>314</v>
      </c>
      <c r="E70" s="86" t="s">
        <v>136</v>
      </c>
      <c r="F70" s="27"/>
      <c r="G70" s="27"/>
      <c r="H70" s="28"/>
      <c r="I70" s="22">
        <v>550960.13631111116</v>
      </c>
      <c r="J70" s="20">
        <v>0</v>
      </c>
      <c r="K70" s="22">
        <v>661152.1635733333</v>
      </c>
      <c r="L70" s="67"/>
      <c r="M70" s="22">
        <v>848862.77762237762</v>
      </c>
      <c r="N70" s="67"/>
      <c r="O70" s="22"/>
      <c r="P70" s="67"/>
      <c r="Q70" s="59">
        <f t="shared" si="0"/>
        <v>2060975.0775068221</v>
      </c>
      <c r="R70" s="60">
        <f t="shared" si="1"/>
        <v>0</v>
      </c>
      <c r="S70" s="301">
        <f t="shared" si="2"/>
        <v>2060975.0775068221</v>
      </c>
    </row>
    <row r="71" spans="1:23" s="15" customFormat="1" x14ac:dyDescent="0.25">
      <c r="A71" s="254"/>
      <c r="B71" s="244" t="s">
        <v>218</v>
      </c>
      <c r="C71" s="18" t="s">
        <v>20</v>
      </c>
      <c r="D71" s="103" t="s">
        <v>39</v>
      </c>
      <c r="E71" s="86" t="s">
        <v>135</v>
      </c>
      <c r="F71" s="27"/>
      <c r="G71" s="27"/>
      <c r="H71" s="28"/>
      <c r="I71" s="22">
        <v>20000</v>
      </c>
      <c r="J71" s="20"/>
      <c r="K71" s="22">
        <v>20000</v>
      </c>
      <c r="L71" s="67"/>
      <c r="M71" s="22">
        <v>20000</v>
      </c>
      <c r="N71" s="67"/>
      <c r="O71" s="22"/>
      <c r="P71" s="67"/>
      <c r="Q71" s="59">
        <f t="shared" si="0"/>
        <v>60000</v>
      </c>
      <c r="R71" s="60">
        <f t="shared" si="1"/>
        <v>0</v>
      </c>
      <c r="S71" s="301">
        <f t="shared" si="2"/>
        <v>60000</v>
      </c>
    </row>
    <row r="72" spans="1:23" x14ac:dyDescent="0.25">
      <c r="A72" s="253" t="s">
        <v>451</v>
      </c>
      <c r="B72" s="224" t="s">
        <v>218</v>
      </c>
      <c r="C72" s="221" t="s">
        <v>452</v>
      </c>
      <c r="D72" s="222"/>
      <c r="E72" s="223"/>
      <c r="F72" s="204"/>
      <c r="G72" s="204"/>
      <c r="H72" s="224"/>
      <c r="I72" s="225"/>
      <c r="J72" s="224"/>
      <c r="K72" s="225"/>
      <c r="L72" s="224"/>
      <c r="M72" s="225"/>
      <c r="N72" s="224"/>
      <c r="O72" s="225"/>
      <c r="P72" s="224"/>
      <c r="Q72" s="298">
        <f t="shared" si="0"/>
        <v>0</v>
      </c>
      <c r="R72" s="299">
        <f t="shared" si="1"/>
        <v>0</v>
      </c>
      <c r="S72" s="300"/>
    </row>
    <row r="73" spans="1:23" s="15" customFormat="1" x14ac:dyDescent="0.25">
      <c r="A73" s="254"/>
      <c r="B73" s="244" t="s">
        <v>218</v>
      </c>
      <c r="C73" s="18" t="s">
        <v>10</v>
      </c>
      <c r="D73" s="103" t="s">
        <v>316</v>
      </c>
      <c r="E73" s="86" t="s">
        <v>135</v>
      </c>
      <c r="F73" s="27"/>
      <c r="G73" s="27"/>
      <c r="H73" s="28"/>
      <c r="I73" s="22">
        <v>164670.264456</v>
      </c>
      <c r="J73" s="20">
        <v>38000</v>
      </c>
      <c r="K73" s="22">
        <v>197604.31734720001</v>
      </c>
      <c r="L73" s="67">
        <v>45600</v>
      </c>
      <c r="M73" s="22">
        <v>256885.61266666665</v>
      </c>
      <c r="N73" s="67">
        <v>54666.666666666664</v>
      </c>
      <c r="O73" s="22"/>
      <c r="P73" s="67"/>
      <c r="Q73" s="59">
        <f t="shared" ref="Q73:Q136" si="4">+M73+K73+I73+O73</f>
        <v>619160.19446986658</v>
      </c>
      <c r="R73" s="60">
        <f t="shared" ref="R73:R136" si="5">+N73+L73+J73+P73</f>
        <v>138266.66666666666</v>
      </c>
      <c r="S73" s="301">
        <f t="shared" ref="S73:S139" si="6">+Q73+R73</f>
        <v>757426.8611365332</v>
      </c>
    </row>
    <row r="74" spans="1:23" x14ac:dyDescent="0.25">
      <c r="A74" s="253" t="s">
        <v>454</v>
      </c>
      <c r="B74" s="224" t="s">
        <v>218</v>
      </c>
      <c r="C74" s="221" t="s">
        <v>453</v>
      </c>
      <c r="D74" s="222"/>
      <c r="E74" s="223"/>
      <c r="F74" s="204"/>
      <c r="G74" s="204"/>
      <c r="H74" s="224"/>
      <c r="I74" s="225"/>
      <c r="J74" s="224"/>
      <c r="K74" s="225"/>
      <c r="L74" s="224"/>
      <c r="M74" s="225"/>
      <c r="N74" s="224"/>
      <c r="O74" s="225"/>
      <c r="P74" s="224"/>
      <c r="Q74" s="298">
        <f t="shared" si="4"/>
        <v>0</v>
      </c>
      <c r="R74" s="299">
        <f t="shared" si="5"/>
        <v>0</v>
      </c>
      <c r="S74" s="300"/>
    </row>
    <row r="75" spans="1:23" s="15" customFormat="1" x14ac:dyDescent="0.25">
      <c r="A75" s="254"/>
      <c r="B75" s="244" t="s">
        <v>218</v>
      </c>
      <c r="C75" s="18" t="s">
        <v>317</v>
      </c>
      <c r="D75" s="103" t="s">
        <v>318</v>
      </c>
      <c r="E75" s="18" t="s">
        <v>540</v>
      </c>
      <c r="F75" s="27"/>
      <c r="G75" s="27"/>
      <c r="H75" s="28"/>
      <c r="I75" s="22">
        <f>2158231/8</f>
        <v>269778.875</v>
      </c>
      <c r="J75" s="20"/>
      <c r="K75" s="22">
        <v>629484.04166666663</v>
      </c>
      <c r="L75" s="67"/>
      <c r="M75" s="22">
        <v>629484.04166666663</v>
      </c>
      <c r="N75" s="67"/>
      <c r="O75" s="22">
        <v>629484.04166666663</v>
      </c>
      <c r="P75" s="67"/>
      <c r="Q75" s="22">
        <f t="shared" si="4"/>
        <v>2158231</v>
      </c>
      <c r="R75" s="20">
        <f t="shared" si="5"/>
        <v>0</v>
      </c>
      <c r="S75" s="302">
        <f t="shared" si="6"/>
        <v>2158231</v>
      </c>
      <c r="U75" s="293"/>
    </row>
    <row r="76" spans="1:23" x14ac:dyDescent="0.25">
      <c r="A76" s="253" t="s">
        <v>513</v>
      </c>
      <c r="B76" s="224" t="s">
        <v>218</v>
      </c>
      <c r="C76" s="221" t="s">
        <v>527</v>
      </c>
      <c r="D76" s="222"/>
      <c r="E76" s="223"/>
      <c r="F76" s="204"/>
      <c r="G76" s="204"/>
      <c r="H76" s="224"/>
      <c r="I76" s="225"/>
      <c r="J76" s="224"/>
      <c r="K76" s="225"/>
      <c r="L76" s="224"/>
      <c r="M76" s="225"/>
      <c r="N76" s="224"/>
      <c r="O76" s="225"/>
      <c r="P76" s="224"/>
      <c r="Q76" s="298">
        <f t="shared" si="4"/>
        <v>0</v>
      </c>
      <c r="R76" s="299">
        <f t="shared" si="5"/>
        <v>0</v>
      </c>
      <c r="S76" s="300"/>
    </row>
    <row r="77" spans="1:23" s="15" customFormat="1" ht="30" x14ac:dyDescent="0.25">
      <c r="A77" s="254"/>
      <c r="B77" s="244" t="s">
        <v>218</v>
      </c>
      <c r="C77" s="18" t="s">
        <v>514</v>
      </c>
      <c r="D77" s="205" t="s">
        <v>528</v>
      </c>
      <c r="E77" s="86" t="s">
        <v>136</v>
      </c>
      <c r="F77" s="27"/>
      <c r="G77" s="27"/>
      <c r="H77" s="28"/>
      <c r="I77" s="22"/>
      <c r="J77" s="20">
        <v>153312.29999999999</v>
      </c>
      <c r="K77" s="22"/>
      <c r="L77" s="67">
        <v>255520.5</v>
      </c>
      <c r="M77" s="22"/>
      <c r="N77" s="67">
        <v>102208.20000000001</v>
      </c>
      <c r="O77" s="22"/>
      <c r="P77" s="67"/>
      <c r="Q77" s="59">
        <f t="shared" si="4"/>
        <v>0</v>
      </c>
      <c r="R77" s="60">
        <f t="shared" si="5"/>
        <v>511041</v>
      </c>
      <c r="S77" s="301">
        <f t="shared" ref="S77" si="7">+Q77+R77</f>
        <v>511041</v>
      </c>
      <c r="U77" s="293"/>
    </row>
    <row r="78" spans="1:23" x14ac:dyDescent="0.25">
      <c r="A78" s="252" t="s">
        <v>409</v>
      </c>
      <c r="B78" s="243" t="s">
        <v>533</v>
      </c>
      <c r="C78" s="216"/>
      <c r="D78" s="217"/>
      <c r="E78" s="217"/>
      <c r="F78" s="217"/>
      <c r="G78" s="217"/>
      <c r="H78" s="217"/>
      <c r="I78" s="218"/>
      <c r="J78" s="219"/>
      <c r="K78" s="218"/>
      <c r="L78" s="219"/>
      <c r="M78" s="218"/>
      <c r="N78" s="219"/>
      <c r="O78" s="218"/>
      <c r="P78" s="219"/>
      <c r="Q78" s="218">
        <f t="shared" si="4"/>
        <v>0</v>
      </c>
      <c r="R78" s="219">
        <f t="shared" si="5"/>
        <v>0</v>
      </c>
      <c r="S78" s="297"/>
      <c r="U78" s="182"/>
      <c r="V78" s="182"/>
      <c r="W78" s="182"/>
    </row>
    <row r="79" spans="1:23" x14ac:dyDescent="0.25">
      <c r="A79" s="253" t="s">
        <v>410</v>
      </c>
      <c r="B79" s="224"/>
      <c r="C79" s="221" t="s">
        <v>521</v>
      </c>
      <c r="D79" s="222"/>
      <c r="E79" s="223"/>
      <c r="F79" s="204"/>
      <c r="G79" s="204"/>
      <c r="H79" s="224"/>
      <c r="I79" s="225"/>
      <c r="J79" s="224"/>
      <c r="K79" s="225"/>
      <c r="L79" s="224"/>
      <c r="M79" s="225"/>
      <c r="N79" s="224"/>
      <c r="O79" s="225"/>
      <c r="P79" s="224"/>
      <c r="Q79" s="298">
        <f t="shared" si="4"/>
        <v>0</v>
      </c>
      <c r="R79" s="299">
        <f t="shared" si="5"/>
        <v>0</v>
      </c>
      <c r="S79" s="300"/>
    </row>
    <row r="80" spans="1:23" s="15" customFormat="1" x14ac:dyDescent="0.25">
      <c r="A80" s="254"/>
      <c r="B80" s="244" t="s">
        <v>323</v>
      </c>
      <c r="C80" s="18" t="s">
        <v>414</v>
      </c>
      <c r="D80" s="205" t="s">
        <v>415</v>
      </c>
      <c r="E80" s="86" t="s">
        <v>139</v>
      </c>
      <c r="F80" s="27">
        <v>1174</v>
      </c>
      <c r="G80" s="27"/>
      <c r="H80" s="206">
        <v>8700</v>
      </c>
      <c r="I80" s="22"/>
      <c r="J80" s="20"/>
      <c r="K80" s="22"/>
      <c r="L80" s="67"/>
      <c r="M80" s="22"/>
      <c r="N80" s="67"/>
      <c r="O80" s="22">
        <v>10213800</v>
      </c>
      <c r="P80" s="67"/>
      <c r="Q80" s="22">
        <f t="shared" si="4"/>
        <v>10213800</v>
      </c>
      <c r="R80" s="20">
        <f t="shared" si="5"/>
        <v>0</v>
      </c>
      <c r="S80" s="302">
        <f>+Q80+R80</f>
        <v>10213800</v>
      </c>
    </row>
    <row r="81" spans="1:23" s="15" customFormat="1" x14ac:dyDescent="0.25">
      <c r="A81" s="254"/>
      <c r="B81" s="244" t="s">
        <v>323</v>
      </c>
      <c r="C81" s="18" t="s">
        <v>414</v>
      </c>
      <c r="D81" s="205" t="s">
        <v>416</v>
      </c>
      <c r="E81" s="86" t="s">
        <v>139</v>
      </c>
      <c r="F81" s="27">
        <v>1174</v>
      </c>
      <c r="G81" s="27"/>
      <c r="H81" s="206">
        <v>1070</v>
      </c>
      <c r="I81" s="22"/>
      <c r="J81" s="20"/>
      <c r="K81" s="22"/>
      <c r="L81" s="67"/>
      <c r="M81" s="22"/>
      <c r="N81" s="67"/>
      <c r="O81" s="22">
        <v>1256180</v>
      </c>
      <c r="P81" s="67"/>
      <c r="Q81" s="22">
        <f t="shared" si="4"/>
        <v>1256180</v>
      </c>
      <c r="R81" s="20">
        <f t="shared" si="5"/>
        <v>0</v>
      </c>
      <c r="S81" s="302">
        <f>+Q81+R81</f>
        <v>1256180</v>
      </c>
    </row>
    <row r="82" spans="1:23" s="15" customFormat="1" x14ac:dyDescent="0.25">
      <c r="A82" s="254"/>
      <c r="B82" s="244" t="s">
        <v>323</v>
      </c>
      <c r="C82" s="18" t="s">
        <v>414</v>
      </c>
      <c r="D82" s="205" t="s">
        <v>417</v>
      </c>
      <c r="E82" s="86" t="s">
        <v>139</v>
      </c>
      <c r="F82" s="27">
        <v>1174</v>
      </c>
      <c r="G82" s="27"/>
      <c r="H82" s="206">
        <v>6500</v>
      </c>
      <c r="I82" s="22"/>
      <c r="J82" s="20"/>
      <c r="K82" s="22"/>
      <c r="L82" s="67"/>
      <c r="M82" s="22"/>
      <c r="N82" s="67"/>
      <c r="O82" s="22">
        <v>7631000</v>
      </c>
      <c r="P82" s="67"/>
      <c r="Q82" s="22">
        <f t="shared" si="4"/>
        <v>7631000</v>
      </c>
      <c r="R82" s="20">
        <f t="shared" si="5"/>
        <v>0</v>
      </c>
      <c r="S82" s="302">
        <f>+Q82+R82</f>
        <v>7631000</v>
      </c>
    </row>
    <row r="83" spans="1:23" s="15" customFormat="1" x14ac:dyDescent="0.25">
      <c r="A83" s="254"/>
      <c r="B83" s="244" t="s">
        <v>323</v>
      </c>
      <c r="C83" s="18" t="s">
        <v>414</v>
      </c>
      <c r="D83" s="205" t="s">
        <v>418</v>
      </c>
      <c r="E83" s="86" t="s">
        <v>139</v>
      </c>
      <c r="F83" s="27">
        <v>1174</v>
      </c>
      <c r="G83" s="27"/>
      <c r="H83" s="206">
        <v>8000</v>
      </c>
      <c r="I83" s="22"/>
      <c r="J83" s="20"/>
      <c r="K83" s="22"/>
      <c r="L83" s="67"/>
      <c r="M83" s="22"/>
      <c r="N83" s="67"/>
      <c r="O83" s="22">
        <v>9392000</v>
      </c>
      <c r="P83" s="67"/>
      <c r="Q83" s="22">
        <f t="shared" si="4"/>
        <v>9392000</v>
      </c>
      <c r="R83" s="20">
        <f t="shared" si="5"/>
        <v>0</v>
      </c>
      <c r="S83" s="302">
        <f>+Q83+R83</f>
        <v>9392000</v>
      </c>
    </row>
    <row r="84" spans="1:23" s="15" customFormat="1" ht="30" x14ac:dyDescent="0.25">
      <c r="A84" s="254"/>
      <c r="B84" s="244" t="s">
        <v>323</v>
      </c>
      <c r="C84" s="18" t="s">
        <v>414</v>
      </c>
      <c r="D84" s="205" t="s">
        <v>419</v>
      </c>
      <c r="E84" s="86" t="s">
        <v>139</v>
      </c>
      <c r="F84" s="27">
        <v>1174</v>
      </c>
      <c r="G84" s="27"/>
      <c r="H84" s="206">
        <v>1000</v>
      </c>
      <c r="I84" s="22"/>
      <c r="J84" s="20"/>
      <c r="K84" s="22"/>
      <c r="L84" s="67"/>
      <c r="M84" s="22"/>
      <c r="N84" s="67"/>
      <c r="O84" s="22">
        <v>1174000</v>
      </c>
      <c r="P84" s="67"/>
      <c r="Q84" s="22">
        <f t="shared" si="4"/>
        <v>1174000</v>
      </c>
      <c r="R84" s="20">
        <f t="shared" si="5"/>
        <v>0</v>
      </c>
      <c r="S84" s="302">
        <f>+Q84+R84</f>
        <v>1174000</v>
      </c>
    </row>
    <row r="85" spans="1:23" x14ac:dyDescent="0.25">
      <c r="A85" s="253" t="s">
        <v>456</v>
      </c>
      <c r="B85" s="224"/>
      <c r="C85" s="221" t="s">
        <v>455</v>
      </c>
      <c r="D85" s="222"/>
      <c r="E85" s="223"/>
      <c r="F85" s="204"/>
      <c r="G85" s="204"/>
      <c r="H85" s="224"/>
      <c r="I85" s="225"/>
      <c r="J85" s="224"/>
      <c r="K85" s="225"/>
      <c r="L85" s="224"/>
      <c r="M85" s="225"/>
      <c r="N85" s="224"/>
      <c r="O85" s="225"/>
      <c r="P85" s="224"/>
      <c r="Q85" s="298">
        <f t="shared" si="4"/>
        <v>0</v>
      </c>
      <c r="R85" s="299">
        <f t="shared" si="5"/>
        <v>0</v>
      </c>
      <c r="S85" s="300"/>
    </row>
    <row r="86" spans="1:23" s="15" customFormat="1" ht="45" x14ac:dyDescent="0.25">
      <c r="A86" s="254"/>
      <c r="B86" s="244" t="s">
        <v>323</v>
      </c>
      <c r="C86" s="18" t="s">
        <v>329</v>
      </c>
      <c r="D86" s="205" t="s">
        <v>420</v>
      </c>
      <c r="E86" s="86" t="s">
        <v>133</v>
      </c>
      <c r="F86" s="27">
        <v>1300</v>
      </c>
      <c r="G86" s="27"/>
      <c r="H86" s="206">
        <v>1681.25</v>
      </c>
      <c r="I86" s="22"/>
      <c r="J86" s="20"/>
      <c r="K86" s="22"/>
      <c r="L86" s="67"/>
      <c r="M86" s="22">
        <v>574250</v>
      </c>
      <c r="N86" s="20"/>
      <c r="O86" s="22">
        <v>1611375</v>
      </c>
      <c r="P86" s="67"/>
      <c r="Q86" s="22">
        <f t="shared" si="4"/>
        <v>2185625</v>
      </c>
      <c r="R86" s="20">
        <f t="shared" si="5"/>
        <v>0</v>
      </c>
      <c r="S86" s="302">
        <f>+Q86+R86</f>
        <v>2185625</v>
      </c>
    </row>
    <row r="87" spans="1:23" x14ac:dyDescent="0.25">
      <c r="A87" s="253" t="s">
        <v>457</v>
      </c>
      <c r="B87" s="224"/>
      <c r="C87" s="221" t="s">
        <v>466</v>
      </c>
      <c r="D87" s="222"/>
      <c r="E87" s="223"/>
      <c r="F87" s="204"/>
      <c r="G87" s="204"/>
      <c r="H87" s="224"/>
      <c r="I87" s="225"/>
      <c r="J87" s="224"/>
      <c r="K87" s="225"/>
      <c r="L87" s="224"/>
      <c r="M87" s="225"/>
      <c r="N87" s="224"/>
      <c r="O87" s="225"/>
      <c r="P87" s="224"/>
      <c r="Q87" s="298">
        <f t="shared" si="4"/>
        <v>0</v>
      </c>
      <c r="R87" s="299">
        <f t="shared" si="5"/>
        <v>0</v>
      </c>
      <c r="S87" s="300"/>
    </row>
    <row r="88" spans="1:23" s="15" customFormat="1" ht="30" x14ac:dyDescent="0.25">
      <c r="A88" s="254"/>
      <c r="B88" s="244" t="s">
        <v>323</v>
      </c>
      <c r="C88" s="18" t="s">
        <v>421</v>
      </c>
      <c r="D88" s="205" t="s">
        <v>422</v>
      </c>
      <c r="E88" s="86" t="s">
        <v>337</v>
      </c>
      <c r="F88" s="27">
        <v>240</v>
      </c>
      <c r="G88" s="27"/>
      <c r="H88" s="28"/>
      <c r="I88" s="22"/>
      <c r="J88" s="22"/>
      <c r="K88" s="22"/>
      <c r="L88" s="22"/>
      <c r="M88" s="22">
        <v>1061947.8810199674</v>
      </c>
      <c r="N88" s="67">
        <v>2477878.3890465903</v>
      </c>
      <c r="O88" s="22">
        <v>2103010.2035518475</v>
      </c>
      <c r="P88" s="67">
        <v>4907023.8082876438</v>
      </c>
      <c r="Q88" s="22">
        <f t="shared" si="4"/>
        <v>3164958.0845718151</v>
      </c>
      <c r="R88" s="20">
        <f t="shared" si="5"/>
        <v>7384902.1973342337</v>
      </c>
      <c r="S88" s="302">
        <f>+Q88+R88</f>
        <v>10549860.28190605</v>
      </c>
    </row>
    <row r="89" spans="1:23" x14ac:dyDescent="0.25">
      <c r="A89" s="252" t="s">
        <v>411</v>
      </c>
      <c r="B89" s="243" t="s">
        <v>515</v>
      </c>
      <c r="C89" s="216"/>
      <c r="D89" s="217"/>
      <c r="E89" s="217"/>
      <c r="F89" s="217"/>
      <c r="G89" s="217"/>
      <c r="H89" s="217"/>
      <c r="I89" s="218"/>
      <c r="J89" s="219"/>
      <c r="K89" s="218"/>
      <c r="L89" s="219"/>
      <c r="M89" s="218"/>
      <c r="N89" s="219"/>
      <c r="O89" s="218"/>
      <c r="P89" s="219"/>
      <c r="Q89" s="218">
        <f t="shared" si="4"/>
        <v>0</v>
      </c>
      <c r="R89" s="219">
        <f t="shared" si="5"/>
        <v>0</v>
      </c>
      <c r="S89" s="297"/>
      <c r="V89" s="182"/>
      <c r="W89" s="182"/>
    </row>
    <row r="90" spans="1:23" x14ac:dyDescent="0.25">
      <c r="A90" s="253" t="s">
        <v>522</v>
      </c>
      <c r="B90" s="224"/>
      <c r="C90" s="221" t="s">
        <v>446</v>
      </c>
      <c r="D90" s="222"/>
      <c r="E90" s="223"/>
      <c r="F90" s="204"/>
      <c r="G90" s="204"/>
      <c r="H90" s="224"/>
      <c r="I90" s="225"/>
      <c r="J90" s="224"/>
      <c r="K90" s="225"/>
      <c r="L90" s="224"/>
      <c r="M90" s="225"/>
      <c r="N90" s="224"/>
      <c r="O90" s="225"/>
      <c r="P90" s="224"/>
      <c r="Q90" s="298">
        <f t="shared" si="4"/>
        <v>0</v>
      </c>
      <c r="R90" s="299">
        <f t="shared" si="5"/>
        <v>0</v>
      </c>
      <c r="S90" s="300"/>
    </row>
    <row r="91" spans="1:23" s="15" customFormat="1" x14ac:dyDescent="0.25">
      <c r="A91" s="254"/>
      <c r="B91" s="244" t="s">
        <v>323</v>
      </c>
      <c r="C91" s="18" t="s">
        <v>369</v>
      </c>
      <c r="D91" s="103" t="s">
        <v>132</v>
      </c>
      <c r="E91" s="86" t="s">
        <v>132</v>
      </c>
      <c r="F91" s="27">
        <v>5</v>
      </c>
      <c r="G91" s="27"/>
      <c r="H91" s="28"/>
      <c r="I91" s="22"/>
      <c r="J91" s="20">
        <v>63908.28</v>
      </c>
      <c r="K91" s="22"/>
      <c r="L91" s="67">
        <v>79885.350000000006</v>
      </c>
      <c r="M91" s="22"/>
      <c r="N91" s="67">
        <v>99856.6875</v>
      </c>
      <c r="O91" s="22"/>
      <c r="P91" s="67">
        <v>99856.6875</v>
      </c>
      <c r="Q91" s="59">
        <f t="shared" si="4"/>
        <v>0</v>
      </c>
      <c r="R91" s="60">
        <f t="shared" si="5"/>
        <v>343507.005</v>
      </c>
      <c r="S91" s="301">
        <f t="shared" si="6"/>
        <v>343507.005</v>
      </c>
      <c r="V91" s="293"/>
    </row>
    <row r="92" spans="1:23" s="15" customFormat="1" x14ac:dyDescent="0.25">
      <c r="A92" s="254"/>
      <c r="B92" s="244" t="s">
        <v>323</v>
      </c>
      <c r="C92" s="18" t="s">
        <v>370</v>
      </c>
      <c r="D92" s="103" t="s">
        <v>132</v>
      </c>
      <c r="E92" s="86" t="s">
        <v>132</v>
      </c>
      <c r="F92" s="27">
        <v>29</v>
      </c>
      <c r="G92" s="27"/>
      <c r="H92" s="28"/>
      <c r="I92" s="22"/>
      <c r="J92" s="20">
        <v>380317.85599999997</v>
      </c>
      <c r="K92" s="22"/>
      <c r="L92" s="67">
        <v>475397.32</v>
      </c>
      <c r="M92" s="22"/>
      <c r="N92" s="67">
        <v>594246.65</v>
      </c>
      <c r="O92" s="22"/>
      <c r="P92" s="67">
        <v>594246.65</v>
      </c>
      <c r="Q92" s="59">
        <f t="shared" si="4"/>
        <v>0</v>
      </c>
      <c r="R92" s="60">
        <f t="shared" si="5"/>
        <v>2044208.4759999998</v>
      </c>
      <c r="S92" s="301">
        <f t="shared" si="6"/>
        <v>2044208.4759999998</v>
      </c>
      <c r="V92" s="293"/>
      <c r="W92" s="293"/>
    </row>
    <row r="93" spans="1:23" s="15" customFormat="1" x14ac:dyDescent="0.25">
      <c r="A93" s="254"/>
      <c r="B93" s="244" t="s">
        <v>323</v>
      </c>
      <c r="C93" s="18" t="s">
        <v>371</v>
      </c>
      <c r="D93" s="103" t="s">
        <v>132</v>
      </c>
      <c r="E93" s="86" t="s">
        <v>132</v>
      </c>
      <c r="F93" s="27">
        <v>12</v>
      </c>
      <c r="G93" s="27"/>
      <c r="H93" s="28"/>
      <c r="I93" s="22"/>
      <c r="J93" s="20">
        <v>164427.576</v>
      </c>
      <c r="K93" s="22"/>
      <c r="L93" s="67">
        <v>205534.47</v>
      </c>
      <c r="M93" s="22"/>
      <c r="N93" s="67">
        <v>256918.08749999999</v>
      </c>
      <c r="O93" s="22"/>
      <c r="P93" s="67">
        <v>256918.08749999999</v>
      </c>
      <c r="Q93" s="59">
        <f t="shared" si="4"/>
        <v>0</v>
      </c>
      <c r="R93" s="60">
        <f t="shared" si="5"/>
        <v>883798.22100000002</v>
      </c>
      <c r="S93" s="301">
        <f t="shared" si="6"/>
        <v>883798.22100000002</v>
      </c>
    </row>
    <row r="94" spans="1:23" s="15" customFormat="1" x14ac:dyDescent="0.25">
      <c r="A94" s="254"/>
      <c r="B94" s="244" t="s">
        <v>323</v>
      </c>
      <c r="C94" s="18" t="s">
        <v>372</v>
      </c>
      <c r="D94" s="103" t="s">
        <v>132</v>
      </c>
      <c r="E94" s="86" t="s">
        <v>132</v>
      </c>
      <c r="F94" s="27">
        <v>5</v>
      </c>
      <c r="G94" s="27"/>
      <c r="H94" s="28"/>
      <c r="I94" s="22"/>
      <c r="J94" s="20">
        <v>51545.871999999996</v>
      </c>
      <c r="K94" s="22"/>
      <c r="L94" s="67">
        <v>64432.34</v>
      </c>
      <c r="M94" s="22"/>
      <c r="N94" s="67">
        <v>80540.424999999988</v>
      </c>
      <c r="O94" s="22"/>
      <c r="P94" s="67">
        <v>80540.424999999988</v>
      </c>
      <c r="Q94" s="59">
        <f t="shared" si="4"/>
        <v>0</v>
      </c>
      <c r="R94" s="60">
        <f t="shared" si="5"/>
        <v>277059.06199999998</v>
      </c>
      <c r="S94" s="301">
        <f t="shared" si="6"/>
        <v>277059.06199999998</v>
      </c>
    </row>
    <row r="95" spans="1:23" s="15" customFormat="1" x14ac:dyDescent="0.25">
      <c r="A95" s="254"/>
      <c r="B95" s="244" t="s">
        <v>323</v>
      </c>
      <c r="C95" s="18" t="s">
        <v>373</v>
      </c>
      <c r="D95" s="103" t="s">
        <v>132</v>
      </c>
      <c r="E95" s="86" t="s">
        <v>132</v>
      </c>
      <c r="F95" s="27">
        <v>11</v>
      </c>
      <c r="G95" s="27"/>
      <c r="H95" s="28"/>
      <c r="I95" s="22"/>
      <c r="J95" s="20">
        <v>131115.82399999999</v>
      </c>
      <c r="K95" s="22"/>
      <c r="L95" s="67">
        <v>163894.78</v>
      </c>
      <c r="M95" s="22"/>
      <c r="N95" s="67">
        <v>204868.47500000001</v>
      </c>
      <c r="O95" s="22"/>
      <c r="P95" s="67">
        <v>204868.47500000001</v>
      </c>
      <c r="Q95" s="59">
        <f t="shared" si="4"/>
        <v>0</v>
      </c>
      <c r="R95" s="60">
        <f t="shared" si="5"/>
        <v>704747.554</v>
      </c>
      <c r="S95" s="301">
        <f t="shared" si="6"/>
        <v>704747.554</v>
      </c>
    </row>
    <row r="96" spans="1:23" s="15" customFormat="1" x14ac:dyDescent="0.25">
      <c r="A96" s="254"/>
      <c r="B96" s="244" t="s">
        <v>323</v>
      </c>
      <c r="C96" s="18" t="s">
        <v>374</v>
      </c>
      <c r="D96" s="103" t="s">
        <v>132</v>
      </c>
      <c r="E96" s="86" t="s">
        <v>132</v>
      </c>
      <c r="F96" s="27">
        <v>17</v>
      </c>
      <c r="G96" s="27"/>
      <c r="H96" s="28"/>
      <c r="I96" s="22"/>
      <c r="J96" s="20">
        <v>255578.47999999998</v>
      </c>
      <c r="K96" s="22"/>
      <c r="L96" s="67">
        <v>319473.09999999998</v>
      </c>
      <c r="M96" s="22"/>
      <c r="N96" s="67">
        <v>399341.375</v>
      </c>
      <c r="O96" s="22"/>
      <c r="P96" s="67">
        <v>399341.375</v>
      </c>
      <c r="Q96" s="59">
        <f t="shared" si="4"/>
        <v>0</v>
      </c>
      <c r="R96" s="60">
        <f t="shared" si="5"/>
        <v>1373734.33</v>
      </c>
      <c r="S96" s="301">
        <f t="shared" si="6"/>
        <v>1373734.33</v>
      </c>
    </row>
    <row r="97" spans="1:19" s="15" customFormat="1" x14ac:dyDescent="0.25">
      <c r="A97" s="254"/>
      <c r="B97" s="244" t="s">
        <v>323</v>
      </c>
      <c r="C97" s="18" t="s">
        <v>375</v>
      </c>
      <c r="D97" s="103" t="s">
        <v>132</v>
      </c>
      <c r="E97" s="86" t="s">
        <v>132</v>
      </c>
      <c r="F97" s="27">
        <v>20</v>
      </c>
      <c r="G97" s="27"/>
      <c r="H97" s="28"/>
      <c r="I97" s="22"/>
      <c r="J97" s="20">
        <v>294482.76</v>
      </c>
      <c r="K97" s="22"/>
      <c r="L97" s="67">
        <v>368103.45</v>
      </c>
      <c r="M97" s="22"/>
      <c r="N97" s="67">
        <v>460129.3125</v>
      </c>
      <c r="O97" s="22"/>
      <c r="P97" s="67">
        <v>460129.3125</v>
      </c>
      <c r="Q97" s="59">
        <f t="shared" si="4"/>
        <v>0</v>
      </c>
      <c r="R97" s="60">
        <f t="shared" si="5"/>
        <v>1582844.835</v>
      </c>
      <c r="S97" s="301">
        <f t="shared" si="6"/>
        <v>1582844.835</v>
      </c>
    </row>
    <row r="98" spans="1:19" s="15" customFormat="1" x14ac:dyDescent="0.25">
      <c r="A98" s="254"/>
      <c r="B98" s="244" t="s">
        <v>323</v>
      </c>
      <c r="C98" s="18" t="s">
        <v>376</v>
      </c>
      <c r="D98" s="103" t="s">
        <v>132</v>
      </c>
      <c r="E98" s="86" t="s">
        <v>132</v>
      </c>
      <c r="F98" s="27">
        <v>9</v>
      </c>
      <c r="G98" s="27"/>
      <c r="H98" s="28"/>
      <c r="I98" s="22"/>
      <c r="J98" s="20">
        <v>153827.12</v>
      </c>
      <c r="K98" s="22"/>
      <c r="L98" s="67">
        <v>192283.90000000002</v>
      </c>
      <c r="M98" s="22"/>
      <c r="N98" s="67">
        <v>240354.875</v>
      </c>
      <c r="O98" s="22"/>
      <c r="P98" s="67">
        <v>240354.875</v>
      </c>
      <c r="Q98" s="59">
        <f t="shared" si="4"/>
        <v>0</v>
      </c>
      <c r="R98" s="60">
        <f t="shared" si="5"/>
        <v>826820.77</v>
      </c>
      <c r="S98" s="301">
        <f t="shared" si="6"/>
        <v>826820.77</v>
      </c>
    </row>
    <row r="99" spans="1:19" s="15" customFormat="1" x14ac:dyDescent="0.25">
      <c r="A99" s="254"/>
      <c r="B99" s="244" t="s">
        <v>323</v>
      </c>
      <c r="C99" s="18" t="s">
        <v>377</v>
      </c>
      <c r="D99" s="103" t="s">
        <v>132</v>
      </c>
      <c r="E99" s="86" t="s">
        <v>132</v>
      </c>
      <c r="F99" s="27">
        <v>7</v>
      </c>
      <c r="G99" s="27"/>
      <c r="H99" s="28"/>
      <c r="I99" s="22"/>
      <c r="J99" s="20">
        <v>115538.82399999999</v>
      </c>
      <c r="K99" s="22"/>
      <c r="L99" s="67">
        <v>144423.53</v>
      </c>
      <c r="M99" s="22"/>
      <c r="N99" s="67">
        <v>180529.41250000001</v>
      </c>
      <c r="O99" s="22"/>
      <c r="P99" s="67">
        <v>180529.41250000001</v>
      </c>
      <c r="Q99" s="59">
        <f t="shared" si="4"/>
        <v>0</v>
      </c>
      <c r="R99" s="60">
        <f t="shared" si="5"/>
        <v>621021.179</v>
      </c>
      <c r="S99" s="301">
        <f t="shared" si="6"/>
        <v>621021.179</v>
      </c>
    </row>
    <row r="100" spans="1:19" s="15" customFormat="1" x14ac:dyDescent="0.25">
      <c r="A100" s="254"/>
      <c r="B100" s="244" t="s">
        <v>323</v>
      </c>
      <c r="C100" s="18" t="s">
        <v>384</v>
      </c>
      <c r="D100" s="103" t="s">
        <v>132</v>
      </c>
      <c r="E100" s="86" t="s">
        <v>132</v>
      </c>
      <c r="F100" s="27">
        <v>24</v>
      </c>
      <c r="G100" s="27"/>
      <c r="H100" s="28"/>
      <c r="I100" s="22"/>
      <c r="J100" s="20">
        <v>546524.16000000003</v>
      </c>
      <c r="K100" s="22"/>
      <c r="L100" s="67">
        <v>683155.20000000007</v>
      </c>
      <c r="M100" s="22"/>
      <c r="N100" s="67">
        <v>853944.00000000012</v>
      </c>
      <c r="O100" s="22"/>
      <c r="P100" s="67">
        <v>853944.00000000012</v>
      </c>
      <c r="Q100" s="59">
        <f t="shared" si="4"/>
        <v>0</v>
      </c>
      <c r="R100" s="60">
        <f t="shared" si="5"/>
        <v>2937567.3600000003</v>
      </c>
      <c r="S100" s="301">
        <f t="shared" si="6"/>
        <v>2937567.3600000003</v>
      </c>
    </row>
    <row r="101" spans="1:19" s="15" customFormat="1" x14ac:dyDescent="0.25">
      <c r="A101" s="254"/>
      <c r="B101" s="244" t="s">
        <v>323</v>
      </c>
      <c r="C101" s="18" t="s">
        <v>349</v>
      </c>
      <c r="D101" s="103" t="s">
        <v>132</v>
      </c>
      <c r="E101" s="86" t="s">
        <v>132</v>
      </c>
      <c r="F101" s="27"/>
      <c r="G101" s="27"/>
      <c r="H101" s="28"/>
      <c r="I101" s="22"/>
      <c r="J101" s="20">
        <v>89361.702127659577</v>
      </c>
      <c r="K101" s="22"/>
      <c r="L101" s="67">
        <v>112595.74468085107</v>
      </c>
      <c r="M101" s="22"/>
      <c r="N101" s="67">
        <v>141870.63829787236</v>
      </c>
      <c r="O101" s="22"/>
      <c r="P101" s="67">
        <v>141870.63829787236</v>
      </c>
      <c r="Q101" s="59">
        <f t="shared" si="4"/>
        <v>0</v>
      </c>
      <c r="R101" s="60">
        <f t="shared" si="5"/>
        <v>485698.72340425535</v>
      </c>
      <c r="S101" s="301">
        <f t="shared" si="6"/>
        <v>485698.72340425535</v>
      </c>
    </row>
    <row r="102" spans="1:19" s="15" customFormat="1" x14ac:dyDescent="0.25">
      <c r="A102" s="254"/>
      <c r="B102" s="244" t="s">
        <v>323</v>
      </c>
      <c r="C102" s="18" t="s">
        <v>83</v>
      </c>
      <c r="D102" s="103" t="s">
        <v>36</v>
      </c>
      <c r="E102" s="86" t="s">
        <v>36</v>
      </c>
      <c r="F102" s="27"/>
      <c r="G102" s="27"/>
      <c r="H102" s="28"/>
      <c r="I102" s="22"/>
      <c r="J102" s="20">
        <v>201600</v>
      </c>
      <c r="K102" s="22"/>
      <c r="L102" s="67">
        <v>223200</v>
      </c>
      <c r="M102" s="22"/>
      <c r="N102" s="67">
        <v>234720</v>
      </c>
      <c r="O102" s="22"/>
      <c r="P102" s="67">
        <v>234720</v>
      </c>
      <c r="Q102" s="59">
        <f t="shared" si="4"/>
        <v>0</v>
      </c>
      <c r="R102" s="60">
        <f t="shared" si="5"/>
        <v>894240</v>
      </c>
      <c r="S102" s="301">
        <f t="shared" si="6"/>
        <v>894240</v>
      </c>
    </row>
    <row r="103" spans="1:19" s="15" customFormat="1" x14ac:dyDescent="0.25">
      <c r="A103" s="254"/>
      <c r="B103" s="244" t="s">
        <v>323</v>
      </c>
      <c r="C103" s="18" t="s">
        <v>34</v>
      </c>
      <c r="D103" s="103" t="s">
        <v>240</v>
      </c>
      <c r="E103" s="18" t="s">
        <v>537</v>
      </c>
      <c r="F103" s="27"/>
      <c r="G103" s="27"/>
      <c r="H103" s="28"/>
      <c r="I103" s="22">
        <f>61500*0.6</f>
        <v>36900</v>
      </c>
      <c r="J103" s="20">
        <v>24600</v>
      </c>
      <c r="K103" s="22">
        <f>64575*0.6</f>
        <v>38745</v>
      </c>
      <c r="L103" s="67">
        <v>25830</v>
      </c>
      <c r="M103" s="22">
        <f>(67804*0.6)-1</f>
        <v>40681.4</v>
      </c>
      <c r="N103" s="67">
        <v>27121.600000000002</v>
      </c>
      <c r="O103" s="22"/>
      <c r="P103" s="67">
        <f>+M103+N103</f>
        <v>67803</v>
      </c>
      <c r="Q103" s="59">
        <f t="shared" si="4"/>
        <v>116326.39999999999</v>
      </c>
      <c r="R103" s="60">
        <f t="shared" si="5"/>
        <v>145354.6</v>
      </c>
      <c r="S103" s="301">
        <f t="shared" si="6"/>
        <v>261681</v>
      </c>
    </row>
    <row r="104" spans="1:19" x14ac:dyDescent="0.25">
      <c r="A104" s="253" t="s">
        <v>523</v>
      </c>
      <c r="B104" s="224"/>
      <c r="C104" s="221" t="s">
        <v>465</v>
      </c>
      <c r="D104" s="222"/>
      <c r="E104" s="223"/>
      <c r="F104" s="204"/>
      <c r="G104" s="204"/>
      <c r="H104" s="224"/>
      <c r="I104" s="225"/>
      <c r="J104" s="224"/>
      <c r="K104" s="225"/>
      <c r="L104" s="224"/>
      <c r="M104" s="225"/>
      <c r="N104" s="224"/>
      <c r="O104" s="225"/>
      <c r="P104" s="224"/>
      <c r="Q104" s="298">
        <f t="shared" si="4"/>
        <v>0</v>
      </c>
      <c r="R104" s="299">
        <f t="shared" si="5"/>
        <v>0</v>
      </c>
      <c r="S104" s="300"/>
    </row>
    <row r="105" spans="1:19" s="15" customFormat="1" x14ac:dyDescent="0.25">
      <c r="A105" s="254"/>
      <c r="B105" s="244" t="s">
        <v>323</v>
      </c>
      <c r="C105" s="18" t="s">
        <v>343</v>
      </c>
      <c r="D105" s="103" t="s">
        <v>338</v>
      </c>
      <c r="E105" s="86" t="s">
        <v>135</v>
      </c>
      <c r="F105" s="27"/>
      <c r="G105" s="27"/>
      <c r="H105" s="28"/>
      <c r="I105" s="22">
        <v>62350</v>
      </c>
      <c r="J105" s="20"/>
      <c r="K105" s="22">
        <v>65467.5</v>
      </c>
      <c r="L105" s="67"/>
      <c r="M105" s="22">
        <v>68740.875</v>
      </c>
      <c r="N105" s="67"/>
      <c r="O105" s="22"/>
      <c r="P105" s="67"/>
      <c r="Q105" s="59">
        <f t="shared" si="4"/>
        <v>196558.375</v>
      </c>
      <c r="R105" s="60">
        <f t="shared" si="5"/>
        <v>0</v>
      </c>
      <c r="S105" s="301">
        <f t="shared" si="6"/>
        <v>196558.375</v>
      </c>
    </row>
    <row r="106" spans="1:19" x14ac:dyDescent="0.25">
      <c r="A106" s="253" t="s">
        <v>524</v>
      </c>
      <c r="B106" s="224"/>
      <c r="C106" s="221" t="s">
        <v>464</v>
      </c>
      <c r="D106" s="222"/>
      <c r="E106" s="223"/>
      <c r="F106" s="204"/>
      <c r="G106" s="204"/>
      <c r="H106" s="224"/>
      <c r="I106" s="225"/>
      <c r="J106" s="224"/>
      <c r="K106" s="225"/>
      <c r="L106" s="224"/>
      <c r="M106" s="225"/>
      <c r="N106" s="224"/>
      <c r="O106" s="225"/>
      <c r="P106" s="224"/>
      <c r="Q106" s="298">
        <f t="shared" si="4"/>
        <v>0</v>
      </c>
      <c r="R106" s="299">
        <f t="shared" si="5"/>
        <v>0</v>
      </c>
      <c r="S106" s="300"/>
    </row>
    <row r="107" spans="1:19" s="15" customFormat="1" x14ac:dyDescent="0.25">
      <c r="A107" s="254"/>
      <c r="B107" s="244" t="s">
        <v>323</v>
      </c>
      <c r="C107" s="18" t="s">
        <v>335</v>
      </c>
      <c r="D107" s="103" t="s">
        <v>339</v>
      </c>
      <c r="E107" s="86" t="s">
        <v>339</v>
      </c>
      <c r="F107" s="27"/>
      <c r="G107" s="27"/>
      <c r="H107" s="28"/>
      <c r="I107" s="22">
        <v>320000</v>
      </c>
      <c r="J107" s="20"/>
      <c r="K107" s="22">
        <v>80000</v>
      </c>
      <c r="L107" s="67"/>
      <c r="M107" s="22"/>
      <c r="N107" s="67"/>
      <c r="O107" s="22"/>
      <c r="P107" s="67"/>
      <c r="Q107" s="59">
        <f t="shared" si="4"/>
        <v>400000</v>
      </c>
      <c r="R107" s="60">
        <f t="shared" si="5"/>
        <v>0</v>
      </c>
      <c r="S107" s="301">
        <f t="shared" si="6"/>
        <v>400000</v>
      </c>
    </row>
    <row r="108" spans="1:19" s="15" customFormat="1" x14ac:dyDescent="0.25">
      <c r="A108" s="254"/>
      <c r="B108" s="244" t="s">
        <v>323</v>
      </c>
      <c r="C108" s="18" t="s">
        <v>336</v>
      </c>
      <c r="D108" s="103" t="s">
        <v>339</v>
      </c>
      <c r="E108" s="86" t="s">
        <v>339</v>
      </c>
      <c r="F108" s="27"/>
      <c r="G108" s="27"/>
      <c r="H108" s="28"/>
      <c r="I108" s="22"/>
      <c r="J108" s="20"/>
      <c r="K108" s="22">
        <v>100440</v>
      </c>
      <c r="L108" s="67"/>
      <c r="M108" s="22">
        <v>401760</v>
      </c>
      <c r="N108" s="67"/>
      <c r="O108" s="22"/>
      <c r="P108" s="67"/>
      <c r="Q108" s="59">
        <f t="shared" si="4"/>
        <v>502200</v>
      </c>
      <c r="R108" s="60">
        <f t="shared" si="5"/>
        <v>0</v>
      </c>
      <c r="S108" s="301">
        <f t="shared" si="6"/>
        <v>502200</v>
      </c>
    </row>
    <row r="109" spans="1:19" x14ac:dyDescent="0.25">
      <c r="A109" s="253" t="s">
        <v>525</v>
      </c>
      <c r="B109" s="224"/>
      <c r="C109" s="221" t="s">
        <v>463</v>
      </c>
      <c r="D109" s="222"/>
      <c r="E109" s="223"/>
      <c r="F109" s="204"/>
      <c r="G109" s="204"/>
      <c r="H109" s="224"/>
      <c r="I109" s="225"/>
      <c r="J109" s="224"/>
      <c r="K109" s="225"/>
      <c r="L109" s="224"/>
      <c r="M109" s="225"/>
      <c r="N109" s="224"/>
      <c r="O109" s="225"/>
      <c r="P109" s="224"/>
      <c r="Q109" s="298">
        <f t="shared" si="4"/>
        <v>0</v>
      </c>
      <c r="R109" s="299">
        <f t="shared" si="5"/>
        <v>0</v>
      </c>
      <c r="S109" s="300"/>
    </row>
    <row r="110" spans="1:19" s="15" customFormat="1" ht="90" x14ac:dyDescent="0.25">
      <c r="A110" s="254"/>
      <c r="B110" s="244" t="s">
        <v>323</v>
      </c>
      <c r="C110" s="18" t="s">
        <v>423</v>
      </c>
      <c r="D110" s="103" t="s">
        <v>248</v>
      </c>
      <c r="E110" s="86" t="s">
        <v>248</v>
      </c>
      <c r="F110" s="27"/>
      <c r="G110" s="27"/>
      <c r="H110" s="28"/>
      <c r="I110" s="22">
        <v>45000</v>
      </c>
      <c r="J110" s="20"/>
      <c r="K110" s="22"/>
      <c r="L110" s="67"/>
      <c r="M110" s="22">
        <v>250000</v>
      </c>
      <c r="N110" s="67"/>
      <c r="O110" s="22"/>
      <c r="P110" s="67"/>
      <c r="Q110" s="59">
        <f t="shared" si="4"/>
        <v>295000</v>
      </c>
      <c r="R110" s="60">
        <f t="shared" si="5"/>
        <v>0</v>
      </c>
      <c r="S110" s="301">
        <f t="shared" si="6"/>
        <v>295000</v>
      </c>
    </row>
    <row r="111" spans="1:19" x14ac:dyDescent="0.25">
      <c r="A111" s="253" t="s">
        <v>526</v>
      </c>
      <c r="B111" s="224"/>
      <c r="C111" s="221" t="s">
        <v>462</v>
      </c>
      <c r="D111" s="222"/>
      <c r="E111" s="223"/>
      <c r="F111" s="204"/>
      <c r="G111" s="204"/>
      <c r="H111" s="224"/>
      <c r="I111" s="225"/>
      <c r="J111" s="224"/>
      <c r="K111" s="225"/>
      <c r="L111" s="224"/>
      <c r="M111" s="225"/>
      <c r="N111" s="224"/>
      <c r="O111" s="225"/>
      <c r="P111" s="224"/>
      <c r="Q111" s="298">
        <f t="shared" si="4"/>
        <v>0</v>
      </c>
      <c r="R111" s="299">
        <f t="shared" si="5"/>
        <v>0</v>
      </c>
      <c r="S111" s="300"/>
    </row>
    <row r="112" spans="1:19" s="15" customFormat="1" x14ac:dyDescent="0.25">
      <c r="A112" s="254"/>
      <c r="B112" s="244" t="s">
        <v>323</v>
      </c>
      <c r="C112" s="18" t="s">
        <v>34</v>
      </c>
      <c r="D112" s="103" t="s">
        <v>136</v>
      </c>
      <c r="E112" s="86" t="s">
        <v>136</v>
      </c>
      <c r="F112" s="27"/>
      <c r="G112" s="27"/>
      <c r="H112" s="28"/>
      <c r="I112" s="22">
        <f>950000*0.5</f>
        <v>475000</v>
      </c>
      <c r="J112" s="20"/>
      <c r="K112" s="22">
        <f>950000*0.5</f>
        <v>475000</v>
      </c>
      <c r="L112" s="67"/>
      <c r="M112" s="22">
        <f>950000*0.5</f>
        <v>475000</v>
      </c>
      <c r="N112" s="67"/>
      <c r="O112" s="22"/>
      <c r="P112" s="67"/>
      <c r="Q112" s="59">
        <f t="shared" si="4"/>
        <v>1425000</v>
      </c>
      <c r="R112" s="60">
        <f t="shared" si="5"/>
        <v>0</v>
      </c>
      <c r="S112" s="301">
        <f t="shared" si="6"/>
        <v>1425000</v>
      </c>
    </row>
    <row r="113" spans="1:19" s="15" customFormat="1" x14ac:dyDescent="0.25">
      <c r="A113" s="254"/>
      <c r="B113" s="244" t="s">
        <v>323</v>
      </c>
      <c r="C113" s="18" t="s">
        <v>8</v>
      </c>
      <c r="D113" s="103" t="s">
        <v>136</v>
      </c>
      <c r="E113" s="86" t="s">
        <v>136</v>
      </c>
      <c r="F113" s="27"/>
      <c r="G113" s="27"/>
      <c r="H113" s="28"/>
      <c r="I113" s="22">
        <f>950000*0.1</f>
        <v>95000</v>
      </c>
      <c r="J113" s="20"/>
      <c r="K113" s="22">
        <f>950000*0.1</f>
        <v>95000</v>
      </c>
      <c r="L113" s="67"/>
      <c r="M113" s="22">
        <f>950000*0.1</f>
        <v>95000</v>
      </c>
      <c r="N113" s="67"/>
      <c r="O113" s="22"/>
      <c r="P113" s="67"/>
      <c r="Q113" s="59">
        <f t="shared" si="4"/>
        <v>285000</v>
      </c>
      <c r="R113" s="60">
        <f t="shared" si="5"/>
        <v>0</v>
      </c>
      <c r="S113" s="301">
        <f t="shared" si="6"/>
        <v>285000</v>
      </c>
    </row>
    <row r="114" spans="1:19" s="15" customFormat="1" x14ac:dyDescent="0.25">
      <c r="A114" s="254"/>
      <c r="B114" s="244" t="s">
        <v>323</v>
      </c>
      <c r="C114" s="18" t="s">
        <v>9</v>
      </c>
      <c r="D114" s="103" t="s">
        <v>136</v>
      </c>
      <c r="E114" s="86" t="s">
        <v>136</v>
      </c>
      <c r="F114" s="27"/>
      <c r="G114" s="27"/>
      <c r="H114" s="28"/>
      <c r="I114" s="22">
        <f>950000*0.4</f>
        <v>380000</v>
      </c>
      <c r="J114" s="20"/>
      <c r="K114" s="22">
        <f>950000*0.4</f>
        <v>380000</v>
      </c>
      <c r="L114" s="67"/>
      <c r="M114" s="22">
        <f>950000*0.4</f>
        <v>380000</v>
      </c>
      <c r="N114" s="67"/>
      <c r="O114" s="22"/>
      <c r="P114" s="67"/>
      <c r="Q114" s="59">
        <f t="shared" si="4"/>
        <v>1140000</v>
      </c>
      <c r="R114" s="60">
        <f t="shared" si="5"/>
        <v>0</v>
      </c>
      <c r="S114" s="301">
        <f t="shared" si="6"/>
        <v>1140000</v>
      </c>
    </row>
    <row r="115" spans="1:19" x14ac:dyDescent="0.25">
      <c r="A115" s="251">
        <v>2</v>
      </c>
      <c r="B115" s="242" t="s">
        <v>516</v>
      </c>
      <c r="C115" s="211"/>
      <c r="D115" s="212"/>
      <c r="E115" s="212"/>
      <c r="F115" s="212"/>
      <c r="G115" s="212"/>
      <c r="H115" s="212"/>
      <c r="I115" s="213"/>
      <c r="J115" s="214"/>
      <c r="K115" s="213"/>
      <c r="L115" s="214"/>
      <c r="M115" s="213"/>
      <c r="N115" s="214"/>
      <c r="O115" s="213"/>
      <c r="P115" s="214"/>
      <c r="Q115" s="213">
        <f t="shared" si="4"/>
        <v>0</v>
      </c>
      <c r="R115" s="214">
        <f t="shared" si="5"/>
        <v>0</v>
      </c>
      <c r="S115" s="296"/>
    </row>
    <row r="116" spans="1:19" x14ac:dyDescent="0.25">
      <c r="A116" s="252" t="s">
        <v>426</v>
      </c>
      <c r="B116" s="243" t="s">
        <v>517</v>
      </c>
      <c r="C116" s="216"/>
      <c r="D116" s="217"/>
      <c r="E116" s="217"/>
      <c r="F116" s="217"/>
      <c r="G116" s="217"/>
      <c r="H116" s="217"/>
      <c r="I116" s="218"/>
      <c r="J116" s="219"/>
      <c r="K116" s="218"/>
      <c r="L116" s="219"/>
      <c r="M116" s="218"/>
      <c r="N116" s="219"/>
      <c r="O116" s="218"/>
      <c r="P116" s="219"/>
      <c r="Q116" s="218">
        <f t="shared" si="4"/>
        <v>0</v>
      </c>
      <c r="R116" s="219">
        <f t="shared" si="5"/>
        <v>0</v>
      </c>
      <c r="S116" s="297"/>
    </row>
    <row r="117" spans="1:19" x14ac:dyDescent="0.25">
      <c r="A117" s="253" t="s">
        <v>427</v>
      </c>
      <c r="B117" s="224" t="s">
        <v>131</v>
      </c>
      <c r="C117" s="221" t="s">
        <v>467</v>
      </c>
      <c r="D117" s="222"/>
      <c r="E117" s="223"/>
      <c r="F117" s="204"/>
      <c r="G117" s="204"/>
      <c r="H117" s="224"/>
      <c r="I117" s="225"/>
      <c r="J117" s="224"/>
      <c r="K117" s="225"/>
      <c r="L117" s="224"/>
      <c r="M117" s="225"/>
      <c r="N117" s="224"/>
      <c r="O117" s="225"/>
      <c r="P117" s="224"/>
      <c r="Q117" s="298">
        <f t="shared" si="4"/>
        <v>0</v>
      </c>
      <c r="R117" s="299">
        <f t="shared" si="5"/>
        <v>0</v>
      </c>
      <c r="S117" s="300"/>
    </row>
    <row r="118" spans="1:19" x14ac:dyDescent="0.25">
      <c r="A118" s="255" t="s">
        <v>468</v>
      </c>
      <c r="B118" s="231" t="s">
        <v>131</v>
      </c>
      <c r="C118" s="227" t="s">
        <v>1</v>
      </c>
      <c r="D118" s="228"/>
      <c r="E118" s="229"/>
      <c r="F118" s="230"/>
      <c r="G118" s="230"/>
      <c r="H118" s="231"/>
      <c r="I118" s="232"/>
      <c r="J118" s="231"/>
      <c r="K118" s="232"/>
      <c r="L118" s="231"/>
      <c r="M118" s="232"/>
      <c r="N118" s="231"/>
      <c r="O118" s="232"/>
      <c r="P118" s="231"/>
      <c r="Q118" s="303">
        <f t="shared" si="4"/>
        <v>0</v>
      </c>
      <c r="R118" s="304">
        <f t="shared" si="5"/>
        <v>0</v>
      </c>
      <c r="S118" s="305"/>
    </row>
    <row r="119" spans="1:19" x14ac:dyDescent="0.25">
      <c r="A119" s="256"/>
      <c r="B119" s="245" t="s">
        <v>131</v>
      </c>
      <c r="C119" s="234" t="s">
        <v>16</v>
      </c>
      <c r="D119" s="234" t="s">
        <v>157</v>
      </c>
      <c r="E119" s="234" t="s">
        <v>132</v>
      </c>
      <c r="F119" s="235">
        <v>14</v>
      </c>
      <c r="G119" s="235"/>
      <c r="H119" s="236"/>
      <c r="I119" s="237"/>
      <c r="J119" s="238">
        <v>148410.08000000002</v>
      </c>
      <c r="K119" s="237"/>
      <c r="L119" s="238">
        <v>185512.60000000003</v>
      </c>
      <c r="M119" s="237"/>
      <c r="N119" s="238">
        <v>231890.75000000006</v>
      </c>
      <c r="O119" s="237"/>
      <c r="P119" s="238"/>
      <c r="Q119" s="240">
        <f t="shared" si="4"/>
        <v>0</v>
      </c>
      <c r="R119" s="241">
        <f t="shared" si="5"/>
        <v>565813.43000000017</v>
      </c>
      <c r="S119" s="306">
        <f t="shared" si="6"/>
        <v>565813.43000000017</v>
      </c>
    </row>
    <row r="120" spans="1:19" x14ac:dyDescent="0.25">
      <c r="A120" s="256"/>
      <c r="B120" s="246" t="s">
        <v>131</v>
      </c>
      <c r="C120" s="56" t="s">
        <v>16</v>
      </c>
      <c r="D120" s="56" t="s">
        <v>158</v>
      </c>
      <c r="E120" s="56" t="s">
        <v>132</v>
      </c>
      <c r="F120" s="63">
        <v>1</v>
      </c>
      <c r="G120" s="63"/>
      <c r="H120" s="64"/>
      <c r="I120" s="69"/>
      <c r="J120" s="70">
        <v>11582.480000000001</v>
      </c>
      <c r="K120" s="69"/>
      <c r="L120" s="70">
        <v>14478.100000000002</v>
      </c>
      <c r="M120" s="69"/>
      <c r="N120" s="70">
        <v>18097.625000000004</v>
      </c>
      <c r="O120" s="69"/>
      <c r="P120" s="70"/>
      <c r="Q120" s="59">
        <f t="shared" si="4"/>
        <v>0</v>
      </c>
      <c r="R120" s="60">
        <f t="shared" si="5"/>
        <v>44158.205000000009</v>
      </c>
      <c r="S120" s="301">
        <f t="shared" si="6"/>
        <v>44158.205000000009</v>
      </c>
    </row>
    <row r="121" spans="1:19" ht="30" x14ac:dyDescent="0.25">
      <c r="A121" s="256"/>
      <c r="B121" s="246" t="s">
        <v>131</v>
      </c>
      <c r="C121" s="56" t="s">
        <v>16</v>
      </c>
      <c r="D121" s="56" t="s">
        <v>159</v>
      </c>
      <c r="E121" s="56" t="s">
        <v>132</v>
      </c>
      <c r="F121" s="63">
        <v>1</v>
      </c>
      <c r="G121" s="63"/>
      <c r="H121" s="64"/>
      <c r="I121" s="72"/>
      <c r="J121" s="73">
        <v>7852</v>
      </c>
      <c r="K121" s="72"/>
      <c r="L121" s="73">
        <v>9815</v>
      </c>
      <c r="M121" s="72"/>
      <c r="N121" s="73">
        <v>12268.75</v>
      </c>
      <c r="O121" s="72"/>
      <c r="P121" s="73"/>
      <c r="Q121" s="59">
        <f t="shared" si="4"/>
        <v>0</v>
      </c>
      <c r="R121" s="60">
        <f t="shared" si="5"/>
        <v>29935.75</v>
      </c>
      <c r="S121" s="301">
        <f t="shared" si="6"/>
        <v>29935.75</v>
      </c>
    </row>
    <row r="122" spans="1:19" x14ac:dyDescent="0.25">
      <c r="A122" s="256"/>
      <c r="B122" s="246" t="s">
        <v>131</v>
      </c>
      <c r="C122" s="56" t="s">
        <v>160</v>
      </c>
      <c r="D122" s="56" t="s">
        <v>161</v>
      </c>
      <c r="E122" s="56" t="s">
        <v>132</v>
      </c>
      <c r="F122" s="63">
        <v>50</v>
      </c>
      <c r="G122" s="63"/>
      <c r="H122" s="64"/>
      <c r="I122" s="66"/>
      <c r="J122" s="67">
        <v>162552</v>
      </c>
      <c r="K122" s="66"/>
      <c r="L122" s="67">
        <v>541840</v>
      </c>
      <c r="M122" s="66"/>
      <c r="N122" s="67">
        <v>1058281.25</v>
      </c>
      <c r="O122" s="66"/>
      <c r="P122" s="67"/>
      <c r="Q122" s="59">
        <f t="shared" si="4"/>
        <v>0</v>
      </c>
      <c r="R122" s="60">
        <f t="shared" si="5"/>
        <v>1762673.25</v>
      </c>
      <c r="S122" s="301">
        <f t="shared" si="6"/>
        <v>1762673.25</v>
      </c>
    </row>
    <row r="123" spans="1:19" ht="30" x14ac:dyDescent="0.25">
      <c r="A123" s="256"/>
      <c r="B123" s="246" t="s">
        <v>131</v>
      </c>
      <c r="C123" s="56" t="s">
        <v>162</v>
      </c>
      <c r="D123" s="56" t="s">
        <v>163</v>
      </c>
      <c r="E123" s="56" t="s">
        <v>132</v>
      </c>
      <c r="F123" s="63">
        <v>1</v>
      </c>
      <c r="G123" s="63"/>
      <c r="H123" s="64"/>
      <c r="I123" s="69"/>
      <c r="J123" s="70">
        <v>16883.36</v>
      </c>
      <c r="K123" s="69"/>
      <c r="L123" s="70">
        <v>21104.2</v>
      </c>
      <c r="M123" s="69"/>
      <c r="N123" s="70">
        <v>26380.25</v>
      </c>
      <c r="O123" s="69"/>
      <c r="P123" s="70"/>
      <c r="Q123" s="59">
        <f t="shared" si="4"/>
        <v>0</v>
      </c>
      <c r="R123" s="60">
        <f t="shared" si="5"/>
        <v>64367.81</v>
      </c>
      <c r="S123" s="301">
        <f t="shared" si="6"/>
        <v>64367.81</v>
      </c>
    </row>
    <row r="124" spans="1:19" ht="30" x14ac:dyDescent="0.25">
      <c r="A124" s="256"/>
      <c r="B124" s="246" t="s">
        <v>131</v>
      </c>
      <c r="C124" s="56" t="s">
        <v>164</v>
      </c>
      <c r="D124" s="56" t="s">
        <v>163</v>
      </c>
      <c r="E124" s="56" t="s">
        <v>132</v>
      </c>
      <c r="F124" s="63">
        <v>1</v>
      </c>
      <c r="G124" s="63"/>
      <c r="H124" s="64"/>
      <c r="I124" s="72"/>
      <c r="J124" s="73">
        <v>16883.36</v>
      </c>
      <c r="K124" s="72"/>
      <c r="L124" s="73">
        <v>21104.2</v>
      </c>
      <c r="M124" s="72"/>
      <c r="N124" s="73">
        <v>26380.25</v>
      </c>
      <c r="O124" s="72"/>
      <c r="P124" s="73"/>
      <c r="Q124" s="59">
        <f t="shared" si="4"/>
        <v>0</v>
      </c>
      <c r="R124" s="60">
        <f t="shared" si="5"/>
        <v>64367.81</v>
      </c>
      <c r="S124" s="301">
        <f t="shared" si="6"/>
        <v>64367.81</v>
      </c>
    </row>
    <row r="125" spans="1:19" ht="30" x14ac:dyDescent="0.25">
      <c r="A125" s="256"/>
      <c r="B125" s="246" t="s">
        <v>131</v>
      </c>
      <c r="C125" s="56" t="s">
        <v>165</v>
      </c>
      <c r="D125" s="56" t="s">
        <v>163</v>
      </c>
      <c r="E125" s="56" t="s">
        <v>132</v>
      </c>
      <c r="F125" s="63">
        <v>1</v>
      </c>
      <c r="G125" s="63"/>
      <c r="H125" s="64"/>
      <c r="I125" s="66"/>
      <c r="J125" s="67">
        <v>16883.36</v>
      </c>
      <c r="K125" s="66"/>
      <c r="L125" s="67">
        <v>21104.2</v>
      </c>
      <c r="M125" s="66"/>
      <c r="N125" s="67">
        <v>26380.25</v>
      </c>
      <c r="O125" s="66"/>
      <c r="P125" s="67"/>
      <c r="Q125" s="59">
        <f t="shared" si="4"/>
        <v>0</v>
      </c>
      <c r="R125" s="60">
        <f t="shared" si="5"/>
        <v>64367.81</v>
      </c>
      <c r="S125" s="301">
        <f t="shared" si="6"/>
        <v>64367.81</v>
      </c>
    </row>
    <row r="126" spans="1:19" x14ac:dyDescent="0.25">
      <c r="A126" s="256"/>
      <c r="B126" s="246" t="s">
        <v>131</v>
      </c>
      <c r="C126" s="56" t="s">
        <v>55</v>
      </c>
      <c r="D126" s="56" t="s">
        <v>166</v>
      </c>
      <c r="E126" s="56" t="s">
        <v>132</v>
      </c>
      <c r="F126" s="63">
        <v>1</v>
      </c>
      <c r="G126" s="63"/>
      <c r="H126" s="64"/>
      <c r="I126" s="69"/>
      <c r="J126" s="70">
        <v>12563.2</v>
      </c>
      <c r="K126" s="69"/>
      <c r="L126" s="70">
        <v>15704</v>
      </c>
      <c r="M126" s="69"/>
      <c r="N126" s="70">
        <v>19630</v>
      </c>
      <c r="O126" s="69"/>
      <c r="P126" s="70"/>
      <c r="Q126" s="59">
        <f t="shared" si="4"/>
        <v>0</v>
      </c>
      <c r="R126" s="60">
        <f t="shared" si="5"/>
        <v>47897.2</v>
      </c>
      <c r="S126" s="301">
        <f t="shared" si="6"/>
        <v>47897.2</v>
      </c>
    </row>
    <row r="127" spans="1:19" x14ac:dyDescent="0.25">
      <c r="A127" s="256"/>
      <c r="B127" s="246" t="s">
        <v>131</v>
      </c>
      <c r="C127" s="56" t="s">
        <v>56</v>
      </c>
      <c r="D127" s="56" t="s">
        <v>167</v>
      </c>
      <c r="E127" s="56" t="s">
        <v>132</v>
      </c>
      <c r="F127" s="63">
        <v>3</v>
      </c>
      <c r="G127" s="63"/>
      <c r="H127" s="64"/>
      <c r="I127" s="72"/>
      <c r="J127" s="73">
        <v>43580.160000000003</v>
      </c>
      <c r="K127" s="72"/>
      <c r="L127" s="73">
        <v>54475.200000000004</v>
      </c>
      <c r="M127" s="72"/>
      <c r="N127" s="73">
        <v>68094</v>
      </c>
      <c r="O127" s="72"/>
      <c r="P127" s="73"/>
      <c r="Q127" s="59">
        <f t="shared" si="4"/>
        <v>0</v>
      </c>
      <c r="R127" s="60">
        <f t="shared" si="5"/>
        <v>166149.36000000002</v>
      </c>
      <c r="S127" s="301">
        <f t="shared" si="6"/>
        <v>166149.36000000002</v>
      </c>
    </row>
    <row r="128" spans="1:19" x14ac:dyDescent="0.25">
      <c r="A128" s="256"/>
      <c r="B128" s="246" t="s">
        <v>131</v>
      </c>
      <c r="C128" s="56" t="s">
        <v>168</v>
      </c>
      <c r="D128" s="56" t="s">
        <v>166</v>
      </c>
      <c r="E128" s="56" t="s">
        <v>132</v>
      </c>
      <c r="F128" s="63">
        <v>1</v>
      </c>
      <c r="G128" s="63"/>
      <c r="H128" s="64"/>
      <c r="I128" s="66"/>
      <c r="J128" s="67">
        <v>12563.2</v>
      </c>
      <c r="K128" s="66"/>
      <c r="L128" s="67">
        <v>15704</v>
      </c>
      <c r="M128" s="66"/>
      <c r="N128" s="67">
        <v>19630</v>
      </c>
      <c r="O128" s="66"/>
      <c r="P128" s="67"/>
      <c r="Q128" s="59">
        <f t="shared" si="4"/>
        <v>0</v>
      </c>
      <c r="R128" s="60">
        <f t="shared" si="5"/>
        <v>47897.2</v>
      </c>
      <c r="S128" s="301">
        <f t="shared" si="6"/>
        <v>47897.2</v>
      </c>
    </row>
    <row r="129" spans="1:19" ht="30" x14ac:dyDescent="0.25">
      <c r="A129" s="256"/>
      <c r="B129" s="246" t="s">
        <v>131</v>
      </c>
      <c r="C129" s="56" t="s">
        <v>169</v>
      </c>
      <c r="D129" s="56" t="s">
        <v>170</v>
      </c>
      <c r="E129" s="56" t="s">
        <v>132</v>
      </c>
      <c r="F129" s="63">
        <v>1</v>
      </c>
      <c r="G129" s="63"/>
      <c r="H129" s="64"/>
      <c r="I129" s="69"/>
      <c r="J129" s="70">
        <v>16883.36</v>
      </c>
      <c r="K129" s="69"/>
      <c r="L129" s="70">
        <v>21104.2</v>
      </c>
      <c r="M129" s="69"/>
      <c r="N129" s="70">
        <v>26380.25</v>
      </c>
      <c r="O129" s="69"/>
      <c r="P129" s="70"/>
      <c r="Q129" s="59">
        <f t="shared" si="4"/>
        <v>0</v>
      </c>
      <c r="R129" s="60">
        <f t="shared" si="5"/>
        <v>64367.81</v>
      </c>
      <c r="S129" s="301">
        <f t="shared" si="6"/>
        <v>64367.81</v>
      </c>
    </row>
    <row r="130" spans="1:19" ht="30" x14ac:dyDescent="0.25">
      <c r="A130" s="256"/>
      <c r="B130" s="246" t="s">
        <v>131</v>
      </c>
      <c r="C130" s="56" t="s">
        <v>57</v>
      </c>
      <c r="D130" s="56" t="s">
        <v>171</v>
      </c>
      <c r="E130" s="56" t="s">
        <v>132</v>
      </c>
      <c r="F130" s="63">
        <v>3</v>
      </c>
      <c r="G130" s="63"/>
      <c r="H130" s="64"/>
      <c r="I130" s="72"/>
      <c r="J130" s="73">
        <v>47115.12</v>
      </c>
      <c r="K130" s="72"/>
      <c r="L130" s="73">
        <v>58893.9</v>
      </c>
      <c r="M130" s="72"/>
      <c r="N130" s="73">
        <v>73617.375</v>
      </c>
      <c r="O130" s="72"/>
      <c r="P130" s="73"/>
      <c r="Q130" s="59">
        <f t="shared" si="4"/>
        <v>0</v>
      </c>
      <c r="R130" s="60">
        <f t="shared" si="5"/>
        <v>179626.39499999999</v>
      </c>
      <c r="S130" s="301">
        <f t="shared" si="6"/>
        <v>179626.39499999999</v>
      </c>
    </row>
    <row r="131" spans="1:19" ht="30" x14ac:dyDescent="0.25">
      <c r="A131" s="256"/>
      <c r="B131" s="246" t="s">
        <v>131</v>
      </c>
      <c r="C131" s="56" t="s">
        <v>172</v>
      </c>
      <c r="D131" s="56" t="s">
        <v>173</v>
      </c>
      <c r="E131" s="56" t="s">
        <v>132</v>
      </c>
      <c r="F131" s="63">
        <v>1</v>
      </c>
      <c r="G131" s="63"/>
      <c r="H131" s="64"/>
      <c r="I131" s="66"/>
      <c r="J131" s="67">
        <v>15705.04</v>
      </c>
      <c r="K131" s="66"/>
      <c r="L131" s="67">
        <v>19631.300000000003</v>
      </c>
      <c r="M131" s="66"/>
      <c r="N131" s="67">
        <v>24539.125000000004</v>
      </c>
      <c r="O131" s="66"/>
      <c r="P131" s="67"/>
      <c r="Q131" s="59">
        <f t="shared" si="4"/>
        <v>0</v>
      </c>
      <c r="R131" s="60">
        <f t="shared" si="5"/>
        <v>59875.465000000004</v>
      </c>
      <c r="S131" s="301">
        <f t="shared" si="6"/>
        <v>59875.465000000004</v>
      </c>
    </row>
    <row r="132" spans="1:19" x14ac:dyDescent="0.25">
      <c r="A132" s="256"/>
      <c r="B132" s="246" t="s">
        <v>131</v>
      </c>
      <c r="C132" s="56" t="s">
        <v>59</v>
      </c>
      <c r="D132" s="56" t="s">
        <v>174</v>
      </c>
      <c r="E132" s="56" t="s">
        <v>132</v>
      </c>
      <c r="F132" s="63">
        <v>1</v>
      </c>
      <c r="G132" s="63"/>
      <c r="H132" s="64"/>
      <c r="I132" s="69"/>
      <c r="J132" s="70">
        <v>19631.04</v>
      </c>
      <c r="K132" s="69"/>
      <c r="L132" s="70">
        <v>24538.800000000003</v>
      </c>
      <c r="M132" s="69"/>
      <c r="N132" s="70">
        <v>30673.500000000004</v>
      </c>
      <c r="O132" s="69"/>
      <c r="P132" s="70"/>
      <c r="Q132" s="59">
        <f t="shared" si="4"/>
        <v>0</v>
      </c>
      <c r="R132" s="60">
        <f t="shared" si="5"/>
        <v>74843.34</v>
      </c>
      <c r="S132" s="301">
        <f t="shared" si="6"/>
        <v>74843.34</v>
      </c>
    </row>
    <row r="133" spans="1:19" ht="30" x14ac:dyDescent="0.25">
      <c r="A133" s="256"/>
      <c r="B133" s="246" t="s">
        <v>131</v>
      </c>
      <c r="C133" s="56" t="s">
        <v>36</v>
      </c>
      <c r="D133" s="56" t="s">
        <v>92</v>
      </c>
      <c r="E133" s="56" t="s">
        <v>215</v>
      </c>
      <c r="F133" s="63">
        <v>30</v>
      </c>
      <c r="G133" s="63"/>
      <c r="H133" s="64"/>
      <c r="I133" s="72"/>
      <c r="J133" s="73">
        <v>67200</v>
      </c>
      <c r="K133" s="72"/>
      <c r="L133" s="73">
        <v>74400</v>
      </c>
      <c r="M133" s="72"/>
      <c r="N133" s="73">
        <v>78240</v>
      </c>
      <c r="O133" s="72"/>
      <c r="P133" s="73"/>
      <c r="Q133" s="59">
        <f t="shared" si="4"/>
        <v>0</v>
      </c>
      <c r="R133" s="60">
        <f t="shared" si="5"/>
        <v>219840</v>
      </c>
      <c r="S133" s="301">
        <f t="shared" si="6"/>
        <v>219840</v>
      </c>
    </row>
    <row r="134" spans="1:19" x14ac:dyDescent="0.25">
      <c r="A134" s="255" t="s">
        <v>469</v>
      </c>
      <c r="B134" s="231" t="s">
        <v>131</v>
      </c>
      <c r="C134" s="227" t="s">
        <v>5</v>
      </c>
      <c r="D134" s="228"/>
      <c r="E134" s="229"/>
      <c r="F134" s="230"/>
      <c r="G134" s="230"/>
      <c r="H134" s="231"/>
      <c r="I134" s="232"/>
      <c r="J134" s="231"/>
      <c r="K134" s="232"/>
      <c r="L134" s="231"/>
      <c r="M134" s="232"/>
      <c r="N134" s="231"/>
      <c r="O134" s="232"/>
      <c r="P134" s="231"/>
      <c r="Q134" s="303">
        <f t="shared" si="4"/>
        <v>0</v>
      </c>
      <c r="R134" s="304">
        <f t="shared" si="5"/>
        <v>0</v>
      </c>
      <c r="S134" s="305"/>
    </row>
    <row r="135" spans="1:19" x14ac:dyDescent="0.25">
      <c r="A135" s="256"/>
      <c r="B135" s="246" t="s">
        <v>131</v>
      </c>
      <c r="C135" s="56" t="s">
        <v>17</v>
      </c>
      <c r="D135" s="56" t="s">
        <v>51</v>
      </c>
      <c r="E135" s="86" t="s">
        <v>133</v>
      </c>
      <c r="F135" s="63"/>
      <c r="G135" s="63"/>
      <c r="H135" s="64"/>
      <c r="I135" s="66">
        <v>95880</v>
      </c>
      <c r="J135" s="67"/>
      <c r="K135" s="66">
        <v>0</v>
      </c>
      <c r="L135" s="67"/>
      <c r="M135" s="66">
        <v>0</v>
      </c>
      <c r="N135" s="67"/>
      <c r="O135" s="66"/>
      <c r="P135" s="67"/>
      <c r="Q135" s="59">
        <f t="shared" si="4"/>
        <v>95880</v>
      </c>
      <c r="R135" s="60">
        <f t="shared" si="5"/>
        <v>0</v>
      </c>
      <c r="S135" s="301">
        <f t="shared" si="6"/>
        <v>95880</v>
      </c>
    </row>
    <row r="136" spans="1:19" x14ac:dyDescent="0.25">
      <c r="A136" s="256"/>
      <c r="B136" s="246" t="s">
        <v>131</v>
      </c>
      <c r="C136" s="56" t="s">
        <v>18</v>
      </c>
      <c r="D136" s="56" t="s">
        <v>52</v>
      </c>
      <c r="E136" s="18" t="s">
        <v>540</v>
      </c>
      <c r="F136" s="63"/>
      <c r="G136" s="63"/>
      <c r="H136" s="64"/>
      <c r="I136" s="69">
        <v>35000</v>
      </c>
      <c r="J136" s="70"/>
      <c r="K136" s="69">
        <v>0</v>
      </c>
      <c r="L136" s="70"/>
      <c r="M136" s="69">
        <v>0</v>
      </c>
      <c r="N136" s="70"/>
      <c r="O136" s="69"/>
      <c r="P136" s="70"/>
      <c r="Q136" s="59">
        <f t="shared" si="4"/>
        <v>35000</v>
      </c>
      <c r="R136" s="60">
        <f t="shared" si="5"/>
        <v>0</v>
      </c>
      <c r="S136" s="301">
        <f t="shared" si="6"/>
        <v>35000</v>
      </c>
    </row>
    <row r="137" spans="1:19" ht="30" x14ac:dyDescent="0.25">
      <c r="A137" s="256"/>
      <c r="B137" s="246" t="s">
        <v>131</v>
      </c>
      <c r="C137" s="56" t="s">
        <v>19</v>
      </c>
      <c r="D137" s="56" t="s">
        <v>38</v>
      </c>
      <c r="E137" s="56" t="s">
        <v>135</v>
      </c>
      <c r="F137" s="63"/>
      <c r="G137" s="63"/>
      <c r="H137" s="64"/>
      <c r="I137" s="69">
        <v>20000</v>
      </c>
      <c r="J137" s="73"/>
      <c r="K137" s="72">
        <v>22000</v>
      </c>
      <c r="L137" s="73"/>
      <c r="M137" s="72">
        <v>25000</v>
      </c>
      <c r="N137" s="73"/>
      <c r="O137" s="72"/>
      <c r="P137" s="73"/>
      <c r="Q137" s="59">
        <f t="shared" ref="Q137:Q200" si="8">+M137+K137+I137+O137</f>
        <v>67000</v>
      </c>
      <c r="R137" s="60">
        <f t="shared" ref="R137:R200" si="9">+N137+L137+J137+P137</f>
        <v>0</v>
      </c>
      <c r="S137" s="301">
        <f t="shared" si="6"/>
        <v>67000</v>
      </c>
    </row>
    <row r="138" spans="1:19" x14ac:dyDescent="0.25">
      <c r="A138" s="255" t="s">
        <v>470</v>
      </c>
      <c r="B138" s="231" t="s">
        <v>131</v>
      </c>
      <c r="C138" s="227" t="s">
        <v>7</v>
      </c>
      <c r="D138" s="228"/>
      <c r="E138" s="229"/>
      <c r="F138" s="230"/>
      <c r="G138" s="230"/>
      <c r="H138" s="231"/>
      <c r="I138" s="232"/>
      <c r="J138" s="231"/>
      <c r="K138" s="232"/>
      <c r="L138" s="231"/>
      <c r="M138" s="232"/>
      <c r="N138" s="231"/>
      <c r="O138" s="232"/>
      <c r="P138" s="231"/>
      <c r="Q138" s="303">
        <f t="shared" si="8"/>
        <v>0</v>
      </c>
      <c r="R138" s="304">
        <f t="shared" si="9"/>
        <v>0</v>
      </c>
      <c r="S138" s="305"/>
    </row>
    <row r="139" spans="1:19" ht="30" x14ac:dyDescent="0.25">
      <c r="A139" s="256"/>
      <c r="B139" s="247" t="s">
        <v>131</v>
      </c>
      <c r="C139" s="75" t="s">
        <v>34</v>
      </c>
      <c r="D139" s="75" t="s">
        <v>41</v>
      </c>
      <c r="E139" s="56" t="s">
        <v>136</v>
      </c>
      <c r="F139" s="57"/>
      <c r="G139" s="57"/>
      <c r="H139" s="58"/>
      <c r="I139" s="69">
        <v>34300</v>
      </c>
      <c r="J139" s="73"/>
      <c r="K139" s="72">
        <v>46305</v>
      </c>
      <c r="L139" s="73"/>
      <c r="M139" s="72">
        <v>64826.999999999993</v>
      </c>
      <c r="N139" s="73"/>
      <c r="O139" s="72"/>
      <c r="P139" s="73"/>
      <c r="Q139" s="59">
        <f t="shared" si="8"/>
        <v>145432</v>
      </c>
      <c r="R139" s="60">
        <f t="shared" si="9"/>
        <v>0</v>
      </c>
      <c r="S139" s="301">
        <f t="shared" si="6"/>
        <v>145432</v>
      </c>
    </row>
    <row r="140" spans="1:19" ht="30" x14ac:dyDescent="0.25">
      <c r="A140" s="256"/>
      <c r="B140" s="247" t="s">
        <v>131</v>
      </c>
      <c r="C140" s="75" t="s">
        <v>8</v>
      </c>
      <c r="D140" s="75" t="s">
        <v>41</v>
      </c>
      <c r="E140" s="56" t="s">
        <v>136</v>
      </c>
      <c r="F140" s="57"/>
      <c r="G140" s="57"/>
      <c r="H140" s="58"/>
      <c r="I140" s="69">
        <v>16000</v>
      </c>
      <c r="J140" s="73"/>
      <c r="K140" s="72">
        <v>16000</v>
      </c>
      <c r="L140" s="73"/>
      <c r="M140" s="72">
        <v>16000</v>
      </c>
      <c r="N140" s="73"/>
      <c r="O140" s="72"/>
      <c r="P140" s="73"/>
      <c r="Q140" s="59">
        <f t="shared" si="8"/>
        <v>48000</v>
      </c>
      <c r="R140" s="60">
        <f t="shared" si="9"/>
        <v>0</v>
      </c>
      <c r="S140" s="301">
        <f t="shared" ref="S140:S221" si="10">+Q140+R140</f>
        <v>48000</v>
      </c>
    </row>
    <row r="141" spans="1:19" ht="45" x14ac:dyDescent="0.25">
      <c r="A141" s="256"/>
      <c r="B141" s="247" t="s">
        <v>131</v>
      </c>
      <c r="C141" s="75" t="s">
        <v>9</v>
      </c>
      <c r="D141" s="75" t="s">
        <v>110</v>
      </c>
      <c r="E141" s="56" t="s">
        <v>136</v>
      </c>
      <c r="F141" s="76"/>
      <c r="G141" s="76"/>
      <c r="H141" s="77"/>
      <c r="I141" s="69">
        <v>2600</v>
      </c>
      <c r="J141" s="73"/>
      <c r="K141" s="72">
        <v>4550</v>
      </c>
      <c r="L141" s="73"/>
      <c r="M141" s="72">
        <v>4550</v>
      </c>
      <c r="N141" s="73"/>
      <c r="O141" s="72"/>
      <c r="P141" s="73"/>
      <c r="Q141" s="59">
        <f t="shared" si="8"/>
        <v>11700</v>
      </c>
      <c r="R141" s="60">
        <f t="shared" si="9"/>
        <v>0</v>
      </c>
      <c r="S141" s="301">
        <f t="shared" si="10"/>
        <v>11700</v>
      </c>
    </row>
    <row r="142" spans="1:19" x14ac:dyDescent="0.25">
      <c r="A142" s="256"/>
      <c r="B142" s="246" t="s">
        <v>131</v>
      </c>
      <c r="C142" s="56" t="s">
        <v>20</v>
      </c>
      <c r="D142" s="56" t="s">
        <v>39</v>
      </c>
      <c r="E142" s="56" t="s">
        <v>135</v>
      </c>
      <c r="F142" s="63"/>
      <c r="G142" s="63"/>
      <c r="H142" s="64"/>
      <c r="I142" s="69">
        <v>40000</v>
      </c>
      <c r="J142" s="73"/>
      <c r="K142" s="72">
        <v>50000</v>
      </c>
      <c r="L142" s="73"/>
      <c r="M142" s="72">
        <v>50000</v>
      </c>
      <c r="N142" s="73"/>
      <c r="O142" s="72"/>
      <c r="P142" s="73"/>
      <c r="Q142" s="59">
        <f t="shared" si="8"/>
        <v>140000</v>
      </c>
      <c r="R142" s="60">
        <f t="shared" si="9"/>
        <v>0</v>
      </c>
      <c r="S142" s="301">
        <f t="shared" si="10"/>
        <v>140000</v>
      </c>
    </row>
    <row r="143" spans="1:19" ht="30" x14ac:dyDescent="0.25">
      <c r="A143" s="256"/>
      <c r="B143" s="246" t="s">
        <v>131</v>
      </c>
      <c r="C143" s="56" t="s">
        <v>175</v>
      </c>
      <c r="D143" s="75" t="s">
        <v>41</v>
      </c>
      <c r="E143" s="56" t="s">
        <v>136</v>
      </c>
      <c r="F143" s="57"/>
      <c r="G143" s="57"/>
      <c r="H143" s="58"/>
      <c r="I143" s="69">
        <v>3000</v>
      </c>
      <c r="J143" s="73"/>
      <c r="K143" s="72">
        <v>3900</v>
      </c>
      <c r="L143" s="73"/>
      <c r="M143" s="72">
        <v>5070</v>
      </c>
      <c r="N143" s="73"/>
      <c r="O143" s="72"/>
      <c r="P143" s="73"/>
      <c r="Q143" s="59">
        <f t="shared" si="8"/>
        <v>11970</v>
      </c>
      <c r="R143" s="60">
        <f t="shared" si="9"/>
        <v>0</v>
      </c>
      <c r="S143" s="301">
        <f t="shared" si="10"/>
        <v>11970</v>
      </c>
    </row>
    <row r="144" spans="1:19" x14ac:dyDescent="0.25">
      <c r="A144" s="253" t="s">
        <v>428</v>
      </c>
      <c r="B144" s="224" t="s">
        <v>131</v>
      </c>
      <c r="C144" s="221" t="s">
        <v>397</v>
      </c>
      <c r="D144" s="222"/>
      <c r="E144" s="223"/>
      <c r="F144" s="204"/>
      <c r="G144" s="204"/>
      <c r="H144" s="224"/>
      <c r="I144" s="225"/>
      <c r="J144" s="224"/>
      <c r="K144" s="225"/>
      <c r="L144" s="224"/>
      <c r="M144" s="225"/>
      <c r="N144" s="224"/>
      <c r="O144" s="225"/>
      <c r="P144" s="224"/>
      <c r="Q144" s="298">
        <f t="shared" si="8"/>
        <v>0</v>
      </c>
      <c r="R144" s="299">
        <f t="shared" si="9"/>
        <v>0</v>
      </c>
      <c r="S144" s="300"/>
    </row>
    <row r="145" spans="1:92" x14ac:dyDescent="0.25">
      <c r="A145" s="255" t="s">
        <v>471</v>
      </c>
      <c r="B145" s="231" t="s">
        <v>131</v>
      </c>
      <c r="C145" s="227" t="s">
        <v>1</v>
      </c>
      <c r="D145" s="228"/>
      <c r="E145" s="229"/>
      <c r="F145" s="230"/>
      <c r="G145" s="230"/>
      <c r="H145" s="231"/>
      <c r="I145" s="232"/>
      <c r="J145" s="231"/>
      <c r="K145" s="232"/>
      <c r="L145" s="231"/>
      <c r="M145" s="232"/>
      <c r="N145" s="231"/>
      <c r="O145" s="232"/>
      <c r="P145" s="231"/>
      <c r="Q145" s="303">
        <f t="shared" si="8"/>
        <v>0</v>
      </c>
      <c r="R145" s="304">
        <f t="shared" si="9"/>
        <v>0</v>
      </c>
      <c r="S145" s="305"/>
    </row>
    <row r="146" spans="1:92" x14ac:dyDescent="0.25">
      <c r="A146" s="256"/>
      <c r="B146" s="246" t="s">
        <v>131</v>
      </c>
      <c r="C146" s="56" t="s">
        <v>160</v>
      </c>
      <c r="D146" s="56" t="s">
        <v>176</v>
      </c>
      <c r="E146" s="56" t="s">
        <v>132</v>
      </c>
      <c r="F146" s="63">
        <v>5</v>
      </c>
      <c r="G146" s="63"/>
      <c r="H146" s="64"/>
      <c r="I146" s="72"/>
      <c r="J146" s="73">
        <v>53003.6</v>
      </c>
      <c r="K146" s="72"/>
      <c r="L146" s="73">
        <v>66254.5</v>
      </c>
      <c r="M146" s="72"/>
      <c r="N146" s="73">
        <v>82818.125</v>
      </c>
      <c r="O146" s="72"/>
      <c r="P146" s="73"/>
      <c r="Q146" s="59">
        <f t="shared" si="8"/>
        <v>0</v>
      </c>
      <c r="R146" s="60">
        <f t="shared" si="9"/>
        <v>202076.22500000001</v>
      </c>
      <c r="S146" s="301">
        <f t="shared" si="10"/>
        <v>202076.22500000001</v>
      </c>
    </row>
    <row r="147" spans="1:92" ht="30" x14ac:dyDescent="0.25">
      <c r="A147" s="256"/>
      <c r="B147" s="246" t="s">
        <v>131</v>
      </c>
      <c r="C147" s="56" t="s">
        <v>36</v>
      </c>
      <c r="D147" s="75" t="s">
        <v>92</v>
      </c>
      <c r="E147" s="56" t="s">
        <v>6</v>
      </c>
      <c r="F147" s="57">
        <v>5</v>
      </c>
      <c r="G147" s="57"/>
      <c r="H147" s="58"/>
      <c r="I147" s="72"/>
      <c r="J147" s="73">
        <v>11200</v>
      </c>
      <c r="K147" s="72"/>
      <c r="L147" s="73">
        <v>12400</v>
      </c>
      <c r="M147" s="72"/>
      <c r="N147" s="73">
        <v>13040</v>
      </c>
      <c r="O147" s="72"/>
      <c r="P147" s="73"/>
      <c r="Q147" s="59">
        <f t="shared" si="8"/>
        <v>0</v>
      </c>
      <c r="R147" s="60">
        <f t="shared" si="9"/>
        <v>36640</v>
      </c>
      <c r="S147" s="301">
        <f t="shared" si="10"/>
        <v>36640</v>
      </c>
    </row>
    <row r="148" spans="1:92" x14ac:dyDescent="0.25">
      <c r="A148" s="255" t="s">
        <v>472</v>
      </c>
      <c r="B148" s="231" t="s">
        <v>131</v>
      </c>
      <c r="C148" s="227" t="s">
        <v>29</v>
      </c>
      <c r="D148" s="228"/>
      <c r="E148" s="229"/>
      <c r="F148" s="230"/>
      <c r="G148" s="230"/>
      <c r="H148" s="231"/>
      <c r="I148" s="232"/>
      <c r="J148" s="231"/>
      <c r="K148" s="232"/>
      <c r="L148" s="231"/>
      <c r="M148" s="232"/>
      <c r="N148" s="231"/>
      <c r="O148" s="232"/>
      <c r="P148" s="231"/>
      <c r="Q148" s="303">
        <f t="shared" si="8"/>
        <v>0</v>
      </c>
      <c r="R148" s="304">
        <f t="shared" si="9"/>
        <v>0</v>
      </c>
      <c r="S148" s="305"/>
    </row>
    <row r="149" spans="1:92" ht="30" x14ac:dyDescent="0.25">
      <c r="A149" s="256"/>
      <c r="B149" s="246" t="s">
        <v>131</v>
      </c>
      <c r="C149" s="56" t="s">
        <v>28</v>
      </c>
      <c r="D149" s="75" t="s">
        <v>119</v>
      </c>
      <c r="E149" s="56" t="s">
        <v>132</v>
      </c>
      <c r="F149" s="57">
        <v>1</v>
      </c>
      <c r="G149" s="57"/>
      <c r="H149" s="58"/>
      <c r="I149" s="72"/>
      <c r="J149" s="73">
        <v>19000</v>
      </c>
      <c r="K149" s="72"/>
      <c r="L149" s="73">
        <v>24700</v>
      </c>
      <c r="M149" s="72"/>
      <c r="N149" s="73">
        <v>0</v>
      </c>
      <c r="O149" s="72"/>
      <c r="P149" s="73"/>
      <c r="Q149" s="59">
        <f t="shared" si="8"/>
        <v>0</v>
      </c>
      <c r="R149" s="60">
        <f t="shared" si="9"/>
        <v>43700</v>
      </c>
      <c r="S149" s="301">
        <f t="shared" si="10"/>
        <v>43700</v>
      </c>
    </row>
    <row r="150" spans="1:92" x14ac:dyDescent="0.25">
      <c r="A150" s="255" t="s">
        <v>473</v>
      </c>
      <c r="B150" s="231" t="s">
        <v>131</v>
      </c>
      <c r="C150" s="227" t="s">
        <v>7</v>
      </c>
      <c r="D150" s="228"/>
      <c r="E150" s="229"/>
      <c r="F150" s="230"/>
      <c r="G150" s="230"/>
      <c r="H150" s="231"/>
      <c r="I150" s="232"/>
      <c r="J150" s="231"/>
      <c r="K150" s="232"/>
      <c r="L150" s="231"/>
      <c r="M150" s="232"/>
      <c r="N150" s="231"/>
      <c r="O150" s="232"/>
      <c r="P150" s="231"/>
      <c r="Q150" s="303">
        <f t="shared" si="8"/>
        <v>0</v>
      </c>
      <c r="R150" s="304">
        <f t="shared" si="9"/>
        <v>0</v>
      </c>
      <c r="S150" s="305"/>
    </row>
    <row r="151" spans="1:92" x14ac:dyDescent="0.25">
      <c r="A151" s="256"/>
      <c r="B151" s="247" t="s">
        <v>131</v>
      </c>
      <c r="C151" s="75" t="s">
        <v>11</v>
      </c>
      <c r="D151" s="75" t="s">
        <v>86</v>
      </c>
      <c r="E151" s="56" t="s">
        <v>136</v>
      </c>
      <c r="F151" s="57"/>
      <c r="G151" s="57"/>
      <c r="H151" s="58"/>
      <c r="I151" s="22">
        <v>14700</v>
      </c>
      <c r="J151" s="60"/>
      <c r="K151" s="59">
        <f>+I151*1.35</f>
        <v>19845</v>
      </c>
      <c r="L151" s="60"/>
      <c r="M151" s="59">
        <f>+K151*1.45</f>
        <v>28775.25</v>
      </c>
      <c r="N151" s="60"/>
      <c r="O151" s="59"/>
      <c r="P151" s="60"/>
      <c r="Q151" s="59">
        <f t="shared" si="8"/>
        <v>63320.25</v>
      </c>
      <c r="R151" s="60">
        <f t="shared" si="9"/>
        <v>0</v>
      </c>
      <c r="S151" s="301">
        <f t="shared" si="10"/>
        <v>63320.25</v>
      </c>
    </row>
    <row r="152" spans="1:92" ht="30" x14ac:dyDescent="0.25">
      <c r="A152" s="256"/>
      <c r="B152" s="248" t="s">
        <v>131</v>
      </c>
      <c r="C152" s="86" t="s">
        <v>9</v>
      </c>
      <c r="D152" s="75" t="s">
        <v>111</v>
      </c>
      <c r="E152" s="56" t="s">
        <v>136</v>
      </c>
      <c r="F152" s="76"/>
      <c r="G152" s="76"/>
      <c r="H152" s="77"/>
      <c r="I152" s="22">
        <v>3900</v>
      </c>
      <c r="J152" s="60"/>
      <c r="K152" s="59">
        <f>+I152*1.35</f>
        <v>5265</v>
      </c>
      <c r="L152" s="60"/>
      <c r="M152" s="59">
        <f>+K152*1.45</f>
        <v>7634.25</v>
      </c>
      <c r="N152" s="60"/>
      <c r="O152" s="59"/>
      <c r="P152" s="60"/>
      <c r="Q152" s="59">
        <f t="shared" si="8"/>
        <v>16799.25</v>
      </c>
      <c r="R152" s="60">
        <f t="shared" si="9"/>
        <v>0</v>
      </c>
      <c r="S152" s="301">
        <f t="shared" si="10"/>
        <v>16799.25</v>
      </c>
    </row>
    <row r="153" spans="1:92" x14ac:dyDescent="0.25">
      <c r="A153" s="253" t="s">
        <v>429</v>
      </c>
      <c r="B153" s="224" t="s">
        <v>131</v>
      </c>
      <c r="C153" s="221" t="s">
        <v>98</v>
      </c>
      <c r="D153" s="222"/>
      <c r="E153" s="223"/>
      <c r="F153" s="204"/>
      <c r="G153" s="204"/>
      <c r="H153" s="224"/>
      <c r="I153" s="225"/>
      <c r="J153" s="224"/>
      <c r="K153" s="225"/>
      <c r="L153" s="224"/>
      <c r="M153" s="225"/>
      <c r="N153" s="224"/>
      <c r="O153" s="225"/>
      <c r="P153" s="224"/>
      <c r="Q153" s="298">
        <f t="shared" si="8"/>
        <v>0</v>
      </c>
      <c r="R153" s="299">
        <f t="shared" si="9"/>
        <v>0</v>
      </c>
      <c r="S153" s="300"/>
    </row>
    <row r="154" spans="1:92" x14ac:dyDescent="0.25">
      <c r="A154" s="255" t="s">
        <v>474</v>
      </c>
      <c r="B154" s="231" t="s">
        <v>131</v>
      </c>
      <c r="C154" s="227" t="s">
        <v>475</v>
      </c>
      <c r="D154" s="228"/>
      <c r="E154" s="229"/>
      <c r="F154" s="230"/>
      <c r="G154" s="230"/>
      <c r="H154" s="231"/>
      <c r="I154" s="232"/>
      <c r="J154" s="231"/>
      <c r="K154" s="232"/>
      <c r="L154" s="231"/>
      <c r="M154" s="232"/>
      <c r="N154" s="231"/>
      <c r="O154" s="232"/>
      <c r="P154" s="231"/>
      <c r="Q154" s="303">
        <f t="shared" si="8"/>
        <v>0</v>
      </c>
      <c r="R154" s="304">
        <f t="shared" si="9"/>
        <v>0</v>
      </c>
      <c r="S154" s="305"/>
    </row>
    <row r="155" spans="1:92" x14ac:dyDescent="0.25">
      <c r="A155" s="255" t="s">
        <v>476</v>
      </c>
      <c r="B155" s="231" t="s">
        <v>131</v>
      </c>
      <c r="C155" s="227" t="s">
        <v>1</v>
      </c>
      <c r="D155" s="228"/>
      <c r="E155" s="229"/>
      <c r="F155" s="230"/>
      <c r="G155" s="230"/>
      <c r="H155" s="231"/>
      <c r="I155" s="232"/>
      <c r="J155" s="231"/>
      <c r="K155" s="232"/>
      <c r="L155" s="231"/>
      <c r="M155" s="232"/>
      <c r="N155" s="231"/>
      <c r="O155" s="232"/>
      <c r="P155" s="231"/>
      <c r="Q155" s="303">
        <f t="shared" si="8"/>
        <v>0</v>
      </c>
      <c r="R155" s="304">
        <f t="shared" si="9"/>
        <v>0</v>
      </c>
      <c r="S155" s="307"/>
      <c r="T155" s="15"/>
      <c r="U155" s="15"/>
      <c r="V155" s="15"/>
      <c r="W155" s="15"/>
      <c r="X155" s="15"/>
      <c r="Y155" s="15"/>
      <c r="Z155" s="15"/>
      <c r="AA155" s="15"/>
      <c r="AB155" s="15"/>
      <c r="AC155" s="15"/>
      <c r="AD155" s="15"/>
      <c r="AE155" s="15"/>
      <c r="AF155" s="15"/>
      <c r="AG155" s="15"/>
      <c r="AH155" s="15"/>
      <c r="AI155" s="15"/>
      <c r="AJ155" s="15"/>
      <c r="AK155" s="15"/>
      <c r="AL155" s="15"/>
      <c r="AM155" s="15"/>
      <c r="AN155" s="15"/>
      <c r="AO155" s="15"/>
      <c r="AP155" s="15"/>
      <c r="AQ155" s="15"/>
      <c r="AR155" s="15"/>
      <c r="AS155" s="15"/>
      <c r="AT155" s="15"/>
      <c r="AU155" s="15"/>
      <c r="AV155" s="15"/>
      <c r="AW155" s="15"/>
      <c r="AX155" s="15"/>
      <c r="AY155" s="15"/>
      <c r="AZ155" s="15"/>
      <c r="BA155" s="15"/>
      <c r="BB155" s="15"/>
      <c r="BC155" s="15"/>
      <c r="BD155" s="15"/>
      <c r="BE155" s="15"/>
      <c r="BF155" s="15"/>
      <c r="BG155" s="15"/>
      <c r="BH155" s="15"/>
      <c r="BI155" s="15"/>
      <c r="BJ155" s="15"/>
      <c r="BK155" s="15"/>
      <c r="BL155" s="15"/>
      <c r="BM155" s="15"/>
      <c r="BN155" s="15"/>
      <c r="BO155" s="15"/>
      <c r="BP155" s="15"/>
      <c r="BQ155" s="15"/>
      <c r="BR155" s="15"/>
      <c r="BS155" s="15"/>
      <c r="BT155" s="15"/>
      <c r="BU155" s="15"/>
      <c r="BV155" s="15"/>
      <c r="BW155" s="15"/>
      <c r="BX155" s="15"/>
      <c r="BY155" s="15"/>
      <c r="BZ155" s="15"/>
      <c r="CA155" s="15"/>
      <c r="CB155" s="15"/>
      <c r="CC155" s="15"/>
      <c r="CD155" s="15"/>
      <c r="CE155" s="15"/>
      <c r="CF155" s="15"/>
      <c r="CG155" s="15"/>
      <c r="CH155" s="15"/>
      <c r="CI155" s="15"/>
      <c r="CJ155" s="15"/>
      <c r="CK155" s="15"/>
      <c r="CL155" s="15"/>
      <c r="CM155" s="15"/>
      <c r="CN155" s="15"/>
    </row>
    <row r="156" spans="1:92" x14ac:dyDescent="0.25">
      <c r="A156" s="256"/>
      <c r="B156" s="247" t="s">
        <v>131</v>
      </c>
      <c r="C156" s="75" t="s">
        <v>84</v>
      </c>
      <c r="D156" s="75" t="s">
        <v>177</v>
      </c>
      <c r="E156" s="56" t="s">
        <v>132</v>
      </c>
      <c r="F156" s="57">
        <v>33</v>
      </c>
      <c r="G156" s="57"/>
      <c r="H156" s="58"/>
      <c r="I156" s="59"/>
      <c r="J156" s="60">
        <v>349823.76</v>
      </c>
      <c r="K156" s="59"/>
      <c r="L156" s="60">
        <v>437279.7</v>
      </c>
      <c r="M156" s="59"/>
      <c r="N156" s="60">
        <v>546599.625</v>
      </c>
      <c r="O156" s="59"/>
      <c r="P156" s="60"/>
      <c r="Q156" s="59">
        <f t="shared" si="8"/>
        <v>0</v>
      </c>
      <c r="R156" s="60">
        <f t="shared" si="9"/>
        <v>1333703.085</v>
      </c>
      <c r="S156" s="301">
        <f t="shared" si="10"/>
        <v>1333703.085</v>
      </c>
    </row>
    <row r="157" spans="1:92" ht="30" x14ac:dyDescent="0.25">
      <c r="A157" s="256"/>
      <c r="B157" s="247" t="s">
        <v>131</v>
      </c>
      <c r="C157" s="75" t="s">
        <v>84</v>
      </c>
      <c r="D157" s="75" t="s">
        <v>178</v>
      </c>
      <c r="E157" s="56" t="s">
        <v>132</v>
      </c>
      <c r="F157" s="57">
        <v>2</v>
      </c>
      <c r="G157" s="57"/>
      <c r="H157" s="58"/>
      <c r="I157" s="59"/>
      <c r="J157" s="60">
        <v>15704</v>
      </c>
      <c r="K157" s="59"/>
      <c r="L157" s="60">
        <v>19630</v>
      </c>
      <c r="M157" s="59"/>
      <c r="N157" s="60">
        <v>24537.5</v>
      </c>
      <c r="O157" s="59"/>
      <c r="P157" s="60"/>
      <c r="Q157" s="59">
        <f t="shared" si="8"/>
        <v>0</v>
      </c>
      <c r="R157" s="60">
        <f t="shared" si="9"/>
        <v>59871.5</v>
      </c>
      <c r="S157" s="301">
        <f t="shared" si="10"/>
        <v>59871.5</v>
      </c>
    </row>
    <row r="158" spans="1:92" x14ac:dyDescent="0.25">
      <c r="A158" s="256"/>
      <c r="B158" s="247" t="s">
        <v>131</v>
      </c>
      <c r="C158" s="75" t="s">
        <v>160</v>
      </c>
      <c r="D158" s="75" t="s">
        <v>179</v>
      </c>
      <c r="E158" s="56" t="s">
        <v>132</v>
      </c>
      <c r="F158" s="57">
        <v>57</v>
      </c>
      <c r="G158" s="57"/>
      <c r="H158" s="58"/>
      <c r="I158" s="59"/>
      <c r="J158" s="60">
        <v>351769.59999999998</v>
      </c>
      <c r="K158" s="59"/>
      <c r="L158" s="60">
        <v>659568</v>
      </c>
      <c r="M158" s="59"/>
      <c r="N158" s="60">
        <v>1118910</v>
      </c>
      <c r="O158" s="59"/>
      <c r="P158" s="60"/>
      <c r="Q158" s="59">
        <f t="shared" si="8"/>
        <v>0</v>
      </c>
      <c r="R158" s="60">
        <f t="shared" si="9"/>
        <v>2130247.6</v>
      </c>
      <c r="S158" s="301">
        <f t="shared" si="10"/>
        <v>2130247.6</v>
      </c>
    </row>
    <row r="159" spans="1:92" x14ac:dyDescent="0.25">
      <c r="A159" s="256"/>
      <c r="B159" s="247" t="s">
        <v>131</v>
      </c>
      <c r="C159" s="75" t="s">
        <v>62</v>
      </c>
      <c r="D159" s="75" t="s">
        <v>180</v>
      </c>
      <c r="E159" s="56" t="s">
        <v>132</v>
      </c>
      <c r="F159" s="57">
        <v>1</v>
      </c>
      <c r="G159" s="57"/>
      <c r="H159" s="58"/>
      <c r="I159" s="59"/>
      <c r="J159" s="60">
        <v>13546</v>
      </c>
      <c r="K159" s="59"/>
      <c r="L159" s="60">
        <v>16932.5</v>
      </c>
      <c r="M159" s="59"/>
      <c r="N159" s="60">
        <v>21165.625</v>
      </c>
      <c r="O159" s="59"/>
      <c r="P159" s="60"/>
      <c r="Q159" s="59">
        <f t="shared" si="8"/>
        <v>0</v>
      </c>
      <c r="R159" s="60">
        <f t="shared" si="9"/>
        <v>51644.125</v>
      </c>
      <c r="S159" s="301">
        <f t="shared" si="10"/>
        <v>51644.125</v>
      </c>
    </row>
    <row r="160" spans="1:92" ht="30" x14ac:dyDescent="0.25">
      <c r="A160" s="256"/>
      <c r="B160" s="247" t="s">
        <v>131</v>
      </c>
      <c r="C160" s="75" t="s">
        <v>56</v>
      </c>
      <c r="D160" s="75" t="s">
        <v>181</v>
      </c>
      <c r="E160" s="56" t="s">
        <v>132</v>
      </c>
      <c r="F160" s="57">
        <v>6</v>
      </c>
      <c r="G160" s="57"/>
      <c r="H160" s="58"/>
      <c r="I160" s="59"/>
      <c r="J160" s="60">
        <v>87160.320000000007</v>
      </c>
      <c r="K160" s="59"/>
      <c r="L160" s="60">
        <v>108950.40000000001</v>
      </c>
      <c r="M160" s="59"/>
      <c r="N160" s="60">
        <v>136188</v>
      </c>
      <c r="O160" s="59"/>
      <c r="P160" s="60"/>
      <c r="Q160" s="59">
        <f t="shared" si="8"/>
        <v>0</v>
      </c>
      <c r="R160" s="60">
        <f t="shared" si="9"/>
        <v>332298.72000000003</v>
      </c>
      <c r="S160" s="301">
        <f t="shared" si="10"/>
        <v>332298.72000000003</v>
      </c>
    </row>
    <row r="161" spans="1:19" ht="30" x14ac:dyDescent="0.25">
      <c r="A161" s="256"/>
      <c r="B161" s="247" t="s">
        <v>131</v>
      </c>
      <c r="C161" s="75" t="s">
        <v>56</v>
      </c>
      <c r="D161" s="75" t="s">
        <v>182</v>
      </c>
      <c r="E161" s="56" t="s">
        <v>132</v>
      </c>
      <c r="F161" s="57">
        <v>2</v>
      </c>
      <c r="G161" s="57"/>
      <c r="H161" s="58"/>
      <c r="I161" s="59"/>
      <c r="J161" s="60">
        <v>33766.720000000001</v>
      </c>
      <c r="K161" s="59"/>
      <c r="L161" s="60">
        <v>42208.4</v>
      </c>
      <c r="M161" s="59"/>
      <c r="N161" s="60">
        <v>52760.5</v>
      </c>
      <c r="O161" s="59"/>
      <c r="P161" s="60"/>
      <c r="Q161" s="59">
        <f t="shared" si="8"/>
        <v>0</v>
      </c>
      <c r="R161" s="60">
        <f t="shared" si="9"/>
        <v>128735.62</v>
      </c>
      <c r="S161" s="301">
        <f t="shared" si="10"/>
        <v>128735.62</v>
      </c>
    </row>
    <row r="162" spans="1:19" ht="30" x14ac:dyDescent="0.25">
      <c r="A162" s="256"/>
      <c r="B162" s="247" t="s">
        <v>131</v>
      </c>
      <c r="C162" s="75" t="s">
        <v>56</v>
      </c>
      <c r="D162" s="75" t="s">
        <v>183</v>
      </c>
      <c r="E162" s="56" t="s">
        <v>132</v>
      </c>
      <c r="F162" s="57">
        <v>1</v>
      </c>
      <c r="G162" s="57"/>
      <c r="H162" s="58"/>
      <c r="I162" s="59"/>
      <c r="J162" s="60">
        <v>18060.640000000003</v>
      </c>
      <c r="K162" s="59"/>
      <c r="L162" s="60">
        <v>22575.800000000003</v>
      </c>
      <c r="M162" s="59"/>
      <c r="N162" s="60">
        <v>28219.750000000004</v>
      </c>
      <c r="O162" s="59"/>
      <c r="P162" s="60"/>
      <c r="Q162" s="59">
        <f t="shared" si="8"/>
        <v>0</v>
      </c>
      <c r="R162" s="60">
        <f t="shared" si="9"/>
        <v>68856.19</v>
      </c>
      <c r="S162" s="301">
        <f t="shared" si="10"/>
        <v>68856.19</v>
      </c>
    </row>
    <row r="163" spans="1:19" ht="30" x14ac:dyDescent="0.25">
      <c r="A163" s="256"/>
      <c r="B163" s="247" t="s">
        <v>131</v>
      </c>
      <c r="C163" s="75" t="s">
        <v>58</v>
      </c>
      <c r="D163" s="75" t="s">
        <v>184</v>
      </c>
      <c r="E163" s="56" t="s">
        <v>132</v>
      </c>
      <c r="F163" s="57">
        <v>1</v>
      </c>
      <c r="G163" s="57"/>
      <c r="H163" s="58"/>
      <c r="I163" s="59"/>
      <c r="J163" s="60">
        <v>16883.36</v>
      </c>
      <c r="K163" s="59"/>
      <c r="L163" s="60">
        <v>21104.2</v>
      </c>
      <c r="M163" s="59"/>
      <c r="N163" s="60">
        <v>26380.25</v>
      </c>
      <c r="O163" s="59"/>
      <c r="P163" s="60"/>
      <c r="Q163" s="59">
        <f t="shared" si="8"/>
        <v>0</v>
      </c>
      <c r="R163" s="60">
        <f t="shared" si="9"/>
        <v>64367.81</v>
      </c>
      <c r="S163" s="301">
        <f t="shared" si="10"/>
        <v>64367.81</v>
      </c>
    </row>
    <row r="164" spans="1:19" ht="30" x14ac:dyDescent="0.25">
      <c r="A164" s="256"/>
      <c r="B164" s="247" t="s">
        <v>131</v>
      </c>
      <c r="C164" s="75" t="s">
        <v>57</v>
      </c>
      <c r="D164" s="75" t="s">
        <v>185</v>
      </c>
      <c r="E164" s="56" t="s">
        <v>132</v>
      </c>
      <c r="F164" s="57">
        <v>1</v>
      </c>
      <c r="G164" s="57"/>
      <c r="H164" s="58"/>
      <c r="I164" s="59"/>
      <c r="J164" s="60">
        <v>18060.640000000003</v>
      </c>
      <c r="K164" s="59"/>
      <c r="L164" s="60">
        <v>22575.800000000003</v>
      </c>
      <c r="M164" s="59"/>
      <c r="N164" s="60">
        <v>28219.750000000004</v>
      </c>
      <c r="O164" s="59"/>
      <c r="P164" s="60"/>
      <c r="Q164" s="59">
        <f t="shared" si="8"/>
        <v>0</v>
      </c>
      <c r="R164" s="60">
        <f t="shared" si="9"/>
        <v>68856.19</v>
      </c>
      <c r="S164" s="301">
        <f t="shared" si="10"/>
        <v>68856.19</v>
      </c>
    </row>
    <row r="165" spans="1:19" ht="30" x14ac:dyDescent="0.25">
      <c r="A165" s="256"/>
      <c r="B165" s="247" t="s">
        <v>131</v>
      </c>
      <c r="C165" s="75" t="s">
        <v>186</v>
      </c>
      <c r="D165" s="75" t="s">
        <v>101</v>
      </c>
      <c r="E165" s="56" t="s">
        <v>132</v>
      </c>
      <c r="F165" s="57">
        <v>1</v>
      </c>
      <c r="G165" s="57"/>
      <c r="H165" s="58"/>
      <c r="I165" s="59"/>
      <c r="J165" s="60">
        <v>16883.36</v>
      </c>
      <c r="K165" s="59"/>
      <c r="L165" s="60">
        <v>21104.2</v>
      </c>
      <c r="M165" s="59"/>
      <c r="N165" s="60">
        <v>26380.25</v>
      </c>
      <c r="O165" s="59"/>
      <c r="P165" s="60"/>
      <c r="Q165" s="59">
        <f t="shared" si="8"/>
        <v>0</v>
      </c>
      <c r="R165" s="60">
        <f t="shared" si="9"/>
        <v>64367.81</v>
      </c>
      <c r="S165" s="301">
        <f t="shared" si="10"/>
        <v>64367.81</v>
      </c>
    </row>
    <row r="166" spans="1:19" x14ac:dyDescent="0.25">
      <c r="A166" s="256"/>
      <c r="B166" s="247" t="s">
        <v>131</v>
      </c>
      <c r="C166" s="75" t="s">
        <v>187</v>
      </c>
      <c r="D166" s="75" t="s">
        <v>102</v>
      </c>
      <c r="E166" s="56" t="s">
        <v>132</v>
      </c>
      <c r="F166" s="57">
        <v>1</v>
      </c>
      <c r="G166" s="57"/>
      <c r="H166" s="58"/>
      <c r="I166" s="59"/>
      <c r="J166" s="60">
        <v>22771.840000000004</v>
      </c>
      <c r="K166" s="59"/>
      <c r="L166" s="60">
        <v>28464.800000000003</v>
      </c>
      <c r="M166" s="59"/>
      <c r="N166" s="60">
        <v>35581</v>
      </c>
      <c r="O166" s="59"/>
      <c r="P166" s="60"/>
      <c r="Q166" s="59">
        <f t="shared" si="8"/>
        <v>0</v>
      </c>
      <c r="R166" s="60">
        <f t="shared" si="9"/>
        <v>86817.640000000014</v>
      </c>
      <c r="S166" s="301">
        <f t="shared" si="10"/>
        <v>86817.640000000014</v>
      </c>
    </row>
    <row r="167" spans="1:19" ht="30" x14ac:dyDescent="0.25">
      <c r="A167" s="256"/>
      <c r="B167" s="247" t="s">
        <v>131</v>
      </c>
      <c r="C167" s="75" t="s">
        <v>63</v>
      </c>
      <c r="D167" s="75" t="s">
        <v>184</v>
      </c>
      <c r="E167" s="56" t="s">
        <v>132</v>
      </c>
      <c r="F167" s="57">
        <v>1</v>
      </c>
      <c r="G167" s="57"/>
      <c r="H167" s="58"/>
      <c r="I167" s="59"/>
      <c r="J167" s="60">
        <v>16883.36</v>
      </c>
      <c r="K167" s="59"/>
      <c r="L167" s="60">
        <v>21104.2</v>
      </c>
      <c r="M167" s="59"/>
      <c r="N167" s="60">
        <v>26380.25</v>
      </c>
      <c r="O167" s="59"/>
      <c r="P167" s="60"/>
      <c r="Q167" s="59">
        <f t="shared" si="8"/>
        <v>0</v>
      </c>
      <c r="R167" s="60">
        <f t="shared" si="9"/>
        <v>64367.81</v>
      </c>
      <c r="S167" s="301">
        <f t="shared" si="10"/>
        <v>64367.81</v>
      </c>
    </row>
    <row r="168" spans="1:19" ht="30" x14ac:dyDescent="0.25">
      <c r="A168" s="256"/>
      <c r="B168" s="247" t="s">
        <v>131</v>
      </c>
      <c r="C168" s="75" t="s">
        <v>64</v>
      </c>
      <c r="D168" s="75" t="s">
        <v>188</v>
      </c>
      <c r="E168" s="56" t="s">
        <v>132</v>
      </c>
      <c r="F168" s="57">
        <v>1</v>
      </c>
      <c r="G168" s="57"/>
      <c r="H168" s="58"/>
      <c r="I168" s="59"/>
      <c r="J168" s="60">
        <v>15705.04</v>
      </c>
      <c r="K168" s="59"/>
      <c r="L168" s="60">
        <v>19631.300000000003</v>
      </c>
      <c r="M168" s="59"/>
      <c r="N168" s="60">
        <v>24539.125000000004</v>
      </c>
      <c r="O168" s="59"/>
      <c r="P168" s="60"/>
      <c r="Q168" s="59">
        <f t="shared" si="8"/>
        <v>0</v>
      </c>
      <c r="R168" s="60">
        <f t="shared" si="9"/>
        <v>59875.465000000004</v>
      </c>
      <c r="S168" s="301">
        <f t="shared" si="10"/>
        <v>59875.465000000004</v>
      </c>
    </row>
    <row r="169" spans="1:19" x14ac:dyDescent="0.25">
      <c r="A169" s="256"/>
      <c r="B169" s="247" t="s">
        <v>131</v>
      </c>
      <c r="C169" s="75" t="s">
        <v>189</v>
      </c>
      <c r="D169" s="75" t="s">
        <v>190</v>
      </c>
      <c r="E169" s="56" t="s">
        <v>132</v>
      </c>
      <c r="F169" s="57">
        <v>1</v>
      </c>
      <c r="G169" s="57"/>
      <c r="H169" s="58"/>
      <c r="I169" s="59"/>
      <c r="J169" s="60">
        <v>13546</v>
      </c>
      <c r="K169" s="59"/>
      <c r="L169" s="60">
        <v>16932.5</v>
      </c>
      <c r="M169" s="59"/>
      <c r="N169" s="60">
        <v>21165.625</v>
      </c>
      <c r="O169" s="59"/>
      <c r="P169" s="60"/>
      <c r="Q169" s="59">
        <f t="shared" si="8"/>
        <v>0</v>
      </c>
      <c r="R169" s="60">
        <f t="shared" si="9"/>
        <v>51644.125</v>
      </c>
      <c r="S169" s="301">
        <f t="shared" si="10"/>
        <v>51644.125</v>
      </c>
    </row>
    <row r="170" spans="1:19" x14ac:dyDescent="0.25">
      <c r="A170" s="256"/>
      <c r="B170" s="247" t="s">
        <v>131</v>
      </c>
      <c r="C170" s="75" t="s">
        <v>65</v>
      </c>
      <c r="D170" s="75" t="s">
        <v>190</v>
      </c>
      <c r="E170" s="56" t="s">
        <v>132</v>
      </c>
      <c r="F170" s="57">
        <v>1</v>
      </c>
      <c r="G170" s="57"/>
      <c r="H170" s="58"/>
      <c r="I170" s="59"/>
      <c r="J170" s="60">
        <v>13546</v>
      </c>
      <c r="K170" s="59"/>
      <c r="L170" s="60">
        <v>16932.5</v>
      </c>
      <c r="M170" s="59"/>
      <c r="N170" s="60">
        <v>21165.625</v>
      </c>
      <c r="O170" s="59"/>
      <c r="P170" s="60"/>
      <c r="Q170" s="59">
        <f t="shared" si="8"/>
        <v>0</v>
      </c>
      <c r="R170" s="60">
        <f t="shared" si="9"/>
        <v>51644.125</v>
      </c>
      <c r="S170" s="301">
        <f t="shared" si="10"/>
        <v>51644.125</v>
      </c>
    </row>
    <row r="171" spans="1:19" x14ac:dyDescent="0.25">
      <c r="A171" s="256"/>
      <c r="B171" s="247" t="s">
        <v>131</v>
      </c>
      <c r="C171" s="75" t="s">
        <v>55</v>
      </c>
      <c r="D171" s="75" t="s">
        <v>191</v>
      </c>
      <c r="E171" s="56" t="s">
        <v>132</v>
      </c>
      <c r="F171" s="57">
        <v>1</v>
      </c>
      <c r="G171" s="57"/>
      <c r="H171" s="58"/>
      <c r="I171" s="59"/>
      <c r="J171" s="60">
        <v>10600.720000000001</v>
      </c>
      <c r="K171" s="59"/>
      <c r="L171" s="60">
        <v>13250.900000000001</v>
      </c>
      <c r="M171" s="59"/>
      <c r="N171" s="60">
        <v>16563.625</v>
      </c>
      <c r="O171" s="59"/>
      <c r="P171" s="60"/>
      <c r="Q171" s="59">
        <f t="shared" si="8"/>
        <v>0</v>
      </c>
      <c r="R171" s="60">
        <f t="shared" si="9"/>
        <v>40415.245000000003</v>
      </c>
      <c r="S171" s="301">
        <f t="shared" si="10"/>
        <v>40415.245000000003</v>
      </c>
    </row>
    <row r="172" spans="1:19" x14ac:dyDescent="0.25">
      <c r="A172" s="256"/>
      <c r="B172" s="247" t="s">
        <v>131</v>
      </c>
      <c r="C172" s="75" t="s">
        <v>55</v>
      </c>
      <c r="D172" s="75" t="s">
        <v>192</v>
      </c>
      <c r="E172" s="56" t="s">
        <v>132</v>
      </c>
      <c r="F172" s="57">
        <v>1</v>
      </c>
      <c r="G172" s="57"/>
      <c r="H172" s="58"/>
      <c r="I172" s="59"/>
      <c r="J172" s="60">
        <v>12563.2</v>
      </c>
      <c r="K172" s="59"/>
      <c r="L172" s="60">
        <v>15704</v>
      </c>
      <c r="M172" s="59"/>
      <c r="N172" s="60">
        <v>19630</v>
      </c>
      <c r="O172" s="59"/>
      <c r="P172" s="60"/>
      <c r="Q172" s="59">
        <f t="shared" si="8"/>
        <v>0</v>
      </c>
      <c r="R172" s="60">
        <f t="shared" si="9"/>
        <v>47897.2</v>
      </c>
      <c r="S172" s="301">
        <f t="shared" si="10"/>
        <v>47897.2</v>
      </c>
    </row>
    <row r="173" spans="1:19" x14ac:dyDescent="0.25">
      <c r="A173" s="256"/>
      <c r="B173" s="247" t="s">
        <v>131</v>
      </c>
      <c r="C173" s="75" t="s">
        <v>66</v>
      </c>
      <c r="D173" s="75" t="s">
        <v>193</v>
      </c>
      <c r="E173" s="56" t="s">
        <v>132</v>
      </c>
      <c r="F173" s="57">
        <v>1</v>
      </c>
      <c r="G173" s="57"/>
      <c r="H173" s="58"/>
      <c r="I173" s="59"/>
      <c r="J173" s="60">
        <v>10600.720000000001</v>
      </c>
      <c r="K173" s="59"/>
      <c r="L173" s="60">
        <v>13250.900000000001</v>
      </c>
      <c r="M173" s="59"/>
      <c r="N173" s="60">
        <v>16563.625</v>
      </c>
      <c r="O173" s="59"/>
      <c r="P173" s="60"/>
      <c r="Q173" s="59">
        <f t="shared" si="8"/>
        <v>0</v>
      </c>
      <c r="R173" s="60">
        <f t="shared" si="9"/>
        <v>40415.245000000003</v>
      </c>
      <c r="S173" s="301">
        <f t="shared" si="10"/>
        <v>40415.245000000003</v>
      </c>
    </row>
    <row r="174" spans="1:19" x14ac:dyDescent="0.25">
      <c r="A174" s="256"/>
      <c r="B174" s="247" t="s">
        <v>131</v>
      </c>
      <c r="C174" s="75" t="s">
        <v>66</v>
      </c>
      <c r="D174" s="75" t="s">
        <v>194</v>
      </c>
      <c r="E174" s="56" t="s">
        <v>132</v>
      </c>
      <c r="F174" s="57">
        <v>3</v>
      </c>
      <c r="G174" s="57"/>
      <c r="H174" s="58"/>
      <c r="I174" s="59"/>
      <c r="J174" s="60">
        <v>37689.599999999999</v>
      </c>
      <c r="K174" s="59"/>
      <c r="L174" s="60">
        <v>47112</v>
      </c>
      <c r="M174" s="59"/>
      <c r="N174" s="60">
        <v>58890</v>
      </c>
      <c r="O174" s="59"/>
      <c r="P174" s="60"/>
      <c r="Q174" s="59">
        <f t="shared" si="8"/>
        <v>0</v>
      </c>
      <c r="R174" s="60">
        <f t="shared" si="9"/>
        <v>143691.6</v>
      </c>
      <c r="S174" s="301">
        <f t="shared" si="10"/>
        <v>143691.6</v>
      </c>
    </row>
    <row r="175" spans="1:19" x14ac:dyDescent="0.25">
      <c r="A175" s="256"/>
      <c r="B175" s="247" t="s">
        <v>131</v>
      </c>
      <c r="C175" s="75" t="s">
        <v>66</v>
      </c>
      <c r="D175" s="75" t="s">
        <v>195</v>
      </c>
      <c r="E175" s="56" t="s">
        <v>132</v>
      </c>
      <c r="F175" s="57">
        <v>1</v>
      </c>
      <c r="G175" s="57"/>
      <c r="H175" s="58"/>
      <c r="I175" s="59"/>
      <c r="J175" s="60">
        <v>13546</v>
      </c>
      <c r="K175" s="59"/>
      <c r="L175" s="60">
        <v>16932.5</v>
      </c>
      <c r="M175" s="59"/>
      <c r="N175" s="60">
        <v>21165.625</v>
      </c>
      <c r="O175" s="59"/>
      <c r="P175" s="60"/>
      <c r="Q175" s="59">
        <f t="shared" si="8"/>
        <v>0</v>
      </c>
      <c r="R175" s="60">
        <f t="shared" si="9"/>
        <v>51644.125</v>
      </c>
      <c r="S175" s="301">
        <f t="shared" si="10"/>
        <v>51644.125</v>
      </c>
    </row>
    <row r="176" spans="1:19" x14ac:dyDescent="0.25">
      <c r="A176" s="256"/>
      <c r="B176" s="247" t="s">
        <v>131</v>
      </c>
      <c r="C176" s="75" t="s">
        <v>67</v>
      </c>
      <c r="D176" s="75" t="s">
        <v>190</v>
      </c>
      <c r="E176" s="56" t="s">
        <v>132</v>
      </c>
      <c r="F176" s="57">
        <v>1</v>
      </c>
      <c r="G176" s="57"/>
      <c r="H176" s="58"/>
      <c r="I176" s="59"/>
      <c r="J176" s="60">
        <v>13546</v>
      </c>
      <c r="K176" s="59"/>
      <c r="L176" s="60">
        <v>16932.5</v>
      </c>
      <c r="M176" s="59"/>
      <c r="N176" s="60">
        <v>21165.625</v>
      </c>
      <c r="O176" s="59"/>
      <c r="P176" s="60"/>
      <c r="Q176" s="59">
        <f t="shared" si="8"/>
        <v>0</v>
      </c>
      <c r="R176" s="60">
        <f t="shared" si="9"/>
        <v>51644.125</v>
      </c>
      <c r="S176" s="301">
        <f t="shared" si="10"/>
        <v>51644.125</v>
      </c>
    </row>
    <row r="177" spans="1:92" x14ac:dyDescent="0.25">
      <c r="A177" s="256"/>
      <c r="B177" s="247" t="s">
        <v>131</v>
      </c>
      <c r="C177" s="75" t="s">
        <v>68</v>
      </c>
      <c r="D177" s="75" t="s">
        <v>196</v>
      </c>
      <c r="E177" s="56" t="s">
        <v>132</v>
      </c>
      <c r="F177" s="57">
        <v>1</v>
      </c>
      <c r="G177" s="57"/>
      <c r="H177" s="58"/>
      <c r="I177" s="59"/>
      <c r="J177" s="60">
        <v>12563.2</v>
      </c>
      <c r="K177" s="59"/>
      <c r="L177" s="60">
        <v>15704</v>
      </c>
      <c r="M177" s="59"/>
      <c r="N177" s="60">
        <v>19630</v>
      </c>
      <c r="O177" s="59"/>
      <c r="P177" s="60"/>
      <c r="Q177" s="59">
        <f t="shared" si="8"/>
        <v>0</v>
      </c>
      <c r="R177" s="60">
        <f t="shared" si="9"/>
        <v>47897.2</v>
      </c>
      <c r="S177" s="301">
        <f t="shared" si="10"/>
        <v>47897.2</v>
      </c>
    </row>
    <row r="178" spans="1:92" x14ac:dyDescent="0.25">
      <c r="A178" s="256"/>
      <c r="B178" s="247" t="s">
        <v>131</v>
      </c>
      <c r="C178" s="75" t="s">
        <v>69</v>
      </c>
      <c r="D178" s="75" t="s">
        <v>100</v>
      </c>
      <c r="E178" s="56" t="s">
        <v>132</v>
      </c>
      <c r="F178" s="57">
        <v>1</v>
      </c>
      <c r="G178" s="57"/>
      <c r="H178" s="58"/>
      <c r="I178" s="59"/>
      <c r="J178" s="60">
        <v>13546</v>
      </c>
      <c r="K178" s="59"/>
      <c r="L178" s="60">
        <v>16932.5</v>
      </c>
      <c r="M178" s="59"/>
      <c r="N178" s="60">
        <v>21165.625</v>
      </c>
      <c r="O178" s="59"/>
      <c r="P178" s="60"/>
      <c r="Q178" s="59">
        <f t="shared" si="8"/>
        <v>0</v>
      </c>
      <c r="R178" s="60">
        <f t="shared" si="9"/>
        <v>51644.125</v>
      </c>
      <c r="S178" s="301">
        <f t="shared" si="10"/>
        <v>51644.125</v>
      </c>
    </row>
    <row r="179" spans="1:92" ht="30" x14ac:dyDescent="0.25">
      <c r="A179" s="256"/>
      <c r="B179" s="247" t="s">
        <v>131</v>
      </c>
      <c r="C179" s="75" t="s">
        <v>70</v>
      </c>
      <c r="D179" s="75" t="s">
        <v>100</v>
      </c>
      <c r="E179" s="56" t="s">
        <v>132</v>
      </c>
      <c r="F179" s="57">
        <v>1</v>
      </c>
      <c r="G179" s="57"/>
      <c r="H179" s="58"/>
      <c r="I179" s="59"/>
      <c r="J179" s="60">
        <v>12563.2</v>
      </c>
      <c r="K179" s="59"/>
      <c r="L179" s="60">
        <v>15704</v>
      </c>
      <c r="M179" s="59"/>
      <c r="N179" s="60">
        <v>19630</v>
      </c>
      <c r="O179" s="59"/>
      <c r="P179" s="60"/>
      <c r="Q179" s="59">
        <f t="shared" si="8"/>
        <v>0</v>
      </c>
      <c r="R179" s="60">
        <f t="shared" si="9"/>
        <v>47897.2</v>
      </c>
      <c r="S179" s="301">
        <f t="shared" si="10"/>
        <v>47897.2</v>
      </c>
    </row>
    <row r="180" spans="1:92" ht="30" x14ac:dyDescent="0.25">
      <c r="A180" s="256"/>
      <c r="B180" s="247" t="s">
        <v>131</v>
      </c>
      <c r="C180" s="75" t="s">
        <v>197</v>
      </c>
      <c r="D180" s="75" t="s">
        <v>103</v>
      </c>
      <c r="E180" s="56" t="s">
        <v>132</v>
      </c>
      <c r="F180" s="57">
        <v>6</v>
      </c>
      <c r="G180" s="57"/>
      <c r="H180" s="58"/>
      <c r="I180" s="59"/>
      <c r="J180" s="60">
        <v>101300.16</v>
      </c>
      <c r="K180" s="59"/>
      <c r="L180" s="60">
        <v>126625.20000000001</v>
      </c>
      <c r="M180" s="59"/>
      <c r="N180" s="60">
        <v>158281.5</v>
      </c>
      <c r="O180" s="59"/>
      <c r="P180" s="60"/>
      <c r="Q180" s="59">
        <f t="shared" si="8"/>
        <v>0</v>
      </c>
      <c r="R180" s="60">
        <f t="shared" si="9"/>
        <v>386206.86</v>
      </c>
      <c r="S180" s="301">
        <f t="shared" si="10"/>
        <v>386206.86</v>
      </c>
    </row>
    <row r="181" spans="1:92" ht="30" x14ac:dyDescent="0.25">
      <c r="A181" s="256"/>
      <c r="B181" s="247" t="s">
        <v>131</v>
      </c>
      <c r="C181" s="75" t="s">
        <v>36</v>
      </c>
      <c r="D181" s="75" t="s">
        <v>92</v>
      </c>
      <c r="E181" s="56" t="s">
        <v>6</v>
      </c>
      <c r="F181" s="57">
        <v>70</v>
      </c>
      <c r="G181" s="57"/>
      <c r="H181" s="58"/>
      <c r="I181" s="59"/>
      <c r="J181" s="60">
        <v>156800</v>
      </c>
      <c r="K181" s="59"/>
      <c r="L181" s="60">
        <v>173600</v>
      </c>
      <c r="M181" s="59"/>
      <c r="N181" s="60">
        <v>182560</v>
      </c>
      <c r="O181" s="59"/>
      <c r="P181" s="60"/>
      <c r="Q181" s="59">
        <f t="shared" si="8"/>
        <v>0</v>
      </c>
      <c r="R181" s="60">
        <f t="shared" si="9"/>
        <v>512960</v>
      </c>
      <c r="S181" s="301">
        <f t="shared" si="10"/>
        <v>512960</v>
      </c>
    </row>
    <row r="182" spans="1:92" x14ac:dyDescent="0.25">
      <c r="A182" s="255" t="s">
        <v>477</v>
      </c>
      <c r="B182" s="231" t="s">
        <v>131</v>
      </c>
      <c r="C182" s="227" t="s">
        <v>5</v>
      </c>
      <c r="D182" s="228"/>
      <c r="E182" s="229"/>
      <c r="F182" s="230"/>
      <c r="G182" s="230"/>
      <c r="H182" s="231"/>
      <c r="I182" s="232"/>
      <c r="J182" s="231"/>
      <c r="K182" s="232"/>
      <c r="L182" s="231"/>
      <c r="M182" s="232"/>
      <c r="N182" s="231"/>
      <c r="O182" s="232"/>
      <c r="P182" s="231"/>
      <c r="Q182" s="303">
        <f t="shared" si="8"/>
        <v>0</v>
      </c>
      <c r="R182" s="304">
        <f t="shared" si="9"/>
        <v>0</v>
      </c>
      <c r="S182" s="307"/>
      <c r="T182" s="15"/>
      <c r="U182" s="15"/>
      <c r="V182" s="15"/>
      <c r="W182" s="15"/>
      <c r="X182" s="15"/>
      <c r="Y182" s="15"/>
      <c r="Z182" s="15"/>
      <c r="AA182" s="15"/>
      <c r="AB182" s="15"/>
      <c r="AC182" s="15"/>
      <c r="AD182" s="15"/>
      <c r="AE182" s="15"/>
      <c r="AF182" s="15"/>
      <c r="AG182" s="15"/>
      <c r="AH182" s="15"/>
      <c r="AI182" s="15"/>
      <c r="AJ182" s="15"/>
      <c r="AK182" s="15"/>
      <c r="AL182" s="15"/>
      <c r="AM182" s="15"/>
      <c r="AN182" s="15"/>
      <c r="AO182" s="15"/>
      <c r="AP182" s="15"/>
      <c r="AQ182" s="15"/>
      <c r="AR182" s="15"/>
      <c r="AS182" s="15"/>
      <c r="AT182" s="15"/>
      <c r="AU182" s="15"/>
      <c r="AV182" s="15"/>
      <c r="AW182" s="15"/>
      <c r="AX182" s="15"/>
      <c r="AY182" s="15"/>
      <c r="AZ182" s="15"/>
      <c r="BA182" s="15"/>
      <c r="BB182" s="15"/>
      <c r="BC182" s="15"/>
      <c r="BD182" s="15"/>
      <c r="BE182" s="15"/>
      <c r="BF182" s="15"/>
      <c r="BG182" s="15"/>
      <c r="BH182" s="15"/>
      <c r="BI182" s="15"/>
      <c r="BJ182" s="15"/>
      <c r="BK182" s="15"/>
      <c r="BL182" s="15"/>
      <c r="BM182" s="15"/>
      <c r="BN182" s="15"/>
      <c r="BO182" s="15"/>
      <c r="BP182" s="15"/>
      <c r="BQ182" s="15"/>
      <c r="BR182" s="15"/>
      <c r="BS182" s="15"/>
      <c r="BT182" s="15"/>
      <c r="BU182" s="15"/>
      <c r="BV182" s="15"/>
      <c r="BW182" s="15"/>
      <c r="BX182" s="15"/>
      <c r="BY182" s="15"/>
      <c r="BZ182" s="15"/>
      <c r="CA182" s="15"/>
      <c r="CB182" s="15"/>
      <c r="CC182" s="15"/>
      <c r="CD182" s="15"/>
      <c r="CE182" s="15"/>
      <c r="CF182" s="15"/>
      <c r="CG182" s="15"/>
      <c r="CH182" s="15"/>
      <c r="CI182" s="15"/>
      <c r="CJ182" s="15"/>
      <c r="CK182" s="15"/>
      <c r="CL182" s="15"/>
      <c r="CM182" s="15"/>
      <c r="CN182" s="15"/>
    </row>
    <row r="183" spans="1:92" s="85" customFormat="1" x14ac:dyDescent="0.25">
      <c r="A183" s="256"/>
      <c r="B183" s="246" t="s">
        <v>131</v>
      </c>
      <c r="C183" s="56" t="s">
        <v>17</v>
      </c>
      <c r="D183" s="86" t="s">
        <v>53</v>
      </c>
      <c r="E183" s="86" t="s">
        <v>133</v>
      </c>
      <c r="F183" s="27"/>
      <c r="G183" s="27"/>
      <c r="H183" s="28"/>
      <c r="I183" s="69">
        <v>24000</v>
      </c>
      <c r="J183" s="73"/>
      <c r="K183" s="72">
        <v>48000</v>
      </c>
      <c r="L183" s="73"/>
      <c r="M183" s="72"/>
      <c r="N183" s="73"/>
      <c r="O183" s="72"/>
      <c r="P183" s="73"/>
      <c r="Q183" s="59">
        <f t="shared" si="8"/>
        <v>72000</v>
      </c>
      <c r="R183" s="60">
        <f t="shared" si="9"/>
        <v>0</v>
      </c>
      <c r="S183" s="301">
        <f t="shared" si="10"/>
        <v>72000</v>
      </c>
      <c r="T183" s="15"/>
      <c r="U183" s="15"/>
      <c r="V183" s="15"/>
      <c r="W183" s="15"/>
      <c r="X183" s="15"/>
      <c r="Y183" s="15"/>
      <c r="Z183" s="15"/>
      <c r="AA183" s="15"/>
      <c r="AB183" s="15"/>
      <c r="AC183" s="15"/>
      <c r="AD183" s="15"/>
      <c r="AE183" s="15"/>
      <c r="AF183" s="15"/>
      <c r="AG183" s="15"/>
      <c r="AH183" s="15"/>
      <c r="AI183" s="15"/>
      <c r="AJ183" s="15"/>
      <c r="AK183" s="15"/>
      <c r="AL183" s="15"/>
      <c r="AM183" s="15"/>
      <c r="AN183" s="15"/>
      <c r="AO183" s="15"/>
      <c r="AP183" s="15"/>
      <c r="AQ183" s="15"/>
      <c r="AR183" s="15"/>
      <c r="AS183" s="15"/>
      <c r="AT183" s="15"/>
      <c r="AU183" s="15"/>
      <c r="AV183" s="15"/>
      <c r="AW183" s="15"/>
      <c r="AX183" s="15"/>
      <c r="AY183" s="15"/>
      <c r="AZ183" s="15"/>
      <c r="BA183" s="15"/>
      <c r="BB183" s="15"/>
      <c r="BC183" s="15"/>
      <c r="BD183" s="15"/>
      <c r="BE183" s="15"/>
      <c r="BF183" s="15"/>
      <c r="BG183" s="15"/>
      <c r="BH183" s="15"/>
      <c r="BI183" s="15"/>
      <c r="BJ183" s="15"/>
      <c r="BK183" s="15"/>
      <c r="BL183" s="15"/>
      <c r="BM183" s="15"/>
      <c r="BN183" s="15"/>
      <c r="BO183" s="15"/>
      <c r="BP183" s="15"/>
      <c r="BQ183" s="15"/>
      <c r="BR183" s="15"/>
      <c r="BS183" s="15"/>
      <c r="BT183" s="15"/>
      <c r="BU183" s="15"/>
      <c r="BV183" s="15"/>
      <c r="BW183" s="15"/>
      <c r="BX183" s="15"/>
      <c r="BY183" s="15"/>
      <c r="BZ183" s="15"/>
      <c r="CA183" s="15"/>
      <c r="CB183" s="15"/>
      <c r="CC183" s="15"/>
      <c r="CD183" s="15"/>
      <c r="CE183" s="15"/>
      <c r="CF183" s="15"/>
      <c r="CG183" s="15"/>
      <c r="CH183" s="15"/>
      <c r="CI183" s="15"/>
      <c r="CJ183" s="15"/>
      <c r="CK183" s="15"/>
      <c r="CL183" s="15"/>
      <c r="CM183" s="15"/>
      <c r="CN183" s="15"/>
    </row>
    <row r="184" spans="1:92" x14ac:dyDescent="0.25">
      <c r="A184" s="256"/>
      <c r="B184" s="246" t="s">
        <v>131</v>
      </c>
      <c r="C184" s="56" t="s">
        <v>45</v>
      </c>
      <c r="D184" s="56" t="s">
        <v>90</v>
      </c>
      <c r="E184" s="56" t="s">
        <v>135</v>
      </c>
      <c r="F184" s="63"/>
      <c r="G184" s="63"/>
      <c r="H184" s="64"/>
      <c r="I184" s="69">
        <v>30000</v>
      </c>
      <c r="J184" s="73"/>
      <c r="K184" s="72">
        <v>45000</v>
      </c>
      <c r="L184" s="73"/>
      <c r="M184" s="72">
        <v>50000</v>
      </c>
      <c r="N184" s="73"/>
      <c r="O184" s="72"/>
      <c r="P184" s="73"/>
      <c r="Q184" s="59">
        <f t="shared" si="8"/>
        <v>125000</v>
      </c>
      <c r="R184" s="60">
        <f t="shared" si="9"/>
        <v>0</v>
      </c>
      <c r="S184" s="301">
        <f t="shared" si="10"/>
        <v>125000</v>
      </c>
    </row>
    <row r="185" spans="1:92" x14ac:dyDescent="0.25">
      <c r="A185" s="255" t="s">
        <v>478</v>
      </c>
      <c r="B185" s="231" t="s">
        <v>131</v>
      </c>
      <c r="C185" s="227" t="s">
        <v>7</v>
      </c>
      <c r="D185" s="228"/>
      <c r="E185" s="229"/>
      <c r="F185" s="230"/>
      <c r="G185" s="230"/>
      <c r="H185" s="231"/>
      <c r="I185" s="232"/>
      <c r="J185" s="231"/>
      <c r="K185" s="232"/>
      <c r="L185" s="231"/>
      <c r="M185" s="232"/>
      <c r="N185" s="231"/>
      <c r="O185" s="232"/>
      <c r="P185" s="231"/>
      <c r="Q185" s="303">
        <f t="shared" si="8"/>
        <v>0</v>
      </c>
      <c r="R185" s="304">
        <f t="shared" si="9"/>
        <v>0</v>
      </c>
      <c r="S185" s="307"/>
      <c r="T185" s="15"/>
      <c r="U185" s="15"/>
      <c r="V185" s="15"/>
      <c r="W185" s="15"/>
      <c r="X185" s="15"/>
      <c r="Y185" s="15"/>
      <c r="Z185" s="15"/>
      <c r="AA185" s="15"/>
      <c r="AB185" s="15"/>
      <c r="AC185" s="15"/>
      <c r="AD185" s="15"/>
      <c r="AE185" s="15"/>
      <c r="AF185" s="15"/>
      <c r="AG185" s="15"/>
      <c r="AH185" s="15"/>
      <c r="AI185" s="15"/>
      <c r="AJ185" s="15"/>
      <c r="AK185" s="15"/>
      <c r="AL185" s="15"/>
      <c r="AM185" s="15"/>
      <c r="AN185" s="15"/>
      <c r="AO185" s="15"/>
      <c r="AP185" s="15"/>
      <c r="AQ185" s="15"/>
      <c r="AR185" s="15"/>
      <c r="AS185" s="15"/>
      <c r="AT185" s="15"/>
      <c r="AU185" s="15"/>
      <c r="AV185" s="15"/>
      <c r="AW185" s="15"/>
      <c r="AX185" s="15"/>
      <c r="AY185" s="15"/>
      <c r="AZ185" s="15"/>
      <c r="BA185" s="15"/>
      <c r="BB185" s="15"/>
      <c r="BC185" s="15"/>
      <c r="BD185" s="15"/>
      <c r="BE185" s="15"/>
      <c r="BF185" s="15"/>
      <c r="BG185" s="15"/>
      <c r="BH185" s="15"/>
      <c r="BI185" s="15"/>
      <c r="BJ185" s="15"/>
      <c r="BK185" s="15"/>
      <c r="BL185" s="15"/>
      <c r="BM185" s="15"/>
      <c r="BN185" s="15"/>
      <c r="BO185" s="15"/>
      <c r="BP185" s="15"/>
      <c r="BQ185" s="15"/>
      <c r="BR185" s="15"/>
      <c r="BS185" s="15"/>
      <c r="BT185" s="15"/>
      <c r="BU185" s="15"/>
      <c r="BV185" s="15"/>
      <c r="BW185" s="15"/>
      <c r="BX185" s="15"/>
      <c r="BY185" s="15"/>
      <c r="BZ185" s="15"/>
      <c r="CA185" s="15"/>
      <c r="CB185" s="15"/>
      <c r="CC185" s="15"/>
      <c r="CD185" s="15"/>
      <c r="CE185" s="15"/>
      <c r="CF185" s="15"/>
      <c r="CG185" s="15"/>
      <c r="CH185" s="15"/>
      <c r="CI185" s="15"/>
      <c r="CJ185" s="15"/>
      <c r="CK185" s="15"/>
      <c r="CL185" s="15"/>
      <c r="CM185" s="15"/>
      <c r="CN185" s="15"/>
    </row>
    <row r="186" spans="1:92" x14ac:dyDescent="0.25">
      <c r="A186" s="256"/>
      <c r="B186" s="246" t="s">
        <v>131</v>
      </c>
      <c r="C186" s="56" t="s">
        <v>11</v>
      </c>
      <c r="D186" s="75" t="s">
        <v>11</v>
      </c>
      <c r="E186" s="56" t="s">
        <v>136</v>
      </c>
      <c r="F186" s="57"/>
      <c r="G186" s="57"/>
      <c r="H186" s="58"/>
      <c r="I186" s="22">
        <v>34300</v>
      </c>
      <c r="J186" s="60"/>
      <c r="K186" s="59">
        <f>+I186*1.35</f>
        <v>46305</v>
      </c>
      <c r="L186" s="60"/>
      <c r="M186" s="59">
        <f>+K186*1.45</f>
        <v>67142.25</v>
      </c>
      <c r="N186" s="60"/>
      <c r="O186" s="59"/>
      <c r="P186" s="60"/>
      <c r="Q186" s="59">
        <f t="shared" si="8"/>
        <v>147747.25</v>
      </c>
      <c r="R186" s="60">
        <f t="shared" si="9"/>
        <v>0</v>
      </c>
      <c r="S186" s="301">
        <f t="shared" si="10"/>
        <v>147747.25</v>
      </c>
    </row>
    <row r="187" spans="1:92" x14ac:dyDescent="0.25">
      <c r="A187" s="256"/>
      <c r="B187" s="246" t="s">
        <v>131</v>
      </c>
      <c r="C187" s="56" t="s">
        <v>54</v>
      </c>
      <c r="D187" s="75" t="s">
        <v>54</v>
      </c>
      <c r="E187" s="56" t="s">
        <v>136</v>
      </c>
      <c r="F187" s="57"/>
      <c r="G187" s="57"/>
      <c r="H187" s="58"/>
      <c r="I187" s="22">
        <v>12000</v>
      </c>
      <c r="J187" s="20"/>
      <c r="K187" s="22">
        <f t="shared" ref="K187:M187" si="11">400*2*15</f>
        <v>12000</v>
      </c>
      <c r="L187" s="20"/>
      <c r="M187" s="22">
        <f t="shared" si="11"/>
        <v>12000</v>
      </c>
      <c r="N187" s="20"/>
      <c r="O187" s="22"/>
      <c r="P187" s="20"/>
      <c r="Q187" s="59">
        <f t="shared" si="8"/>
        <v>36000</v>
      </c>
      <c r="R187" s="60">
        <f t="shared" si="9"/>
        <v>0</v>
      </c>
      <c r="S187" s="301">
        <f t="shared" si="10"/>
        <v>36000</v>
      </c>
    </row>
    <row r="188" spans="1:92" x14ac:dyDescent="0.25">
      <c r="A188" s="255" t="s">
        <v>479</v>
      </c>
      <c r="B188" s="231" t="s">
        <v>131</v>
      </c>
      <c r="C188" s="227" t="s">
        <v>25</v>
      </c>
      <c r="D188" s="228"/>
      <c r="E188" s="229"/>
      <c r="F188" s="230"/>
      <c r="G188" s="230"/>
      <c r="H188" s="231"/>
      <c r="I188" s="232"/>
      <c r="J188" s="231"/>
      <c r="K188" s="232"/>
      <c r="L188" s="231"/>
      <c r="M188" s="232"/>
      <c r="N188" s="231"/>
      <c r="O188" s="232"/>
      <c r="P188" s="231"/>
      <c r="Q188" s="303">
        <f t="shared" si="8"/>
        <v>0</v>
      </c>
      <c r="R188" s="304">
        <f t="shared" si="9"/>
        <v>0</v>
      </c>
      <c r="S188" s="307"/>
      <c r="T188" s="15"/>
      <c r="U188" s="15"/>
      <c r="V188" s="15"/>
      <c r="W188" s="15"/>
      <c r="X188" s="15"/>
      <c r="Y188" s="15"/>
      <c r="Z188" s="15"/>
      <c r="AA188" s="15"/>
      <c r="AB188" s="15"/>
      <c r="AC188" s="15"/>
      <c r="AD188" s="15"/>
      <c r="AE188" s="15"/>
      <c r="AF188" s="15"/>
      <c r="AG188" s="15"/>
      <c r="AH188" s="15"/>
      <c r="AI188" s="15"/>
      <c r="AJ188" s="15"/>
      <c r="AK188" s="15"/>
      <c r="AL188" s="15"/>
      <c r="AM188" s="15"/>
      <c r="AN188" s="15"/>
      <c r="AO188" s="15"/>
      <c r="AP188" s="15"/>
      <c r="AQ188" s="15"/>
      <c r="AR188" s="15"/>
      <c r="AS188" s="15"/>
      <c r="AT188" s="15"/>
      <c r="AU188" s="15"/>
      <c r="AV188" s="15"/>
      <c r="AW188" s="15"/>
      <c r="AX188" s="15"/>
      <c r="AY188" s="15"/>
      <c r="AZ188" s="15"/>
      <c r="BA188" s="15"/>
      <c r="BB188" s="15"/>
      <c r="BC188" s="15"/>
      <c r="BD188" s="15"/>
      <c r="BE188" s="15"/>
      <c r="BF188" s="15"/>
      <c r="BG188" s="15"/>
      <c r="BH188" s="15"/>
      <c r="BI188" s="15"/>
      <c r="BJ188" s="15"/>
      <c r="BK188" s="15"/>
      <c r="BL188" s="15"/>
      <c r="BM188" s="15"/>
      <c r="BN188" s="15"/>
      <c r="BO188" s="15"/>
      <c r="BP188" s="15"/>
      <c r="BQ188" s="15"/>
      <c r="BR188" s="15"/>
      <c r="BS188" s="15"/>
      <c r="BT188" s="15"/>
      <c r="BU188" s="15"/>
      <c r="BV188" s="15"/>
      <c r="BW188" s="15"/>
      <c r="BX188" s="15"/>
      <c r="BY188" s="15"/>
      <c r="BZ188" s="15"/>
      <c r="CA188" s="15"/>
      <c r="CB188" s="15"/>
      <c r="CC188" s="15"/>
      <c r="CD188" s="15"/>
      <c r="CE188" s="15"/>
      <c r="CF188" s="15"/>
      <c r="CG188" s="15"/>
      <c r="CH188" s="15"/>
      <c r="CI188" s="15"/>
      <c r="CJ188" s="15"/>
      <c r="CK188" s="15"/>
      <c r="CL188" s="15"/>
      <c r="CM188" s="15"/>
      <c r="CN188" s="15"/>
    </row>
    <row r="189" spans="1:92" ht="30" x14ac:dyDescent="0.25">
      <c r="A189" s="256"/>
      <c r="B189" s="244" t="s">
        <v>131</v>
      </c>
      <c r="C189" s="18" t="s">
        <v>26</v>
      </c>
      <c r="D189" s="18" t="s">
        <v>91</v>
      </c>
      <c r="E189" s="86" t="s">
        <v>134</v>
      </c>
      <c r="F189" s="80"/>
      <c r="G189" s="80"/>
      <c r="H189" s="81"/>
      <c r="I189" s="22">
        <v>17000</v>
      </c>
      <c r="J189" s="20"/>
      <c r="K189" s="22">
        <v>17000</v>
      </c>
      <c r="L189" s="20"/>
      <c r="M189" s="22">
        <v>0</v>
      </c>
      <c r="N189" s="20"/>
      <c r="O189" s="22"/>
      <c r="P189" s="20"/>
      <c r="Q189" s="59">
        <f t="shared" si="8"/>
        <v>34000</v>
      </c>
      <c r="R189" s="60">
        <f t="shared" si="9"/>
        <v>0</v>
      </c>
      <c r="S189" s="301">
        <f t="shared" si="10"/>
        <v>34000</v>
      </c>
    </row>
    <row r="190" spans="1:92" x14ac:dyDescent="0.25">
      <c r="A190" s="255" t="s">
        <v>480</v>
      </c>
      <c r="B190" s="231" t="s">
        <v>131</v>
      </c>
      <c r="C190" s="227" t="s">
        <v>531</v>
      </c>
      <c r="D190" s="228"/>
      <c r="E190" s="229"/>
      <c r="F190" s="230"/>
      <c r="G190" s="230"/>
      <c r="H190" s="231"/>
      <c r="I190" s="232"/>
      <c r="J190" s="231"/>
      <c r="K190" s="232"/>
      <c r="L190" s="231"/>
      <c r="M190" s="232"/>
      <c r="N190" s="231"/>
      <c r="O190" s="232"/>
      <c r="P190" s="231"/>
      <c r="Q190" s="303">
        <f t="shared" si="8"/>
        <v>0</v>
      </c>
      <c r="R190" s="304">
        <f t="shared" si="9"/>
        <v>0</v>
      </c>
      <c r="S190" s="305"/>
    </row>
    <row r="191" spans="1:92" x14ac:dyDescent="0.25">
      <c r="A191" s="256"/>
      <c r="B191" s="247" t="s">
        <v>131</v>
      </c>
      <c r="C191" s="75" t="s">
        <v>43</v>
      </c>
      <c r="D191" s="75" t="s">
        <v>198</v>
      </c>
      <c r="E191" s="56" t="s">
        <v>132</v>
      </c>
      <c r="F191" s="57">
        <v>3</v>
      </c>
      <c r="G191" s="57"/>
      <c r="H191" s="58"/>
      <c r="I191" s="59"/>
      <c r="J191" s="60">
        <v>37689.599999999999</v>
      </c>
      <c r="K191" s="59"/>
      <c r="L191" s="60">
        <v>47112</v>
      </c>
      <c r="M191" s="59"/>
      <c r="N191" s="60">
        <v>58890</v>
      </c>
      <c r="O191" s="59"/>
      <c r="P191" s="60"/>
      <c r="Q191" s="59">
        <f t="shared" si="8"/>
        <v>0</v>
      </c>
      <c r="R191" s="60">
        <f t="shared" si="9"/>
        <v>143691.6</v>
      </c>
      <c r="S191" s="301">
        <f t="shared" si="10"/>
        <v>143691.6</v>
      </c>
    </row>
    <row r="192" spans="1:92" x14ac:dyDescent="0.25">
      <c r="A192" s="256"/>
      <c r="B192" s="246" t="s">
        <v>131</v>
      </c>
      <c r="C192" s="56" t="s">
        <v>44</v>
      </c>
      <c r="D192" s="75" t="s">
        <v>104</v>
      </c>
      <c r="E192" s="56" t="s">
        <v>132</v>
      </c>
      <c r="F192" s="57">
        <v>1</v>
      </c>
      <c r="G192" s="57"/>
      <c r="H192" s="58"/>
      <c r="I192" s="59"/>
      <c r="J192" s="60">
        <v>33766.720000000001</v>
      </c>
      <c r="K192" s="59"/>
      <c r="L192" s="60">
        <v>42208.4</v>
      </c>
      <c r="M192" s="59"/>
      <c r="N192" s="60">
        <v>52760.5</v>
      </c>
      <c r="O192" s="59"/>
      <c r="P192" s="60"/>
      <c r="Q192" s="59">
        <f t="shared" si="8"/>
        <v>0</v>
      </c>
      <c r="R192" s="60">
        <f t="shared" si="9"/>
        <v>128735.62</v>
      </c>
      <c r="S192" s="301">
        <f t="shared" si="10"/>
        <v>128735.62</v>
      </c>
    </row>
    <row r="193" spans="1:19" x14ac:dyDescent="0.25">
      <c r="A193" s="256"/>
      <c r="B193" s="248" t="s">
        <v>131</v>
      </c>
      <c r="C193" s="86" t="s">
        <v>40</v>
      </c>
      <c r="D193" s="86" t="s">
        <v>42</v>
      </c>
      <c r="E193" s="86" t="s">
        <v>133</v>
      </c>
      <c r="F193" s="21">
        <v>15</v>
      </c>
      <c r="G193" s="21"/>
      <c r="H193" s="87"/>
      <c r="I193" s="88"/>
      <c r="J193" s="89"/>
      <c r="K193" s="69">
        <f>1200*15</f>
        <v>18000</v>
      </c>
      <c r="L193" s="70"/>
      <c r="M193" s="69"/>
      <c r="N193" s="70"/>
      <c r="O193" s="69"/>
      <c r="P193" s="70"/>
      <c r="Q193" s="59">
        <f t="shared" si="8"/>
        <v>18000</v>
      </c>
      <c r="R193" s="60">
        <f t="shared" si="9"/>
        <v>0</v>
      </c>
      <c r="S193" s="301">
        <f t="shared" si="10"/>
        <v>18000</v>
      </c>
    </row>
    <row r="194" spans="1:19" x14ac:dyDescent="0.25">
      <c r="A194" s="255" t="s">
        <v>529</v>
      </c>
      <c r="B194" s="231" t="s">
        <v>131</v>
      </c>
      <c r="C194" s="227" t="s">
        <v>530</v>
      </c>
      <c r="D194" s="228"/>
      <c r="E194" s="229"/>
      <c r="F194" s="230"/>
      <c r="G194" s="230"/>
      <c r="H194" s="231"/>
      <c r="I194" s="232"/>
      <c r="J194" s="231"/>
      <c r="K194" s="232"/>
      <c r="L194" s="231"/>
      <c r="M194" s="232"/>
      <c r="N194" s="231"/>
      <c r="O194" s="232"/>
      <c r="P194" s="231"/>
      <c r="Q194" s="303">
        <f t="shared" si="8"/>
        <v>0</v>
      </c>
      <c r="R194" s="304">
        <f t="shared" si="9"/>
        <v>0</v>
      </c>
      <c r="S194" s="305"/>
    </row>
    <row r="195" spans="1:19" x14ac:dyDescent="0.25">
      <c r="A195" s="256"/>
      <c r="B195" s="248" t="s">
        <v>131</v>
      </c>
      <c r="C195" s="86" t="s">
        <v>519</v>
      </c>
      <c r="D195" s="86"/>
      <c r="E195" s="86" t="s">
        <v>134</v>
      </c>
      <c r="F195" s="21"/>
      <c r="G195" s="21"/>
      <c r="H195" s="87"/>
      <c r="I195" s="88"/>
      <c r="J195" s="70">
        <v>45000</v>
      </c>
      <c r="K195" s="69"/>
      <c r="L195" s="70"/>
      <c r="M195" s="69"/>
      <c r="N195" s="70"/>
      <c r="O195" s="69"/>
      <c r="P195" s="70"/>
      <c r="Q195" s="59">
        <f t="shared" si="8"/>
        <v>0</v>
      </c>
      <c r="R195" s="60">
        <f t="shared" si="9"/>
        <v>45000</v>
      </c>
      <c r="S195" s="301">
        <f t="shared" ref="S195" si="12">+Q195+R195</f>
        <v>45000</v>
      </c>
    </row>
    <row r="196" spans="1:19" x14ac:dyDescent="0.25">
      <c r="A196" s="253" t="s">
        <v>544</v>
      </c>
      <c r="B196" s="224" t="s">
        <v>131</v>
      </c>
      <c r="C196" s="221" t="s">
        <v>437</v>
      </c>
      <c r="D196" s="222"/>
      <c r="E196" s="223"/>
      <c r="F196" s="204"/>
      <c r="G196" s="204"/>
      <c r="H196" s="224"/>
      <c r="I196" s="225"/>
      <c r="J196" s="224"/>
      <c r="K196" s="225"/>
      <c r="L196" s="224"/>
      <c r="M196" s="225"/>
      <c r="N196" s="224"/>
      <c r="O196" s="225"/>
      <c r="P196" s="224"/>
      <c r="Q196" s="298">
        <f t="shared" si="8"/>
        <v>0</v>
      </c>
      <c r="R196" s="299">
        <f t="shared" si="9"/>
        <v>0</v>
      </c>
      <c r="S196" s="300"/>
    </row>
    <row r="197" spans="1:19" x14ac:dyDescent="0.25">
      <c r="A197" s="255" t="s">
        <v>545</v>
      </c>
      <c r="B197" s="231" t="s">
        <v>131</v>
      </c>
      <c r="C197" s="227" t="s">
        <v>489</v>
      </c>
      <c r="D197" s="228"/>
      <c r="E197" s="229"/>
      <c r="F197" s="230"/>
      <c r="G197" s="230"/>
      <c r="H197" s="231"/>
      <c r="I197" s="232"/>
      <c r="J197" s="231"/>
      <c r="K197" s="232"/>
      <c r="L197" s="231"/>
      <c r="M197" s="232"/>
      <c r="N197" s="231"/>
      <c r="O197" s="232"/>
      <c r="P197" s="231"/>
      <c r="Q197" s="303">
        <f t="shared" si="8"/>
        <v>0</v>
      </c>
      <c r="R197" s="304">
        <f t="shared" si="9"/>
        <v>0</v>
      </c>
      <c r="S197" s="305"/>
    </row>
    <row r="198" spans="1:19" x14ac:dyDescent="0.25">
      <c r="A198" s="255" t="s">
        <v>546</v>
      </c>
      <c r="B198" s="231" t="s">
        <v>131</v>
      </c>
      <c r="C198" s="227" t="s">
        <v>1</v>
      </c>
      <c r="D198" s="228"/>
      <c r="E198" s="229"/>
      <c r="F198" s="230">
        <v>104</v>
      </c>
      <c r="G198" s="230"/>
      <c r="H198" s="231"/>
      <c r="I198" s="232"/>
      <c r="J198" s="231"/>
      <c r="K198" s="232"/>
      <c r="L198" s="231"/>
      <c r="M198" s="232"/>
      <c r="N198" s="231"/>
      <c r="O198" s="232"/>
      <c r="P198" s="231"/>
      <c r="Q198" s="303">
        <f t="shared" si="8"/>
        <v>0</v>
      </c>
      <c r="R198" s="304">
        <f t="shared" si="9"/>
        <v>0</v>
      </c>
      <c r="S198" s="305"/>
    </row>
    <row r="199" spans="1:19" x14ac:dyDescent="0.25">
      <c r="A199" s="256"/>
      <c r="B199" s="247" t="s">
        <v>131</v>
      </c>
      <c r="C199" s="75" t="s">
        <v>85</v>
      </c>
      <c r="D199" s="75" t="s">
        <v>204</v>
      </c>
      <c r="E199" s="56" t="s">
        <v>132</v>
      </c>
      <c r="F199" s="57">
        <v>4</v>
      </c>
      <c r="G199" s="57"/>
      <c r="H199" s="58"/>
      <c r="I199" s="91"/>
      <c r="J199" s="92">
        <v>42402.880000000005</v>
      </c>
      <c r="K199" s="91"/>
      <c r="L199" s="20">
        <v>53003.600000000006</v>
      </c>
      <c r="M199" s="91"/>
      <c r="N199" s="20">
        <v>66254.5</v>
      </c>
      <c r="O199" s="91"/>
      <c r="P199" s="20"/>
      <c r="Q199" s="59">
        <f t="shared" si="8"/>
        <v>0</v>
      </c>
      <c r="R199" s="60">
        <f t="shared" si="9"/>
        <v>161660.98000000001</v>
      </c>
      <c r="S199" s="301">
        <f>+Q199+R199</f>
        <v>161660.98000000001</v>
      </c>
    </row>
    <row r="200" spans="1:19" ht="30" x14ac:dyDescent="0.25">
      <c r="A200" s="256"/>
      <c r="B200" s="247" t="s">
        <v>131</v>
      </c>
      <c r="C200" s="75" t="s">
        <v>205</v>
      </c>
      <c r="D200" s="75" t="s">
        <v>206</v>
      </c>
      <c r="E200" s="56" t="s">
        <v>132</v>
      </c>
      <c r="F200" s="57">
        <v>100</v>
      </c>
      <c r="G200" s="57"/>
      <c r="H200" s="58">
        <f>728*14</f>
        <v>10192</v>
      </c>
      <c r="I200" s="91"/>
      <c r="J200" s="92">
        <v>515091.20000000001</v>
      </c>
      <c r="K200" s="91"/>
      <c r="L200" s="20">
        <v>989352</v>
      </c>
      <c r="M200" s="91"/>
      <c r="N200" s="20">
        <v>1963000</v>
      </c>
      <c r="O200" s="91"/>
      <c r="P200" s="20"/>
      <c r="Q200" s="59">
        <f t="shared" si="8"/>
        <v>0</v>
      </c>
      <c r="R200" s="60">
        <f t="shared" si="9"/>
        <v>3467443.2</v>
      </c>
      <c r="S200" s="301">
        <f>+Q200+R200</f>
        <v>3467443.2</v>
      </c>
    </row>
    <row r="201" spans="1:19" ht="30" x14ac:dyDescent="0.25">
      <c r="A201" s="256"/>
      <c r="B201" s="247" t="s">
        <v>131</v>
      </c>
      <c r="C201" s="75" t="s">
        <v>74</v>
      </c>
      <c r="D201" s="75" t="s">
        <v>207</v>
      </c>
      <c r="E201" s="56" t="s">
        <v>132</v>
      </c>
      <c r="F201" s="57">
        <v>2</v>
      </c>
      <c r="G201" s="57"/>
      <c r="H201" s="58"/>
      <c r="I201" s="91"/>
      <c r="J201" s="92">
        <v>31410.080000000002</v>
      </c>
      <c r="K201" s="91"/>
      <c r="L201" s="20">
        <v>39262.600000000006</v>
      </c>
      <c r="M201" s="91"/>
      <c r="N201" s="20">
        <v>49078.250000000007</v>
      </c>
      <c r="O201" s="91"/>
      <c r="P201" s="20"/>
      <c r="Q201" s="59">
        <f t="shared" ref="Q201:Q264" si="13">+M201+K201+I201+O201</f>
        <v>0</v>
      </c>
      <c r="R201" s="60">
        <f t="shared" ref="R201:R264" si="14">+N201+L201+J201+P201</f>
        <v>119750.93000000001</v>
      </c>
      <c r="S201" s="301">
        <f>+Q201+R201</f>
        <v>119750.93000000001</v>
      </c>
    </row>
    <row r="202" spans="1:19" ht="30" x14ac:dyDescent="0.25">
      <c r="A202" s="256"/>
      <c r="B202" s="247" t="s">
        <v>131</v>
      </c>
      <c r="C202" s="75" t="s">
        <v>6</v>
      </c>
      <c r="D202" s="75" t="s">
        <v>92</v>
      </c>
      <c r="E202" s="56" t="s">
        <v>215</v>
      </c>
      <c r="F202" s="57">
        <v>6</v>
      </c>
      <c r="G202" s="57"/>
      <c r="H202" s="58"/>
      <c r="I202" s="91"/>
      <c r="J202" s="92">
        <v>13440</v>
      </c>
      <c r="K202" s="91"/>
      <c r="L202" s="20">
        <v>14880</v>
      </c>
      <c r="M202" s="91"/>
      <c r="N202" s="20">
        <v>15648</v>
      </c>
      <c r="O202" s="91"/>
      <c r="P202" s="20"/>
      <c r="Q202" s="59">
        <f t="shared" si="13"/>
        <v>0</v>
      </c>
      <c r="R202" s="60">
        <f t="shared" si="14"/>
        <v>43968</v>
      </c>
      <c r="S202" s="301">
        <f>+Q202+R202</f>
        <v>43968</v>
      </c>
    </row>
    <row r="203" spans="1:19" x14ac:dyDescent="0.25">
      <c r="A203" s="255" t="s">
        <v>547</v>
      </c>
      <c r="B203" s="231" t="s">
        <v>131</v>
      </c>
      <c r="C203" s="227" t="s">
        <v>22</v>
      </c>
      <c r="D203" s="228"/>
      <c r="E203" s="229"/>
      <c r="F203" s="230"/>
      <c r="G203" s="230"/>
      <c r="H203" s="231"/>
      <c r="I203" s="232"/>
      <c r="J203" s="231"/>
      <c r="K203" s="232"/>
      <c r="L203" s="231"/>
      <c r="M203" s="232"/>
      <c r="N203" s="231"/>
      <c r="O203" s="232"/>
      <c r="P203" s="231"/>
      <c r="Q203" s="303">
        <f t="shared" si="13"/>
        <v>0</v>
      </c>
      <c r="R203" s="304">
        <f t="shared" si="14"/>
        <v>0</v>
      </c>
      <c r="S203" s="305"/>
    </row>
    <row r="204" spans="1:19" x14ac:dyDescent="0.25">
      <c r="A204" s="256"/>
      <c r="B204" s="247" t="s">
        <v>131</v>
      </c>
      <c r="C204" s="75" t="s">
        <v>23</v>
      </c>
      <c r="D204" s="75" t="s">
        <v>47</v>
      </c>
      <c r="E204" s="86" t="s">
        <v>133</v>
      </c>
      <c r="F204" s="57"/>
      <c r="G204" s="57"/>
      <c r="H204" s="58"/>
      <c r="I204" s="22">
        <f>24*1072</f>
        <v>25728</v>
      </c>
      <c r="J204" s="92"/>
      <c r="K204" s="91">
        <f>24*1072</f>
        <v>25728</v>
      </c>
      <c r="L204" s="60"/>
      <c r="M204" s="91">
        <f>16*1072</f>
        <v>17152</v>
      </c>
      <c r="N204" s="60"/>
      <c r="O204" s="91"/>
      <c r="P204" s="60"/>
      <c r="Q204" s="59">
        <f t="shared" si="13"/>
        <v>68608</v>
      </c>
      <c r="R204" s="60">
        <f t="shared" si="14"/>
        <v>0</v>
      </c>
      <c r="S204" s="301">
        <f>+Q204+R204</f>
        <v>68608</v>
      </c>
    </row>
    <row r="205" spans="1:19" x14ac:dyDescent="0.25">
      <c r="A205" s="255" t="s">
        <v>548</v>
      </c>
      <c r="B205" s="231" t="s">
        <v>131</v>
      </c>
      <c r="C205" s="227" t="s">
        <v>24</v>
      </c>
      <c r="D205" s="228"/>
      <c r="E205" s="229"/>
      <c r="F205" s="230"/>
      <c r="G205" s="230"/>
      <c r="H205" s="231"/>
      <c r="I205" s="232"/>
      <c r="J205" s="231"/>
      <c r="K205" s="232"/>
      <c r="L205" s="231"/>
      <c r="M205" s="232"/>
      <c r="N205" s="231"/>
      <c r="O205" s="232"/>
      <c r="P205" s="231"/>
      <c r="Q205" s="303">
        <f t="shared" si="13"/>
        <v>0</v>
      </c>
      <c r="R205" s="304">
        <f t="shared" si="14"/>
        <v>0</v>
      </c>
      <c r="S205" s="305"/>
    </row>
    <row r="206" spans="1:19" s="15" customFormat="1" ht="30" x14ac:dyDescent="0.25">
      <c r="A206" s="254"/>
      <c r="B206" s="244" t="s">
        <v>131</v>
      </c>
      <c r="C206" s="18" t="s">
        <v>14</v>
      </c>
      <c r="D206" s="18" t="s">
        <v>89</v>
      </c>
      <c r="E206" s="105" t="s">
        <v>135</v>
      </c>
      <c r="F206" s="100"/>
      <c r="G206" s="100"/>
      <c r="H206" s="99"/>
      <c r="I206" s="22">
        <v>42000</v>
      </c>
      <c r="J206" s="20"/>
      <c r="K206" s="22">
        <v>44000</v>
      </c>
      <c r="L206" s="101"/>
      <c r="M206" s="22">
        <v>49000</v>
      </c>
      <c r="N206" s="101"/>
      <c r="O206" s="22"/>
      <c r="P206" s="101"/>
      <c r="Q206" s="59">
        <f t="shared" si="13"/>
        <v>135000</v>
      </c>
      <c r="R206" s="60">
        <f t="shared" si="14"/>
        <v>0</v>
      </c>
      <c r="S206" s="301">
        <f>+Q206+R206</f>
        <v>135000</v>
      </c>
    </row>
    <row r="207" spans="1:19" s="15" customFormat="1" ht="30" x14ac:dyDescent="0.25">
      <c r="A207" s="254"/>
      <c r="B207" s="244" t="s">
        <v>131</v>
      </c>
      <c r="C207" s="18" t="s">
        <v>11</v>
      </c>
      <c r="D207" s="18" t="s">
        <v>89</v>
      </c>
      <c r="E207" s="105" t="s">
        <v>136</v>
      </c>
      <c r="F207" s="100"/>
      <c r="G207" s="100"/>
      <c r="H207" s="99"/>
      <c r="I207" s="22">
        <f>330*2*56+80*56*2*2</f>
        <v>54880</v>
      </c>
      <c r="J207" s="20"/>
      <c r="K207" s="22">
        <v>74088</v>
      </c>
      <c r="L207" s="99"/>
      <c r="M207" s="22">
        <v>100019</v>
      </c>
      <c r="N207" s="99"/>
      <c r="O207" s="22"/>
      <c r="P207" s="99"/>
      <c r="Q207" s="59">
        <f t="shared" si="13"/>
        <v>228987</v>
      </c>
      <c r="R207" s="60">
        <f t="shared" si="14"/>
        <v>0</v>
      </c>
      <c r="S207" s="301">
        <f>+Q207+R207</f>
        <v>228987</v>
      </c>
    </row>
    <row r="208" spans="1:19" x14ac:dyDescent="0.25">
      <c r="A208" s="255" t="s">
        <v>549</v>
      </c>
      <c r="B208" s="231" t="s">
        <v>131</v>
      </c>
      <c r="C208" s="227" t="s">
        <v>50</v>
      </c>
      <c r="D208" s="228"/>
      <c r="E208" s="229"/>
      <c r="F208" s="230"/>
      <c r="G208" s="230"/>
      <c r="H208" s="231"/>
      <c r="I208" s="232"/>
      <c r="J208" s="231"/>
      <c r="K208" s="232"/>
      <c r="L208" s="231"/>
      <c r="M208" s="232"/>
      <c r="N208" s="231"/>
      <c r="O208" s="232"/>
      <c r="P208" s="231"/>
      <c r="Q208" s="303">
        <f t="shared" si="13"/>
        <v>0</v>
      </c>
      <c r="R208" s="304">
        <f t="shared" si="14"/>
        <v>0</v>
      </c>
      <c r="S208" s="305"/>
    </row>
    <row r="209" spans="1:19" x14ac:dyDescent="0.25">
      <c r="A209" s="255" t="s">
        <v>550</v>
      </c>
      <c r="B209" s="231" t="s">
        <v>131</v>
      </c>
      <c r="C209" s="227" t="s">
        <v>76</v>
      </c>
      <c r="D209" s="228"/>
      <c r="E209" s="229"/>
      <c r="F209" s="230"/>
      <c r="G209" s="230"/>
      <c r="H209" s="231"/>
      <c r="I209" s="232"/>
      <c r="J209" s="231"/>
      <c r="K209" s="232"/>
      <c r="L209" s="231"/>
      <c r="M209" s="232"/>
      <c r="N209" s="231"/>
      <c r="O209" s="232"/>
      <c r="P209" s="231"/>
      <c r="Q209" s="303">
        <f t="shared" si="13"/>
        <v>0</v>
      </c>
      <c r="R209" s="304">
        <f t="shared" si="14"/>
        <v>0</v>
      </c>
      <c r="S209" s="305"/>
    </row>
    <row r="210" spans="1:19" s="15" customFormat="1" ht="30" x14ac:dyDescent="0.25">
      <c r="A210" s="254"/>
      <c r="B210" s="249" t="s">
        <v>131</v>
      </c>
      <c r="C210" s="103" t="s">
        <v>11</v>
      </c>
      <c r="D210" s="103" t="s">
        <v>77</v>
      </c>
      <c r="E210" s="105" t="s">
        <v>136</v>
      </c>
      <c r="F210" s="100"/>
      <c r="G210" s="100"/>
      <c r="H210" s="99"/>
      <c r="I210" s="22">
        <f>2*330*23+2*2*23*80+50*330+2*50*80</f>
        <v>47040</v>
      </c>
      <c r="J210" s="20"/>
      <c r="K210" s="22">
        <v>63504</v>
      </c>
      <c r="L210" s="99"/>
      <c r="M210" s="22">
        <v>92081</v>
      </c>
      <c r="N210" s="99"/>
      <c r="O210" s="22"/>
      <c r="P210" s="99"/>
      <c r="Q210" s="59">
        <f t="shared" si="13"/>
        <v>202625</v>
      </c>
      <c r="R210" s="60">
        <f t="shared" si="14"/>
        <v>0</v>
      </c>
      <c r="S210" s="301">
        <f>+Q210+R210</f>
        <v>202625</v>
      </c>
    </row>
    <row r="211" spans="1:19" s="15" customFormat="1" ht="30" x14ac:dyDescent="0.25">
      <c r="A211" s="254"/>
      <c r="B211" s="249" t="s">
        <v>131</v>
      </c>
      <c r="C211" s="103" t="s">
        <v>9</v>
      </c>
      <c r="D211" s="103" t="s">
        <v>109</v>
      </c>
      <c r="E211" s="86" t="s">
        <v>136</v>
      </c>
      <c r="F211" s="80"/>
      <c r="G211" s="80"/>
      <c r="H211" s="81"/>
      <c r="I211" s="22">
        <f>50*130</f>
        <v>6500</v>
      </c>
      <c r="J211" s="20"/>
      <c r="K211" s="22">
        <v>8775</v>
      </c>
      <c r="L211" s="20"/>
      <c r="M211" s="22">
        <v>12724</v>
      </c>
      <c r="N211" s="20"/>
      <c r="O211" s="22"/>
      <c r="P211" s="20"/>
      <c r="Q211" s="59">
        <f t="shared" si="13"/>
        <v>27999</v>
      </c>
      <c r="R211" s="60">
        <f t="shared" si="14"/>
        <v>0</v>
      </c>
      <c r="S211" s="301">
        <f>+Q211+R211</f>
        <v>27999</v>
      </c>
    </row>
    <row r="212" spans="1:19" x14ac:dyDescent="0.25">
      <c r="A212" s="255" t="s">
        <v>551</v>
      </c>
      <c r="B212" s="231" t="s">
        <v>131</v>
      </c>
      <c r="C212" s="227" t="s">
        <v>22</v>
      </c>
      <c r="D212" s="228"/>
      <c r="E212" s="229"/>
      <c r="F212" s="230"/>
      <c r="G212" s="230"/>
      <c r="H212" s="231"/>
      <c r="I212" s="232"/>
      <c r="J212" s="231"/>
      <c r="K212" s="232"/>
      <c r="L212" s="231"/>
      <c r="M212" s="232"/>
      <c r="N212" s="231"/>
      <c r="O212" s="232"/>
      <c r="P212" s="231"/>
      <c r="Q212" s="303">
        <f t="shared" si="13"/>
        <v>0</v>
      </c>
      <c r="R212" s="304">
        <f t="shared" si="14"/>
        <v>0</v>
      </c>
      <c r="S212" s="305"/>
    </row>
    <row r="213" spans="1:19" s="15" customFormat="1" x14ac:dyDescent="0.25">
      <c r="A213" s="254"/>
      <c r="B213" s="244" t="s">
        <v>131</v>
      </c>
      <c r="C213" s="18" t="s">
        <v>23</v>
      </c>
      <c r="D213" s="18" t="s">
        <v>78</v>
      </c>
      <c r="E213" s="105" t="s">
        <v>133</v>
      </c>
      <c r="F213" s="100"/>
      <c r="G213" s="100"/>
      <c r="H213" s="99"/>
      <c r="I213" s="22">
        <f>21*1400</f>
        <v>29400</v>
      </c>
      <c r="J213" s="20"/>
      <c r="K213" s="22">
        <f>21*1400</f>
        <v>29400</v>
      </c>
      <c r="L213" s="101"/>
      <c r="M213" s="22">
        <f>14*1400</f>
        <v>19600</v>
      </c>
      <c r="N213" s="101"/>
      <c r="O213" s="22"/>
      <c r="P213" s="101"/>
      <c r="Q213" s="59">
        <f t="shared" si="13"/>
        <v>78400</v>
      </c>
      <c r="R213" s="60">
        <f t="shared" si="14"/>
        <v>0</v>
      </c>
      <c r="S213" s="301">
        <f>+Q213+R213</f>
        <v>78400</v>
      </c>
    </row>
    <row r="214" spans="1:19" x14ac:dyDescent="0.25">
      <c r="A214" s="252" t="s">
        <v>430</v>
      </c>
      <c r="B214" s="243" t="s">
        <v>534</v>
      </c>
      <c r="C214" s="216"/>
      <c r="D214" s="217"/>
      <c r="E214" s="217"/>
      <c r="F214" s="217"/>
      <c r="G214" s="217"/>
      <c r="H214" s="217"/>
      <c r="I214" s="218"/>
      <c r="J214" s="219"/>
      <c r="K214" s="218"/>
      <c r="L214" s="219"/>
      <c r="M214" s="218"/>
      <c r="N214" s="219"/>
      <c r="O214" s="218"/>
      <c r="P214" s="219"/>
      <c r="Q214" s="218">
        <f t="shared" si="13"/>
        <v>0</v>
      </c>
      <c r="R214" s="219">
        <f t="shared" si="14"/>
        <v>0</v>
      </c>
      <c r="S214" s="297"/>
    </row>
    <row r="215" spans="1:19" x14ac:dyDescent="0.25">
      <c r="A215" s="253" t="s">
        <v>432</v>
      </c>
      <c r="B215" s="224" t="s">
        <v>131</v>
      </c>
      <c r="C215" s="221" t="s">
        <v>433</v>
      </c>
      <c r="D215" s="222"/>
      <c r="E215" s="223"/>
      <c r="F215" s="204"/>
      <c r="G215" s="204"/>
      <c r="H215" s="224"/>
      <c r="I215" s="225"/>
      <c r="J215" s="224"/>
      <c r="K215" s="225"/>
      <c r="L215" s="224"/>
      <c r="M215" s="225"/>
      <c r="N215" s="224"/>
      <c r="O215" s="225"/>
      <c r="P215" s="224"/>
      <c r="Q215" s="298">
        <f t="shared" si="13"/>
        <v>0</v>
      </c>
      <c r="R215" s="299">
        <f t="shared" si="14"/>
        <v>0</v>
      </c>
      <c r="S215" s="300"/>
    </row>
    <row r="216" spans="1:19" x14ac:dyDescent="0.25">
      <c r="A216" s="255" t="s">
        <v>482</v>
      </c>
      <c r="B216" s="231" t="s">
        <v>131</v>
      </c>
      <c r="C216" s="227" t="s">
        <v>21</v>
      </c>
      <c r="D216" s="228"/>
      <c r="E216" s="229"/>
      <c r="F216" s="230"/>
      <c r="G216" s="230"/>
      <c r="H216" s="231"/>
      <c r="I216" s="232"/>
      <c r="J216" s="231"/>
      <c r="K216" s="232"/>
      <c r="L216" s="231"/>
      <c r="M216" s="232"/>
      <c r="N216" s="231"/>
      <c r="O216" s="232"/>
      <c r="P216" s="231"/>
      <c r="Q216" s="303">
        <f t="shared" si="13"/>
        <v>0</v>
      </c>
      <c r="R216" s="304">
        <f t="shared" si="14"/>
        <v>0</v>
      </c>
      <c r="S216" s="305"/>
    </row>
    <row r="217" spans="1:19" x14ac:dyDescent="0.25">
      <c r="A217" s="256"/>
      <c r="B217" s="247" t="s">
        <v>131</v>
      </c>
      <c r="C217" s="75" t="s">
        <v>35</v>
      </c>
      <c r="D217" s="75" t="s">
        <v>87</v>
      </c>
      <c r="E217" s="56" t="s">
        <v>138</v>
      </c>
      <c r="F217" s="57"/>
      <c r="G217" s="57"/>
      <c r="H217" s="58"/>
      <c r="J217" s="59">
        <v>1852891.6923076923</v>
      </c>
      <c r="L217" s="59">
        <v>2316114.6153846155</v>
      </c>
      <c r="N217" s="59">
        <v>3010949</v>
      </c>
      <c r="P217" s="59"/>
      <c r="Q217" s="59">
        <f t="shared" si="13"/>
        <v>0</v>
      </c>
      <c r="R217" s="60">
        <f t="shared" si="14"/>
        <v>7179955.307692308</v>
      </c>
      <c r="S217" s="301">
        <f t="shared" si="10"/>
        <v>7179955.307692308</v>
      </c>
    </row>
    <row r="218" spans="1:19" ht="30" x14ac:dyDescent="0.25">
      <c r="A218" s="256"/>
      <c r="B218" s="247" t="s">
        <v>131</v>
      </c>
      <c r="C218" s="75" t="s">
        <v>10</v>
      </c>
      <c r="D218" s="75" t="s">
        <v>88</v>
      </c>
      <c r="E218" s="56" t="s">
        <v>135</v>
      </c>
      <c r="F218" s="57"/>
      <c r="G218" s="57"/>
      <c r="H218" s="58"/>
      <c r="I218" s="22">
        <v>80000</v>
      </c>
      <c r="J218" s="60"/>
      <c r="K218" s="59">
        <v>120000</v>
      </c>
      <c r="L218" s="60"/>
      <c r="M218" s="59">
        <v>130000</v>
      </c>
      <c r="N218" s="60"/>
      <c r="O218" s="59"/>
      <c r="P218" s="60"/>
      <c r="Q218" s="59">
        <f t="shared" si="13"/>
        <v>330000</v>
      </c>
      <c r="R218" s="60">
        <f t="shared" si="14"/>
        <v>0</v>
      </c>
      <c r="S218" s="301">
        <f t="shared" si="10"/>
        <v>330000</v>
      </c>
    </row>
    <row r="219" spans="1:19" x14ac:dyDescent="0.25">
      <c r="A219" s="255" t="s">
        <v>483</v>
      </c>
      <c r="B219" s="231" t="s">
        <v>131</v>
      </c>
      <c r="C219" s="227" t="s">
        <v>7</v>
      </c>
      <c r="D219" s="228"/>
      <c r="E219" s="229"/>
      <c r="F219" s="230"/>
      <c r="G219" s="230"/>
      <c r="H219" s="231"/>
      <c r="I219" s="232"/>
      <c r="J219" s="231"/>
      <c r="K219" s="232"/>
      <c r="L219" s="231"/>
      <c r="M219" s="232"/>
      <c r="N219" s="231"/>
      <c r="O219" s="232"/>
      <c r="P219" s="231"/>
      <c r="Q219" s="303">
        <f t="shared" si="13"/>
        <v>0</v>
      </c>
      <c r="R219" s="304">
        <f t="shared" si="14"/>
        <v>0</v>
      </c>
      <c r="S219" s="305"/>
    </row>
    <row r="220" spans="1:19" ht="30" x14ac:dyDescent="0.25">
      <c r="A220" s="256"/>
      <c r="B220" s="247" t="s">
        <v>131</v>
      </c>
      <c r="C220" s="75" t="s">
        <v>11</v>
      </c>
      <c r="D220" s="75" t="s">
        <v>88</v>
      </c>
      <c r="E220" s="56" t="s">
        <v>136</v>
      </c>
      <c r="F220" s="57"/>
      <c r="G220" s="57"/>
      <c r="H220" s="58"/>
      <c r="I220" s="22">
        <v>17640</v>
      </c>
      <c r="J220" s="60"/>
      <c r="K220" s="59">
        <f>+I220*1.35</f>
        <v>23814</v>
      </c>
      <c r="L220" s="60"/>
      <c r="M220" s="59">
        <f>+K220*1.45</f>
        <v>34530.299999999996</v>
      </c>
      <c r="N220" s="60"/>
      <c r="O220" s="59"/>
      <c r="P220" s="60"/>
      <c r="Q220" s="59">
        <f t="shared" si="13"/>
        <v>75984.299999999988</v>
      </c>
      <c r="R220" s="60">
        <f t="shared" si="14"/>
        <v>0</v>
      </c>
      <c r="S220" s="301">
        <f t="shared" si="10"/>
        <v>75984.299999999988</v>
      </c>
    </row>
    <row r="221" spans="1:19" ht="30" x14ac:dyDescent="0.25">
      <c r="A221" s="256"/>
      <c r="B221" s="246" t="s">
        <v>131</v>
      </c>
      <c r="C221" s="56" t="s">
        <v>175</v>
      </c>
      <c r="D221" s="75" t="s">
        <v>88</v>
      </c>
      <c r="E221" s="86" t="s">
        <v>136</v>
      </c>
      <c r="F221" s="57"/>
      <c r="G221" s="57"/>
      <c r="H221" s="58"/>
      <c r="I221" s="22">
        <v>3000</v>
      </c>
      <c r="J221" s="60"/>
      <c r="K221" s="59">
        <f>+I221*1.3</f>
        <v>3900</v>
      </c>
      <c r="L221" s="60"/>
      <c r="M221" s="59">
        <v>5070</v>
      </c>
      <c r="N221" s="60"/>
      <c r="O221" s="59"/>
      <c r="P221" s="60"/>
      <c r="Q221" s="59">
        <f t="shared" si="13"/>
        <v>11970</v>
      </c>
      <c r="R221" s="60">
        <f t="shared" si="14"/>
        <v>0</v>
      </c>
      <c r="S221" s="301">
        <f t="shared" si="10"/>
        <v>11970</v>
      </c>
    </row>
    <row r="222" spans="1:19" x14ac:dyDescent="0.25">
      <c r="A222" s="253" t="s">
        <v>435</v>
      </c>
      <c r="B222" s="224" t="s">
        <v>131</v>
      </c>
      <c r="C222" s="221" t="s">
        <v>434</v>
      </c>
      <c r="D222" s="222"/>
      <c r="E222" s="223"/>
      <c r="F222" s="204"/>
      <c r="G222" s="204"/>
      <c r="H222" s="224"/>
      <c r="I222" s="225"/>
      <c r="J222" s="224"/>
      <c r="K222" s="225"/>
      <c r="L222" s="224"/>
      <c r="M222" s="225"/>
      <c r="N222" s="224"/>
      <c r="O222" s="225"/>
      <c r="P222" s="224"/>
      <c r="Q222" s="298">
        <f t="shared" si="13"/>
        <v>0</v>
      </c>
      <c r="R222" s="299">
        <f t="shared" si="14"/>
        <v>0</v>
      </c>
      <c r="S222" s="300"/>
    </row>
    <row r="223" spans="1:19" x14ac:dyDescent="0.25">
      <c r="A223" s="255" t="s">
        <v>484</v>
      </c>
      <c r="B223" s="231" t="s">
        <v>131</v>
      </c>
      <c r="C223" s="227" t="s">
        <v>1</v>
      </c>
      <c r="D223" s="228"/>
      <c r="E223" s="229"/>
      <c r="F223" s="230"/>
      <c r="G223" s="230"/>
      <c r="H223" s="231"/>
      <c r="I223" s="232"/>
      <c r="J223" s="231"/>
      <c r="K223" s="232"/>
      <c r="L223" s="231"/>
      <c r="M223" s="232"/>
      <c r="N223" s="231"/>
      <c r="O223" s="232"/>
      <c r="P223" s="231"/>
      <c r="Q223" s="303">
        <f t="shared" si="13"/>
        <v>0</v>
      </c>
      <c r="R223" s="304">
        <f t="shared" si="14"/>
        <v>0</v>
      </c>
      <c r="S223" s="305"/>
    </row>
    <row r="224" spans="1:19" ht="30" x14ac:dyDescent="0.25">
      <c r="A224" s="256"/>
      <c r="B224" s="247" t="s">
        <v>131</v>
      </c>
      <c r="C224" s="75" t="s">
        <v>61</v>
      </c>
      <c r="D224" s="75" t="s">
        <v>188</v>
      </c>
      <c r="E224" s="56" t="s">
        <v>132</v>
      </c>
      <c r="F224" s="57">
        <v>1</v>
      </c>
      <c r="G224" s="57"/>
      <c r="H224" s="58"/>
      <c r="I224" s="59"/>
      <c r="J224" s="60">
        <v>15705.04</v>
      </c>
      <c r="K224" s="59"/>
      <c r="L224" s="60">
        <v>19631.300000000003</v>
      </c>
      <c r="M224" s="59"/>
      <c r="N224" s="60">
        <v>24539.125000000004</v>
      </c>
      <c r="O224" s="59"/>
      <c r="P224" s="60"/>
      <c r="Q224" s="59">
        <f t="shared" si="13"/>
        <v>0</v>
      </c>
      <c r="R224" s="60">
        <f t="shared" si="14"/>
        <v>59875.465000000004</v>
      </c>
      <c r="S224" s="301">
        <f t="shared" ref="S224:S268" si="15">+Q224+R224</f>
        <v>59875.465000000004</v>
      </c>
    </row>
    <row r="225" spans="1:19" ht="30" x14ac:dyDescent="0.25">
      <c r="A225" s="256"/>
      <c r="B225" s="247" t="s">
        <v>131</v>
      </c>
      <c r="C225" s="75" t="s">
        <v>199</v>
      </c>
      <c r="D225" s="75" t="s">
        <v>105</v>
      </c>
      <c r="E225" s="56" t="s">
        <v>132</v>
      </c>
      <c r="F225" s="57">
        <v>12</v>
      </c>
      <c r="G225" s="57"/>
      <c r="H225" s="58"/>
      <c r="I225" s="59"/>
      <c r="J225" s="60">
        <v>202600.32000000001</v>
      </c>
      <c r="K225" s="59"/>
      <c r="L225" s="60">
        <v>253250.40000000002</v>
      </c>
      <c r="M225" s="59"/>
      <c r="N225" s="60">
        <v>316563</v>
      </c>
      <c r="O225" s="59"/>
      <c r="P225" s="60"/>
      <c r="Q225" s="59">
        <f t="shared" si="13"/>
        <v>0</v>
      </c>
      <c r="R225" s="60">
        <f t="shared" si="14"/>
        <v>772413.72</v>
      </c>
      <c r="S225" s="301">
        <f t="shared" si="15"/>
        <v>772413.72</v>
      </c>
    </row>
    <row r="226" spans="1:19" ht="30" x14ac:dyDescent="0.25">
      <c r="A226" s="256"/>
      <c r="B226" s="247" t="s">
        <v>131</v>
      </c>
      <c r="C226" s="75" t="s">
        <v>200</v>
      </c>
      <c r="D226" s="75" t="s">
        <v>106</v>
      </c>
      <c r="E226" s="56" t="s">
        <v>132</v>
      </c>
      <c r="F226" s="57">
        <v>8</v>
      </c>
      <c r="G226" s="57"/>
      <c r="H226" s="58"/>
      <c r="I226" s="59"/>
      <c r="J226" s="60">
        <v>84805.760000000009</v>
      </c>
      <c r="K226" s="59"/>
      <c r="L226" s="60">
        <v>106007.20000000001</v>
      </c>
      <c r="M226" s="59"/>
      <c r="N226" s="60">
        <v>132509</v>
      </c>
      <c r="O226" s="59"/>
      <c r="P226" s="60"/>
      <c r="Q226" s="59">
        <f t="shared" si="13"/>
        <v>0</v>
      </c>
      <c r="R226" s="60">
        <f t="shared" si="14"/>
        <v>323321.96000000002</v>
      </c>
      <c r="S226" s="301">
        <f t="shared" si="15"/>
        <v>323321.96000000002</v>
      </c>
    </row>
    <row r="227" spans="1:19" ht="30" x14ac:dyDescent="0.25">
      <c r="A227" s="256"/>
      <c r="B227" s="247" t="s">
        <v>131</v>
      </c>
      <c r="C227" s="75" t="s">
        <v>6</v>
      </c>
      <c r="D227" s="75" t="s">
        <v>92</v>
      </c>
      <c r="E227" s="56" t="s">
        <v>215</v>
      </c>
      <c r="F227" s="57">
        <v>21</v>
      </c>
      <c r="G227" s="57"/>
      <c r="H227" s="58"/>
      <c r="I227" s="59"/>
      <c r="J227" s="60">
        <v>47040</v>
      </c>
      <c r="K227" s="59"/>
      <c r="L227" s="60">
        <v>52080</v>
      </c>
      <c r="M227" s="59"/>
      <c r="N227" s="60">
        <v>54768</v>
      </c>
      <c r="O227" s="59"/>
      <c r="P227" s="60"/>
      <c r="Q227" s="59">
        <f t="shared" si="13"/>
        <v>0</v>
      </c>
      <c r="R227" s="60">
        <f t="shared" si="14"/>
        <v>153888</v>
      </c>
      <c r="S227" s="301">
        <f t="shared" si="15"/>
        <v>153888</v>
      </c>
    </row>
    <row r="228" spans="1:19" x14ac:dyDescent="0.25">
      <c r="A228" s="255" t="s">
        <v>485</v>
      </c>
      <c r="B228" s="231" t="s">
        <v>131</v>
      </c>
      <c r="C228" s="227" t="s">
        <v>5</v>
      </c>
      <c r="D228" s="228"/>
      <c r="E228" s="229"/>
      <c r="F228" s="230"/>
      <c r="G228" s="230"/>
      <c r="H228" s="231"/>
      <c r="I228" s="232"/>
      <c r="J228" s="231"/>
      <c r="K228" s="232"/>
      <c r="L228" s="231"/>
      <c r="M228" s="232"/>
      <c r="N228" s="231"/>
      <c r="O228" s="232"/>
      <c r="P228" s="231"/>
      <c r="Q228" s="303">
        <f t="shared" si="13"/>
        <v>0</v>
      </c>
      <c r="R228" s="304">
        <f t="shared" si="14"/>
        <v>0</v>
      </c>
      <c r="S228" s="305"/>
    </row>
    <row r="229" spans="1:19" ht="60" x14ac:dyDescent="0.25">
      <c r="A229" s="256"/>
      <c r="B229" s="247" t="s">
        <v>131</v>
      </c>
      <c r="C229" s="75" t="s">
        <v>0</v>
      </c>
      <c r="D229" s="75" t="s">
        <v>122</v>
      </c>
      <c r="E229" s="56" t="s">
        <v>139</v>
      </c>
      <c r="F229" s="57"/>
      <c r="G229" s="57"/>
      <c r="H229" s="58"/>
      <c r="I229" s="59">
        <v>0</v>
      </c>
      <c r="J229" s="60"/>
      <c r="K229" s="59">
        <v>0</v>
      </c>
      <c r="L229" s="60"/>
      <c r="M229" s="59">
        <v>0</v>
      </c>
      <c r="N229" s="60"/>
      <c r="O229" s="59"/>
      <c r="P229" s="60"/>
      <c r="Q229" s="59">
        <f t="shared" si="13"/>
        <v>0</v>
      </c>
      <c r="R229" s="60">
        <f t="shared" si="14"/>
        <v>0</v>
      </c>
      <c r="S229" s="301">
        <f t="shared" si="15"/>
        <v>0</v>
      </c>
    </row>
    <row r="230" spans="1:19" ht="30" x14ac:dyDescent="0.25">
      <c r="A230" s="256"/>
      <c r="B230" s="247" t="s">
        <v>131</v>
      </c>
      <c r="C230" s="75" t="s">
        <v>12</v>
      </c>
      <c r="D230" s="75" t="s">
        <v>201</v>
      </c>
      <c r="E230" s="56" t="s">
        <v>138</v>
      </c>
      <c r="F230" s="57"/>
      <c r="G230" s="57"/>
      <c r="H230" s="58"/>
      <c r="I230" s="59"/>
      <c r="J230" s="60"/>
      <c r="K230" s="59"/>
      <c r="L230" s="60"/>
      <c r="M230" s="59"/>
      <c r="N230" s="60"/>
      <c r="O230" s="59"/>
      <c r="P230" s="60"/>
      <c r="Q230" s="59">
        <f t="shared" si="13"/>
        <v>0</v>
      </c>
      <c r="R230" s="60">
        <f t="shared" si="14"/>
        <v>0</v>
      </c>
      <c r="S230" s="301">
        <f t="shared" si="15"/>
        <v>0</v>
      </c>
    </row>
    <row r="231" spans="1:19" x14ac:dyDescent="0.25">
      <c r="A231" s="256"/>
      <c r="B231" s="247" t="s">
        <v>131</v>
      </c>
      <c r="C231" s="75" t="s">
        <v>12</v>
      </c>
      <c r="D231" s="75" t="s">
        <v>202</v>
      </c>
      <c r="E231" s="56" t="s">
        <v>138</v>
      </c>
      <c r="F231" s="57"/>
      <c r="G231" s="57"/>
      <c r="H231" s="58"/>
      <c r="I231" s="59"/>
      <c r="J231" s="60">
        <v>5220</v>
      </c>
      <c r="K231" s="59"/>
      <c r="L231" s="60">
        <v>10440</v>
      </c>
      <c r="M231" s="59"/>
      <c r="N231" s="60">
        <v>13920</v>
      </c>
      <c r="O231" s="59"/>
      <c r="P231" s="60"/>
      <c r="Q231" s="59">
        <f t="shared" si="13"/>
        <v>0</v>
      </c>
      <c r="R231" s="60">
        <f t="shared" si="14"/>
        <v>29580</v>
      </c>
      <c r="S231" s="301">
        <f t="shared" si="15"/>
        <v>29580</v>
      </c>
    </row>
    <row r="232" spans="1:19" x14ac:dyDescent="0.25">
      <c r="A232" s="256"/>
      <c r="B232" s="247" t="s">
        <v>131</v>
      </c>
      <c r="C232" s="75" t="s">
        <v>15</v>
      </c>
      <c r="D232" s="75" t="s">
        <v>72</v>
      </c>
      <c r="E232" s="56" t="s">
        <v>138</v>
      </c>
      <c r="F232" s="57"/>
      <c r="G232" s="57"/>
      <c r="H232" s="58"/>
      <c r="I232" s="59">
        <v>0</v>
      </c>
      <c r="J232" s="60"/>
      <c r="K232" s="59"/>
      <c r="L232" s="60">
        <v>259200</v>
      </c>
      <c r="M232" s="59"/>
      <c r="N232" s="60">
        <v>518400</v>
      </c>
      <c r="O232" s="59"/>
      <c r="P232" s="60"/>
      <c r="Q232" s="59">
        <f t="shared" si="13"/>
        <v>0</v>
      </c>
      <c r="R232" s="60">
        <f t="shared" si="14"/>
        <v>777600</v>
      </c>
      <c r="S232" s="301">
        <f t="shared" si="15"/>
        <v>777600</v>
      </c>
    </row>
    <row r="233" spans="1:19" ht="45" x14ac:dyDescent="0.25">
      <c r="A233" s="256"/>
      <c r="B233" s="247" t="s">
        <v>131</v>
      </c>
      <c r="C233" s="75" t="s">
        <v>13</v>
      </c>
      <c r="D233" s="75" t="s">
        <v>203</v>
      </c>
      <c r="E233" s="56" t="s">
        <v>138</v>
      </c>
      <c r="F233" s="57"/>
      <c r="G233" s="57"/>
      <c r="H233" s="58"/>
      <c r="I233" s="59"/>
      <c r="J233" s="60"/>
      <c r="K233" s="59"/>
      <c r="L233" s="60"/>
      <c r="M233" s="59"/>
      <c r="N233" s="60"/>
      <c r="O233" s="59"/>
      <c r="P233" s="60"/>
      <c r="Q233" s="59">
        <f t="shared" si="13"/>
        <v>0</v>
      </c>
      <c r="R233" s="60">
        <f t="shared" si="14"/>
        <v>0</v>
      </c>
      <c r="S233" s="301">
        <f t="shared" si="15"/>
        <v>0</v>
      </c>
    </row>
    <row r="234" spans="1:19" x14ac:dyDescent="0.25">
      <c r="A234" s="255" t="s">
        <v>486</v>
      </c>
      <c r="B234" s="231" t="s">
        <v>131</v>
      </c>
      <c r="C234" s="227" t="s">
        <v>10</v>
      </c>
      <c r="D234" s="228"/>
      <c r="E234" s="229"/>
      <c r="F234" s="230"/>
      <c r="G234" s="230"/>
      <c r="H234" s="231"/>
      <c r="I234" s="232"/>
      <c r="J234" s="231"/>
      <c r="K234" s="232"/>
      <c r="L234" s="231"/>
      <c r="M234" s="232"/>
      <c r="N234" s="231"/>
      <c r="O234" s="232"/>
      <c r="P234" s="231"/>
      <c r="Q234" s="303">
        <f t="shared" si="13"/>
        <v>0</v>
      </c>
      <c r="R234" s="304">
        <f t="shared" si="14"/>
        <v>0</v>
      </c>
      <c r="S234" s="305"/>
    </row>
    <row r="235" spans="1:19" s="15" customFormat="1" ht="45" x14ac:dyDescent="0.25">
      <c r="A235" s="254"/>
      <c r="B235" s="247" t="s">
        <v>131</v>
      </c>
      <c r="C235" s="75" t="s">
        <v>32</v>
      </c>
      <c r="D235" s="18" t="s">
        <v>33</v>
      </c>
      <c r="E235" s="86" t="s">
        <v>135</v>
      </c>
      <c r="F235" s="94"/>
      <c r="G235" s="94"/>
      <c r="H235" s="95"/>
      <c r="I235" s="69">
        <v>102000</v>
      </c>
      <c r="J235" s="97"/>
      <c r="K235" s="96">
        <v>110000</v>
      </c>
      <c r="L235" s="20"/>
      <c r="M235" s="96">
        <v>120000</v>
      </c>
      <c r="N235" s="20"/>
      <c r="O235" s="96"/>
      <c r="P235" s="20"/>
      <c r="Q235" s="59">
        <f t="shared" si="13"/>
        <v>332000</v>
      </c>
      <c r="R235" s="60">
        <f t="shared" si="14"/>
        <v>0</v>
      </c>
      <c r="S235" s="301">
        <f t="shared" si="15"/>
        <v>332000</v>
      </c>
    </row>
    <row r="236" spans="1:19" x14ac:dyDescent="0.25">
      <c r="A236" s="255" t="s">
        <v>487</v>
      </c>
      <c r="B236" s="231" t="s">
        <v>131</v>
      </c>
      <c r="C236" s="227" t="s">
        <v>7</v>
      </c>
      <c r="D236" s="228"/>
      <c r="E236" s="229"/>
      <c r="F236" s="230"/>
      <c r="G236" s="230"/>
      <c r="H236" s="231"/>
      <c r="I236" s="232"/>
      <c r="J236" s="231"/>
      <c r="K236" s="232"/>
      <c r="L236" s="231"/>
      <c r="M236" s="232"/>
      <c r="N236" s="231"/>
      <c r="O236" s="232"/>
      <c r="P236" s="231"/>
      <c r="Q236" s="303">
        <f t="shared" si="13"/>
        <v>0</v>
      </c>
      <c r="R236" s="304">
        <f t="shared" si="14"/>
        <v>0</v>
      </c>
      <c r="S236" s="305"/>
    </row>
    <row r="237" spans="1:19" ht="30" x14ac:dyDescent="0.25">
      <c r="A237" s="256"/>
      <c r="B237" s="247" t="s">
        <v>131</v>
      </c>
      <c r="C237" s="75" t="s">
        <v>11</v>
      </c>
      <c r="D237" s="75" t="s">
        <v>31</v>
      </c>
      <c r="E237" s="56" t="s">
        <v>136</v>
      </c>
      <c r="F237" s="57"/>
      <c r="G237" s="57"/>
      <c r="H237" s="58"/>
      <c r="I237" s="22">
        <f>330*35*2+80*35*2*2</f>
        <v>34300</v>
      </c>
      <c r="J237" s="92"/>
      <c r="K237" s="91">
        <v>46305</v>
      </c>
      <c r="L237" s="60"/>
      <c r="M237" s="91">
        <v>67142</v>
      </c>
      <c r="N237" s="60"/>
      <c r="O237" s="91"/>
      <c r="P237" s="60"/>
      <c r="Q237" s="59">
        <f t="shared" si="13"/>
        <v>147747</v>
      </c>
      <c r="R237" s="60">
        <f t="shared" si="14"/>
        <v>0</v>
      </c>
      <c r="S237" s="301">
        <f t="shared" si="15"/>
        <v>147747</v>
      </c>
    </row>
    <row r="238" spans="1:19" ht="30" x14ac:dyDescent="0.25">
      <c r="A238" s="256"/>
      <c r="B238" s="247" t="s">
        <v>131</v>
      </c>
      <c r="C238" s="75" t="s">
        <v>54</v>
      </c>
      <c r="D238" s="75" t="s">
        <v>31</v>
      </c>
      <c r="E238" s="56" t="s">
        <v>136</v>
      </c>
      <c r="F238" s="76"/>
      <c r="G238" s="76"/>
      <c r="H238" s="77"/>
      <c r="I238" s="22">
        <f>400*2*15</f>
        <v>12000</v>
      </c>
      <c r="J238" s="92"/>
      <c r="K238" s="91">
        <v>15600</v>
      </c>
      <c r="L238" s="60"/>
      <c r="M238" s="91">
        <v>17940</v>
      </c>
      <c r="N238" s="60"/>
      <c r="O238" s="91"/>
      <c r="P238" s="60"/>
      <c r="Q238" s="59">
        <f t="shared" si="13"/>
        <v>45540</v>
      </c>
      <c r="R238" s="60">
        <f t="shared" si="14"/>
        <v>0</v>
      </c>
      <c r="S238" s="301">
        <f t="shared" si="15"/>
        <v>45540</v>
      </c>
    </row>
    <row r="239" spans="1:19" ht="45" x14ac:dyDescent="0.25">
      <c r="A239" s="256"/>
      <c r="B239" s="247" t="s">
        <v>131</v>
      </c>
      <c r="C239" s="75" t="s">
        <v>9</v>
      </c>
      <c r="D239" s="75" t="s">
        <v>112</v>
      </c>
      <c r="E239" s="56" t="s">
        <v>136</v>
      </c>
      <c r="F239" s="57"/>
      <c r="G239" s="57"/>
      <c r="H239" s="58"/>
      <c r="I239" s="22">
        <f>130*45</f>
        <v>5850</v>
      </c>
      <c r="J239" s="92"/>
      <c r="K239" s="91">
        <v>7898</v>
      </c>
      <c r="L239" s="20"/>
      <c r="M239" s="91">
        <v>11451</v>
      </c>
      <c r="N239" s="20"/>
      <c r="O239" s="91"/>
      <c r="P239" s="20"/>
      <c r="Q239" s="59">
        <f t="shared" si="13"/>
        <v>25199</v>
      </c>
      <c r="R239" s="60">
        <f t="shared" si="14"/>
        <v>0</v>
      </c>
      <c r="S239" s="301">
        <f t="shared" si="15"/>
        <v>25199</v>
      </c>
    </row>
    <row r="240" spans="1:19" ht="30" x14ac:dyDescent="0.25">
      <c r="A240" s="256"/>
      <c r="B240" s="247" t="s">
        <v>131</v>
      </c>
      <c r="C240" s="75" t="s">
        <v>175</v>
      </c>
      <c r="D240" s="75" t="s">
        <v>31</v>
      </c>
      <c r="E240" s="56" t="s">
        <v>136</v>
      </c>
      <c r="F240" s="76"/>
      <c r="G240" s="76"/>
      <c r="H240" s="77"/>
      <c r="I240" s="22">
        <v>3000</v>
      </c>
      <c r="J240" s="92"/>
      <c r="K240" s="91">
        <v>3900</v>
      </c>
      <c r="L240" s="60"/>
      <c r="M240" s="91">
        <v>5070</v>
      </c>
      <c r="N240" s="60"/>
      <c r="O240" s="91"/>
      <c r="P240" s="60"/>
      <c r="Q240" s="59">
        <f t="shared" si="13"/>
        <v>11970</v>
      </c>
      <c r="R240" s="60">
        <f t="shared" si="14"/>
        <v>0</v>
      </c>
      <c r="S240" s="301">
        <f t="shared" si="15"/>
        <v>11970</v>
      </c>
    </row>
    <row r="241" spans="1:19" x14ac:dyDescent="0.25">
      <c r="A241" s="253" t="s">
        <v>436</v>
      </c>
      <c r="B241" s="224" t="s">
        <v>131</v>
      </c>
      <c r="C241" s="221" t="s">
        <v>439</v>
      </c>
      <c r="D241" s="222"/>
      <c r="E241" s="223"/>
      <c r="F241" s="204"/>
      <c r="G241" s="204"/>
      <c r="H241" s="224"/>
      <c r="I241" s="225"/>
      <c r="J241" s="224"/>
      <c r="K241" s="225"/>
      <c r="L241" s="224"/>
      <c r="M241" s="225"/>
      <c r="N241" s="224"/>
      <c r="O241" s="225"/>
      <c r="P241" s="224"/>
      <c r="Q241" s="298">
        <f t="shared" si="13"/>
        <v>0</v>
      </c>
      <c r="R241" s="299">
        <f t="shared" si="14"/>
        <v>0</v>
      </c>
      <c r="S241" s="300"/>
    </row>
    <row r="242" spans="1:19" x14ac:dyDescent="0.25">
      <c r="A242" s="255" t="s">
        <v>488</v>
      </c>
      <c r="B242" s="231" t="s">
        <v>131</v>
      </c>
      <c r="C242" s="227" t="s">
        <v>497</v>
      </c>
      <c r="D242" s="228"/>
      <c r="E242" s="229"/>
      <c r="F242" s="230"/>
      <c r="G242" s="230"/>
      <c r="H242" s="231"/>
      <c r="I242" s="232"/>
      <c r="J242" s="231"/>
      <c r="K242" s="232"/>
      <c r="L242" s="231"/>
      <c r="M242" s="232"/>
      <c r="N242" s="231"/>
      <c r="O242" s="232"/>
      <c r="P242" s="231"/>
      <c r="Q242" s="303">
        <f t="shared" si="13"/>
        <v>0</v>
      </c>
      <c r="R242" s="304">
        <f t="shared" si="14"/>
        <v>0</v>
      </c>
      <c r="S242" s="305"/>
    </row>
    <row r="243" spans="1:19" s="15" customFormat="1" ht="30" x14ac:dyDescent="0.25">
      <c r="A243" s="254"/>
      <c r="B243" s="249" t="s">
        <v>131</v>
      </c>
      <c r="C243" s="103" t="s">
        <v>11</v>
      </c>
      <c r="D243" s="103" t="s">
        <v>80</v>
      </c>
      <c r="E243" s="103" t="s">
        <v>136</v>
      </c>
      <c r="F243" s="21"/>
      <c r="G243" s="21"/>
      <c r="H243" s="104"/>
      <c r="I243" s="22">
        <v>176400</v>
      </c>
      <c r="J243" s="20"/>
      <c r="K243" s="22">
        <v>238140</v>
      </c>
      <c r="L243" s="20"/>
      <c r="M243" s="22">
        <v>345303</v>
      </c>
      <c r="N243" s="20"/>
      <c r="O243" s="22"/>
      <c r="P243" s="20"/>
      <c r="Q243" s="59">
        <f t="shared" si="13"/>
        <v>759843</v>
      </c>
      <c r="R243" s="60">
        <f t="shared" si="14"/>
        <v>0</v>
      </c>
      <c r="S243" s="301">
        <f t="shared" si="15"/>
        <v>759843</v>
      </c>
    </row>
    <row r="244" spans="1:19" s="15" customFormat="1" ht="30" x14ac:dyDescent="0.25">
      <c r="A244" s="254"/>
      <c r="B244" s="249" t="s">
        <v>131</v>
      </c>
      <c r="C244" s="103" t="s">
        <v>14</v>
      </c>
      <c r="D244" s="103" t="s">
        <v>80</v>
      </c>
      <c r="E244" s="205" t="s">
        <v>135</v>
      </c>
      <c r="F244" s="27"/>
      <c r="G244" s="27"/>
      <c r="H244" s="79"/>
      <c r="I244" s="22">
        <v>88000</v>
      </c>
      <c r="J244" s="20"/>
      <c r="K244" s="22">
        <v>114400</v>
      </c>
      <c r="L244" s="20"/>
      <c r="M244" s="22">
        <v>131560</v>
      </c>
      <c r="N244" s="20"/>
      <c r="O244" s="22"/>
      <c r="P244" s="20"/>
      <c r="Q244" s="59">
        <f t="shared" si="13"/>
        <v>333960</v>
      </c>
      <c r="R244" s="60">
        <f t="shared" si="14"/>
        <v>0</v>
      </c>
      <c r="S244" s="301">
        <f t="shared" si="15"/>
        <v>333960</v>
      </c>
    </row>
    <row r="245" spans="1:19" s="15" customFormat="1" ht="45" x14ac:dyDescent="0.25">
      <c r="A245" s="254"/>
      <c r="B245" s="249" t="s">
        <v>131</v>
      </c>
      <c r="C245" s="103" t="s">
        <v>9</v>
      </c>
      <c r="D245" s="103" t="s">
        <v>108</v>
      </c>
      <c r="E245" s="103" t="s">
        <v>136</v>
      </c>
      <c r="F245" s="27"/>
      <c r="G245" s="27"/>
      <c r="H245" s="79"/>
      <c r="I245" s="22">
        <v>16600</v>
      </c>
      <c r="J245" s="20"/>
      <c r="K245" s="22">
        <v>22410</v>
      </c>
      <c r="L245" s="20"/>
      <c r="M245" s="22">
        <v>32495</v>
      </c>
      <c r="N245" s="20"/>
      <c r="O245" s="22"/>
      <c r="P245" s="20"/>
      <c r="Q245" s="59">
        <f t="shared" si="13"/>
        <v>71505</v>
      </c>
      <c r="R245" s="60">
        <f t="shared" si="14"/>
        <v>0</v>
      </c>
      <c r="S245" s="301">
        <f t="shared" si="15"/>
        <v>71505</v>
      </c>
    </row>
    <row r="246" spans="1:19" s="15" customFormat="1" ht="30" x14ac:dyDescent="0.25">
      <c r="A246" s="254"/>
      <c r="B246" s="244" t="s">
        <v>131</v>
      </c>
      <c r="C246" s="18" t="s">
        <v>79</v>
      </c>
      <c r="D246" s="103" t="s">
        <v>80</v>
      </c>
      <c r="E246" s="18" t="s">
        <v>135</v>
      </c>
      <c r="F246" s="80"/>
      <c r="G246" s="80"/>
      <c r="H246" s="81"/>
      <c r="I246" s="22">
        <v>30000</v>
      </c>
      <c r="J246" s="20"/>
      <c r="K246" s="22">
        <v>50000</v>
      </c>
      <c r="L246" s="67"/>
      <c r="M246" s="22"/>
      <c r="N246" s="67"/>
      <c r="O246" s="22"/>
      <c r="P246" s="67"/>
      <c r="Q246" s="59">
        <f t="shared" si="13"/>
        <v>80000</v>
      </c>
      <c r="R246" s="60">
        <f t="shared" si="14"/>
        <v>0</v>
      </c>
      <c r="S246" s="301">
        <f t="shared" si="15"/>
        <v>80000</v>
      </c>
    </row>
    <row r="247" spans="1:19" s="15" customFormat="1" ht="30" x14ac:dyDescent="0.25">
      <c r="A247" s="254"/>
      <c r="B247" s="244" t="s">
        <v>131</v>
      </c>
      <c r="C247" s="18" t="s">
        <v>81</v>
      </c>
      <c r="D247" s="103" t="s">
        <v>208</v>
      </c>
      <c r="E247" s="86" t="s">
        <v>136</v>
      </c>
      <c r="F247" s="27"/>
      <c r="G247" s="27"/>
      <c r="H247" s="28"/>
      <c r="I247" s="22">
        <v>20000</v>
      </c>
      <c r="J247" s="20"/>
      <c r="K247" s="22"/>
      <c r="L247" s="67"/>
      <c r="M247" s="22"/>
      <c r="N247" s="67"/>
      <c r="O247" s="22"/>
      <c r="P247" s="67"/>
      <c r="Q247" s="59">
        <f t="shared" si="13"/>
        <v>20000</v>
      </c>
      <c r="R247" s="60">
        <f t="shared" si="14"/>
        <v>0</v>
      </c>
      <c r="S247" s="301">
        <f t="shared" si="15"/>
        <v>20000</v>
      </c>
    </row>
    <row r="248" spans="1:19" s="15" customFormat="1" ht="30" x14ac:dyDescent="0.25">
      <c r="A248" s="254"/>
      <c r="B248" s="244" t="s">
        <v>131</v>
      </c>
      <c r="C248" s="18" t="s">
        <v>82</v>
      </c>
      <c r="D248" s="103" t="s">
        <v>113</v>
      </c>
      <c r="E248" s="86" t="s">
        <v>132</v>
      </c>
      <c r="F248" s="27">
        <v>2</v>
      </c>
      <c r="G248" s="27"/>
      <c r="H248" s="28"/>
      <c r="I248" s="22"/>
      <c r="J248" s="20">
        <v>33766.720000000001</v>
      </c>
      <c r="K248" s="22"/>
      <c r="L248" s="67">
        <v>42208.4</v>
      </c>
      <c r="M248" s="22"/>
      <c r="N248" s="67">
        <v>52760.5</v>
      </c>
      <c r="O248" s="22"/>
      <c r="P248" s="67"/>
      <c r="Q248" s="59">
        <f t="shared" si="13"/>
        <v>0</v>
      </c>
      <c r="R248" s="60">
        <f t="shared" si="14"/>
        <v>128735.62</v>
      </c>
      <c r="S248" s="301">
        <f t="shared" si="15"/>
        <v>128735.62</v>
      </c>
    </row>
    <row r="249" spans="1:19" s="15" customFormat="1" ht="30" x14ac:dyDescent="0.25">
      <c r="A249" s="254"/>
      <c r="B249" s="244" t="s">
        <v>131</v>
      </c>
      <c r="C249" s="18" t="s">
        <v>83</v>
      </c>
      <c r="D249" s="103" t="s">
        <v>92</v>
      </c>
      <c r="E249" s="86" t="s">
        <v>215</v>
      </c>
      <c r="F249" s="27">
        <v>2</v>
      </c>
      <c r="G249" s="27"/>
      <c r="H249" s="28"/>
      <c r="I249" s="22"/>
      <c r="J249" s="20">
        <v>4480</v>
      </c>
      <c r="K249" s="22"/>
      <c r="L249" s="67">
        <v>4960</v>
      </c>
      <c r="M249" s="22"/>
      <c r="N249" s="67">
        <v>5216</v>
      </c>
      <c r="O249" s="22"/>
      <c r="P249" s="67"/>
      <c r="Q249" s="59">
        <f t="shared" si="13"/>
        <v>0</v>
      </c>
      <c r="R249" s="60">
        <f t="shared" si="14"/>
        <v>14656</v>
      </c>
      <c r="S249" s="301">
        <f t="shared" si="15"/>
        <v>14656</v>
      </c>
    </row>
    <row r="250" spans="1:19" ht="30" x14ac:dyDescent="0.25">
      <c r="A250" s="255" t="s">
        <v>493</v>
      </c>
      <c r="B250" s="231" t="s">
        <v>131</v>
      </c>
      <c r="C250" s="227" t="s">
        <v>216</v>
      </c>
      <c r="D250" s="228"/>
      <c r="E250" s="229"/>
      <c r="F250" s="230"/>
      <c r="G250" s="230"/>
      <c r="H250" s="231"/>
      <c r="I250" s="232"/>
      <c r="J250" s="231"/>
      <c r="K250" s="232"/>
      <c r="L250" s="231"/>
      <c r="M250" s="232"/>
      <c r="N250" s="231"/>
      <c r="O250" s="232"/>
      <c r="P250" s="231"/>
      <c r="Q250" s="303">
        <f t="shared" si="13"/>
        <v>0</v>
      </c>
      <c r="R250" s="304">
        <f t="shared" si="14"/>
        <v>0</v>
      </c>
      <c r="S250" s="305"/>
    </row>
    <row r="251" spans="1:19" s="15" customFormat="1" ht="30" x14ac:dyDescent="0.25">
      <c r="A251" s="254"/>
      <c r="B251" s="244" t="s">
        <v>131</v>
      </c>
      <c r="C251" s="18" t="s">
        <v>94</v>
      </c>
      <c r="D251" s="103" t="s">
        <v>209</v>
      </c>
      <c r="E251" s="86" t="s">
        <v>132</v>
      </c>
      <c r="F251" s="27">
        <v>1</v>
      </c>
      <c r="G251" s="27"/>
      <c r="H251" s="28"/>
      <c r="I251" s="22"/>
      <c r="J251" s="20">
        <v>7000</v>
      </c>
      <c r="K251" s="22"/>
      <c r="L251" s="67">
        <v>6000</v>
      </c>
      <c r="M251" s="22"/>
      <c r="N251" s="67">
        <v>0</v>
      </c>
      <c r="O251" s="22"/>
      <c r="P251" s="67"/>
      <c r="Q251" s="59">
        <f t="shared" si="13"/>
        <v>0</v>
      </c>
      <c r="R251" s="60">
        <f t="shared" si="14"/>
        <v>13000</v>
      </c>
      <c r="S251" s="301">
        <f t="shared" si="15"/>
        <v>13000</v>
      </c>
    </row>
    <row r="252" spans="1:19" x14ac:dyDescent="0.25">
      <c r="A252" s="253" t="s">
        <v>438</v>
      </c>
      <c r="B252" s="224" t="s">
        <v>131</v>
      </c>
      <c r="C252" s="221" t="s">
        <v>441</v>
      </c>
      <c r="D252" s="222"/>
      <c r="E252" s="223"/>
      <c r="F252" s="204">
        <v>1</v>
      </c>
      <c r="G252" s="204"/>
      <c r="H252" s="224"/>
      <c r="I252" s="225"/>
      <c r="J252" s="224"/>
      <c r="K252" s="225"/>
      <c r="L252" s="224"/>
      <c r="M252" s="225"/>
      <c r="N252" s="224"/>
      <c r="O252" s="225"/>
      <c r="P252" s="224"/>
      <c r="Q252" s="298">
        <f t="shared" si="13"/>
        <v>0</v>
      </c>
      <c r="R252" s="299">
        <f t="shared" si="14"/>
        <v>0</v>
      </c>
      <c r="S252" s="300"/>
    </row>
    <row r="253" spans="1:19" x14ac:dyDescent="0.25">
      <c r="A253" s="255" t="s">
        <v>496</v>
      </c>
      <c r="B253" s="231" t="s">
        <v>131</v>
      </c>
      <c r="C253" s="227" t="s">
        <v>1</v>
      </c>
      <c r="D253" s="228"/>
      <c r="E253" s="229"/>
      <c r="F253" s="230">
        <v>1</v>
      </c>
      <c r="G253" s="230"/>
      <c r="H253" s="231"/>
      <c r="I253" s="232"/>
      <c r="J253" s="231"/>
      <c r="K253" s="232"/>
      <c r="L253" s="231"/>
      <c r="M253" s="232"/>
      <c r="N253" s="231"/>
      <c r="O253" s="232"/>
      <c r="P253" s="231"/>
      <c r="Q253" s="303">
        <f t="shared" si="13"/>
        <v>0</v>
      </c>
      <c r="R253" s="304">
        <f t="shared" si="14"/>
        <v>0</v>
      </c>
      <c r="S253" s="305"/>
    </row>
    <row r="254" spans="1:19" s="15" customFormat="1" ht="30" x14ac:dyDescent="0.25">
      <c r="A254" s="254"/>
      <c r="B254" s="244" t="s">
        <v>131</v>
      </c>
      <c r="C254" s="18" t="s">
        <v>210</v>
      </c>
      <c r="D254" s="103" t="s">
        <v>30</v>
      </c>
      <c r="E254" s="86" t="s">
        <v>132</v>
      </c>
      <c r="F254" s="27">
        <v>1</v>
      </c>
      <c r="G254" s="27"/>
      <c r="H254" s="28"/>
      <c r="I254" s="22"/>
      <c r="J254" s="20">
        <v>16883.36</v>
      </c>
      <c r="K254" s="22"/>
      <c r="L254" s="67">
        <v>21104.2</v>
      </c>
      <c r="M254" s="22"/>
      <c r="N254" s="67">
        <v>26380.25</v>
      </c>
      <c r="O254" s="22"/>
      <c r="P254" s="67"/>
      <c r="Q254" s="59">
        <f t="shared" si="13"/>
        <v>0</v>
      </c>
      <c r="R254" s="60">
        <f t="shared" si="14"/>
        <v>64367.81</v>
      </c>
      <c r="S254" s="301">
        <f t="shared" si="15"/>
        <v>64367.81</v>
      </c>
    </row>
    <row r="255" spans="1:19" s="15" customFormat="1" x14ac:dyDescent="0.25">
      <c r="A255" s="254"/>
      <c r="B255" s="244" t="s">
        <v>131</v>
      </c>
      <c r="C255" s="18" t="s">
        <v>211</v>
      </c>
      <c r="D255" s="103" t="s">
        <v>30</v>
      </c>
      <c r="E255" s="86" t="s">
        <v>132</v>
      </c>
      <c r="F255" s="27">
        <v>1</v>
      </c>
      <c r="G255" s="27"/>
      <c r="H255" s="28"/>
      <c r="I255" s="22"/>
      <c r="J255" s="20">
        <v>16883.36</v>
      </c>
      <c r="K255" s="22"/>
      <c r="L255" s="67">
        <v>21104.2</v>
      </c>
      <c r="M255" s="22"/>
      <c r="N255" s="67">
        <v>26380.25</v>
      </c>
      <c r="O255" s="22"/>
      <c r="P255" s="67"/>
      <c r="Q255" s="59">
        <f t="shared" si="13"/>
        <v>0</v>
      </c>
      <c r="R255" s="60">
        <f t="shared" si="14"/>
        <v>64367.81</v>
      </c>
      <c r="S255" s="301">
        <f t="shared" si="15"/>
        <v>64367.81</v>
      </c>
    </row>
    <row r="256" spans="1:19" s="15" customFormat="1" ht="30" x14ac:dyDescent="0.25">
      <c r="A256" s="254"/>
      <c r="B256" s="244" t="s">
        <v>131</v>
      </c>
      <c r="C256" s="18" t="s">
        <v>83</v>
      </c>
      <c r="D256" s="103" t="s">
        <v>92</v>
      </c>
      <c r="E256" s="86" t="s">
        <v>215</v>
      </c>
      <c r="F256" s="27">
        <v>2</v>
      </c>
      <c r="G256" s="27"/>
      <c r="H256" s="28"/>
      <c r="I256" s="22"/>
      <c r="J256" s="20">
        <v>4480</v>
      </c>
      <c r="K256" s="22"/>
      <c r="L256" s="67">
        <v>4960</v>
      </c>
      <c r="M256" s="22"/>
      <c r="N256" s="67">
        <v>5216</v>
      </c>
      <c r="O256" s="22"/>
      <c r="P256" s="67"/>
      <c r="Q256" s="59">
        <f t="shared" si="13"/>
        <v>0</v>
      </c>
      <c r="R256" s="60">
        <f t="shared" si="14"/>
        <v>14656</v>
      </c>
      <c r="S256" s="301">
        <f t="shared" si="15"/>
        <v>14656</v>
      </c>
    </row>
    <row r="257" spans="1:19" x14ac:dyDescent="0.25">
      <c r="A257" s="255" t="s">
        <v>498</v>
      </c>
      <c r="B257" s="231" t="s">
        <v>131</v>
      </c>
      <c r="C257" s="227" t="s">
        <v>27</v>
      </c>
      <c r="D257" s="228"/>
      <c r="E257" s="229"/>
      <c r="F257" s="230">
        <v>4</v>
      </c>
      <c r="G257" s="230"/>
      <c r="H257" s="231"/>
      <c r="I257" s="232"/>
      <c r="J257" s="231"/>
      <c r="K257" s="232"/>
      <c r="L257" s="231"/>
      <c r="M257" s="232"/>
      <c r="N257" s="231"/>
      <c r="O257" s="232"/>
      <c r="P257" s="231"/>
      <c r="Q257" s="303">
        <f t="shared" si="13"/>
        <v>0</v>
      </c>
      <c r="R257" s="304">
        <f t="shared" si="14"/>
        <v>0</v>
      </c>
      <c r="S257" s="305"/>
    </row>
    <row r="258" spans="1:19" s="15" customFormat="1" ht="45" x14ac:dyDescent="0.25">
      <c r="A258" s="254"/>
      <c r="B258" s="244" t="s">
        <v>131</v>
      </c>
      <c r="C258" s="18" t="s">
        <v>212</v>
      </c>
      <c r="D258" s="103" t="s">
        <v>123</v>
      </c>
      <c r="E258" s="86" t="s">
        <v>132</v>
      </c>
      <c r="F258" s="27">
        <v>1</v>
      </c>
      <c r="G258" s="27"/>
      <c r="H258" s="28"/>
      <c r="I258" s="22"/>
      <c r="J258" s="20">
        <v>16883.36</v>
      </c>
      <c r="K258" s="22"/>
      <c r="L258" s="67">
        <v>21104.2</v>
      </c>
      <c r="M258" s="22"/>
      <c r="N258" s="67">
        <v>0</v>
      </c>
      <c r="O258" s="22"/>
      <c r="P258" s="67"/>
      <c r="Q258" s="59">
        <f t="shared" si="13"/>
        <v>0</v>
      </c>
      <c r="R258" s="60">
        <f t="shared" si="14"/>
        <v>37987.56</v>
      </c>
      <c r="S258" s="301">
        <f t="shared" si="15"/>
        <v>37987.56</v>
      </c>
    </row>
    <row r="259" spans="1:19" s="15" customFormat="1" ht="60" x14ac:dyDescent="0.25">
      <c r="A259" s="254"/>
      <c r="B259" s="244" t="s">
        <v>131</v>
      </c>
      <c r="C259" s="18" t="s">
        <v>213</v>
      </c>
      <c r="D259" s="103" t="s">
        <v>118</v>
      </c>
      <c r="E259" s="86" t="s">
        <v>132</v>
      </c>
      <c r="F259" s="27">
        <v>4</v>
      </c>
      <c r="G259" s="27"/>
      <c r="H259" s="28"/>
      <c r="I259" s="22"/>
      <c r="J259" s="20">
        <v>67533.440000000002</v>
      </c>
      <c r="K259" s="22"/>
      <c r="L259" s="67">
        <v>84416.8</v>
      </c>
      <c r="M259" s="22"/>
      <c r="N259" s="67">
        <v>105521</v>
      </c>
      <c r="O259" s="22"/>
      <c r="P259" s="67"/>
      <c r="Q259" s="59">
        <f t="shared" si="13"/>
        <v>0</v>
      </c>
      <c r="R259" s="60">
        <f t="shared" si="14"/>
        <v>257471.24</v>
      </c>
      <c r="S259" s="301">
        <f t="shared" si="15"/>
        <v>257471.24</v>
      </c>
    </row>
    <row r="260" spans="1:19" s="15" customFormat="1" ht="60" x14ac:dyDescent="0.25">
      <c r="A260" s="254"/>
      <c r="B260" s="244" t="s">
        <v>131</v>
      </c>
      <c r="C260" s="18" t="s">
        <v>214</v>
      </c>
      <c r="D260" s="103" t="s">
        <v>117</v>
      </c>
      <c r="E260" s="86" t="s">
        <v>132</v>
      </c>
      <c r="F260" s="27">
        <v>4</v>
      </c>
      <c r="G260" s="27"/>
      <c r="H260" s="28"/>
      <c r="I260" s="22"/>
      <c r="J260" s="20">
        <v>67533.440000000002</v>
      </c>
      <c r="K260" s="22"/>
      <c r="L260" s="67">
        <v>84416.8</v>
      </c>
      <c r="M260" s="22"/>
      <c r="N260" s="67">
        <v>105521</v>
      </c>
      <c r="O260" s="22"/>
      <c r="P260" s="67"/>
      <c r="Q260" s="59">
        <f t="shared" si="13"/>
        <v>0</v>
      </c>
      <c r="R260" s="60">
        <f t="shared" si="14"/>
        <v>257471.24</v>
      </c>
      <c r="S260" s="301">
        <f t="shared" si="15"/>
        <v>257471.24</v>
      </c>
    </row>
    <row r="261" spans="1:19" s="15" customFormat="1" ht="30" x14ac:dyDescent="0.25">
      <c r="A261" s="254"/>
      <c r="B261" s="244" t="s">
        <v>131</v>
      </c>
      <c r="C261" s="18" t="s">
        <v>83</v>
      </c>
      <c r="D261" s="103" t="s">
        <v>92</v>
      </c>
      <c r="E261" s="86" t="s">
        <v>215</v>
      </c>
      <c r="F261" s="27">
        <v>8</v>
      </c>
      <c r="G261" s="27"/>
      <c r="H261" s="28"/>
      <c r="I261" s="22"/>
      <c r="J261" s="20">
        <v>17920</v>
      </c>
      <c r="K261" s="22"/>
      <c r="L261" s="67">
        <v>19840</v>
      </c>
      <c r="M261" s="22"/>
      <c r="N261" s="67">
        <v>20864</v>
      </c>
      <c r="O261" s="22"/>
      <c r="P261" s="67"/>
      <c r="Q261" s="59">
        <f t="shared" si="13"/>
        <v>0</v>
      </c>
      <c r="R261" s="60">
        <f t="shared" si="14"/>
        <v>58624</v>
      </c>
      <c r="S261" s="301">
        <f t="shared" si="15"/>
        <v>58624</v>
      </c>
    </row>
    <row r="262" spans="1:19" x14ac:dyDescent="0.25">
      <c r="A262" s="255" t="s">
        <v>541</v>
      </c>
      <c r="B262" s="231" t="s">
        <v>131</v>
      </c>
      <c r="C262" s="227" t="s">
        <v>22</v>
      </c>
      <c r="D262" s="228"/>
      <c r="E262" s="229"/>
      <c r="F262" s="230"/>
      <c r="G262" s="230"/>
      <c r="H262" s="231"/>
      <c r="I262" s="232"/>
      <c r="J262" s="231"/>
      <c r="K262" s="232"/>
      <c r="L262" s="231"/>
      <c r="M262" s="232"/>
      <c r="N262" s="231"/>
      <c r="O262" s="232"/>
      <c r="P262" s="231"/>
      <c r="Q262" s="303">
        <f t="shared" si="13"/>
        <v>0</v>
      </c>
      <c r="R262" s="304">
        <f t="shared" si="14"/>
        <v>0</v>
      </c>
      <c r="S262" s="305"/>
    </row>
    <row r="263" spans="1:19" ht="30" x14ac:dyDescent="0.25">
      <c r="A263" s="256"/>
      <c r="B263" s="250" t="s">
        <v>131</v>
      </c>
      <c r="C263" s="75" t="s">
        <v>115</v>
      </c>
      <c r="D263" s="75" t="s">
        <v>116</v>
      </c>
      <c r="E263" s="75" t="s">
        <v>133</v>
      </c>
      <c r="F263" s="76"/>
      <c r="G263" s="76"/>
      <c r="H263" s="77"/>
      <c r="I263" s="22">
        <f>1200*6</f>
        <v>7200</v>
      </c>
      <c r="J263" s="92"/>
      <c r="K263" s="91">
        <v>0</v>
      </c>
      <c r="L263" s="20"/>
      <c r="M263" s="91">
        <v>0</v>
      </c>
      <c r="N263" s="20"/>
      <c r="O263" s="91"/>
      <c r="P263" s="20"/>
      <c r="Q263" s="59">
        <f t="shared" si="13"/>
        <v>7200</v>
      </c>
      <c r="R263" s="60">
        <f t="shared" si="14"/>
        <v>0</v>
      </c>
      <c r="S263" s="301">
        <f t="shared" si="15"/>
        <v>7200</v>
      </c>
    </row>
    <row r="264" spans="1:19" x14ac:dyDescent="0.25">
      <c r="A264" s="255" t="s">
        <v>542</v>
      </c>
      <c r="B264" s="231" t="s">
        <v>131</v>
      </c>
      <c r="C264" s="227" t="s">
        <v>7</v>
      </c>
      <c r="D264" s="228"/>
      <c r="E264" s="229"/>
      <c r="F264" s="230"/>
      <c r="G264" s="230"/>
      <c r="H264" s="231"/>
      <c r="I264" s="232"/>
      <c r="J264" s="231"/>
      <c r="K264" s="232"/>
      <c r="L264" s="231"/>
      <c r="M264" s="232"/>
      <c r="N264" s="231"/>
      <c r="O264" s="232"/>
      <c r="P264" s="231"/>
      <c r="Q264" s="303">
        <f t="shared" si="13"/>
        <v>0</v>
      </c>
      <c r="R264" s="304">
        <f t="shared" si="14"/>
        <v>0</v>
      </c>
      <c r="S264" s="305"/>
    </row>
    <row r="265" spans="1:19" s="15" customFormat="1" ht="60" x14ac:dyDescent="0.25">
      <c r="A265" s="254"/>
      <c r="B265" s="244" t="s">
        <v>131</v>
      </c>
      <c r="C265" s="18" t="s">
        <v>11</v>
      </c>
      <c r="D265" s="18" t="s">
        <v>114</v>
      </c>
      <c r="E265" s="18" t="s">
        <v>136</v>
      </c>
      <c r="F265" s="19"/>
      <c r="G265" s="19"/>
      <c r="H265" s="26"/>
      <c r="I265" s="22">
        <f>330*2*35+80*35*2*2</f>
        <v>34300</v>
      </c>
      <c r="J265" s="20"/>
      <c r="K265" s="22">
        <v>46305</v>
      </c>
      <c r="L265" s="99"/>
      <c r="M265" s="22">
        <v>67142</v>
      </c>
      <c r="N265" s="99"/>
      <c r="O265" s="22"/>
      <c r="P265" s="99"/>
      <c r="Q265" s="59">
        <f t="shared" ref="Q265:Q278" si="16">+M265+K265+I265+O265</f>
        <v>147747</v>
      </c>
      <c r="R265" s="60">
        <f t="shared" ref="R265:R278" si="17">+N265+L265+J265+P265</f>
        <v>0</v>
      </c>
      <c r="S265" s="301">
        <f t="shared" si="15"/>
        <v>147747</v>
      </c>
    </row>
    <row r="266" spans="1:19" ht="45" x14ac:dyDescent="0.25">
      <c r="A266" s="256"/>
      <c r="B266" s="247" t="s">
        <v>131</v>
      </c>
      <c r="C266" s="75" t="s">
        <v>9</v>
      </c>
      <c r="D266" s="75" t="s">
        <v>107</v>
      </c>
      <c r="E266" s="75" t="s">
        <v>136</v>
      </c>
      <c r="F266" s="57"/>
      <c r="G266" s="57"/>
      <c r="H266" s="58"/>
      <c r="I266" s="22">
        <f>130*30</f>
        <v>3900</v>
      </c>
      <c r="J266" s="92"/>
      <c r="K266" s="91">
        <v>5265</v>
      </c>
      <c r="L266" s="20"/>
      <c r="M266" s="91">
        <v>7634</v>
      </c>
      <c r="N266" s="20"/>
      <c r="O266" s="91"/>
      <c r="P266" s="20"/>
      <c r="Q266" s="59">
        <f t="shared" si="16"/>
        <v>16799</v>
      </c>
      <c r="R266" s="60">
        <f t="shared" si="17"/>
        <v>0</v>
      </c>
      <c r="S266" s="301">
        <f t="shared" si="15"/>
        <v>16799</v>
      </c>
    </row>
    <row r="267" spans="1:19" x14ac:dyDescent="0.25">
      <c r="A267" s="255" t="s">
        <v>543</v>
      </c>
      <c r="B267" s="231" t="s">
        <v>131</v>
      </c>
      <c r="C267" s="227" t="s">
        <v>10</v>
      </c>
      <c r="D267" s="228"/>
      <c r="E267" s="229"/>
      <c r="F267" s="230"/>
      <c r="G267" s="230"/>
      <c r="H267" s="231"/>
      <c r="I267" s="232"/>
      <c r="J267" s="231"/>
      <c r="K267" s="232"/>
      <c r="L267" s="231"/>
      <c r="M267" s="232"/>
      <c r="N267" s="231"/>
      <c r="O267" s="232"/>
      <c r="P267" s="231"/>
      <c r="Q267" s="303">
        <f t="shared" si="16"/>
        <v>0</v>
      </c>
      <c r="R267" s="304">
        <f t="shared" si="17"/>
        <v>0</v>
      </c>
      <c r="S267" s="305"/>
    </row>
    <row r="268" spans="1:19" x14ac:dyDescent="0.25">
      <c r="A268" s="256"/>
      <c r="B268" s="247" t="s">
        <v>131</v>
      </c>
      <c r="C268" s="75" t="s">
        <v>75</v>
      </c>
      <c r="D268" s="75"/>
      <c r="E268" s="105" t="s">
        <v>135</v>
      </c>
      <c r="F268" s="57"/>
      <c r="G268" s="57"/>
      <c r="H268" s="58"/>
      <c r="I268" s="22">
        <v>20000</v>
      </c>
      <c r="J268" s="92"/>
      <c r="K268" s="91">
        <v>23000</v>
      </c>
      <c r="L268" s="20"/>
      <c r="M268" s="91">
        <v>26000</v>
      </c>
      <c r="N268" s="20"/>
      <c r="O268" s="91"/>
      <c r="P268" s="20"/>
      <c r="Q268" s="59">
        <f t="shared" si="16"/>
        <v>69000</v>
      </c>
      <c r="R268" s="60">
        <f t="shared" si="17"/>
        <v>0</v>
      </c>
      <c r="S268" s="301">
        <f t="shared" si="15"/>
        <v>69000</v>
      </c>
    </row>
    <row r="269" spans="1:19" x14ac:dyDescent="0.25">
      <c r="A269" s="253" t="s">
        <v>440</v>
      </c>
      <c r="B269" s="224" t="s">
        <v>131</v>
      </c>
      <c r="C269" s="221" t="s">
        <v>518</v>
      </c>
      <c r="D269" s="222"/>
      <c r="E269" s="223"/>
      <c r="F269" s="204"/>
      <c r="G269" s="204"/>
      <c r="H269" s="224"/>
      <c r="I269" s="225"/>
      <c r="J269" s="224"/>
      <c r="K269" s="225"/>
      <c r="L269" s="224"/>
      <c r="M269" s="225"/>
      <c r="N269" s="224"/>
      <c r="O269" s="225"/>
      <c r="P269" s="224"/>
      <c r="Q269" s="298">
        <f t="shared" si="16"/>
        <v>0</v>
      </c>
      <c r="R269" s="299">
        <f t="shared" si="17"/>
        <v>0</v>
      </c>
      <c r="S269" s="300"/>
    </row>
    <row r="270" spans="1:19" ht="30" x14ac:dyDescent="0.25">
      <c r="A270" s="256"/>
      <c r="B270" s="247" t="s">
        <v>131</v>
      </c>
      <c r="C270" s="75" t="s">
        <v>520</v>
      </c>
      <c r="D270" s="75"/>
      <c r="E270" s="18" t="s">
        <v>540</v>
      </c>
      <c r="F270" s="57"/>
      <c r="G270" s="57"/>
      <c r="H270" s="58"/>
      <c r="I270" s="91"/>
      <c r="J270" s="92">
        <v>45000</v>
      </c>
      <c r="K270" s="91"/>
      <c r="L270" s="20"/>
      <c r="M270" s="91"/>
      <c r="N270" s="20"/>
      <c r="O270" s="91"/>
      <c r="P270" s="20"/>
      <c r="Q270" s="59">
        <f t="shared" si="16"/>
        <v>0</v>
      </c>
      <c r="R270" s="60">
        <f t="shared" si="17"/>
        <v>45000</v>
      </c>
      <c r="S270" s="301">
        <f t="shared" ref="S270" si="18">+Q270+R270</f>
        <v>45000</v>
      </c>
    </row>
    <row r="271" spans="1:19" x14ac:dyDescent="0.25">
      <c r="A271" s="251">
        <v>3</v>
      </c>
      <c r="B271" s="242" t="s">
        <v>363</v>
      </c>
      <c r="C271" s="211"/>
      <c r="D271" s="212"/>
      <c r="E271" s="212"/>
      <c r="F271" s="212"/>
      <c r="G271" s="212"/>
      <c r="H271" s="212"/>
      <c r="I271" s="213"/>
      <c r="J271" s="214"/>
      <c r="K271" s="213"/>
      <c r="L271" s="214"/>
      <c r="M271" s="213"/>
      <c r="N271" s="214"/>
      <c r="O271" s="213"/>
      <c r="P271" s="214"/>
      <c r="Q271" s="213">
        <f t="shared" si="16"/>
        <v>0</v>
      </c>
      <c r="R271" s="214">
        <f t="shared" si="17"/>
        <v>0</v>
      </c>
      <c r="S271" s="296"/>
    </row>
    <row r="272" spans="1:19" s="15" customFormat="1" x14ac:dyDescent="0.25">
      <c r="A272" s="254"/>
      <c r="B272" s="244" t="s">
        <v>364</v>
      </c>
      <c r="C272" s="18" t="s">
        <v>365</v>
      </c>
      <c r="D272" s="103" t="s">
        <v>248</v>
      </c>
      <c r="E272" s="18" t="s">
        <v>540</v>
      </c>
      <c r="F272" s="27"/>
      <c r="G272" s="27"/>
      <c r="H272" s="28"/>
      <c r="I272" s="22">
        <v>0</v>
      </c>
      <c r="J272" s="20">
        <v>0</v>
      </c>
      <c r="K272" s="22">
        <v>247470</v>
      </c>
      <c r="L272" s="67">
        <v>0</v>
      </c>
      <c r="M272" s="22">
        <v>247470</v>
      </c>
      <c r="N272" s="67">
        <v>0</v>
      </c>
      <c r="O272" s="22">
        <v>247470</v>
      </c>
      <c r="P272" s="67"/>
      <c r="Q272" s="22">
        <f t="shared" si="16"/>
        <v>742410</v>
      </c>
      <c r="R272" s="20">
        <f t="shared" si="17"/>
        <v>0</v>
      </c>
      <c r="S272" s="302">
        <f t="shared" ref="S272:S277" si="19">+Q272+R272</f>
        <v>742410</v>
      </c>
    </row>
    <row r="273" spans="1:19" s="15" customFormat="1" x14ac:dyDescent="0.25">
      <c r="A273" s="254"/>
      <c r="B273" s="244" t="s">
        <v>364</v>
      </c>
      <c r="C273" s="18" t="s">
        <v>366</v>
      </c>
      <c r="D273" s="103" t="s">
        <v>380</v>
      </c>
      <c r="E273" s="86" t="s">
        <v>380</v>
      </c>
      <c r="F273" s="27"/>
      <c r="G273" s="27"/>
      <c r="H273" s="28"/>
      <c r="I273" s="22">
        <f>(2333414*1.3)/15</f>
        <v>202229.21333333335</v>
      </c>
      <c r="J273" s="20">
        <v>0</v>
      </c>
      <c r="K273" s="22">
        <f>+I273*1.25</f>
        <v>252786.51666666669</v>
      </c>
      <c r="L273" s="67">
        <v>0</v>
      </c>
      <c r="M273" s="22">
        <f>+K273*1.25+2</f>
        <v>315985.14583333337</v>
      </c>
      <c r="N273" s="67">
        <v>0</v>
      </c>
      <c r="O273" s="22"/>
      <c r="P273" s="67"/>
      <c r="Q273" s="59">
        <f t="shared" si="16"/>
        <v>771000.87583333347</v>
      </c>
      <c r="R273" s="60">
        <f t="shared" si="17"/>
        <v>0</v>
      </c>
      <c r="S273" s="301">
        <f t="shared" si="19"/>
        <v>771000.87583333347</v>
      </c>
    </row>
    <row r="274" spans="1:19" s="15" customFormat="1" x14ac:dyDescent="0.25">
      <c r="A274" s="254"/>
      <c r="B274" s="244" t="s">
        <v>364</v>
      </c>
      <c r="C274" s="18" t="s">
        <v>367</v>
      </c>
      <c r="D274" s="103" t="s">
        <v>380</v>
      </c>
      <c r="E274" s="86" t="s">
        <v>380</v>
      </c>
      <c r="F274" s="27"/>
      <c r="G274" s="27"/>
      <c r="H274" s="28"/>
      <c r="I274" s="22">
        <v>51671.200500439852</v>
      </c>
      <c r="J274" s="20">
        <v>8000</v>
      </c>
      <c r="K274" s="22">
        <v>98328.799499560148</v>
      </c>
      <c r="L274" s="67">
        <v>12000</v>
      </c>
      <c r="M274" s="22">
        <v>90000</v>
      </c>
      <c r="N274" s="67">
        <v>15000</v>
      </c>
      <c r="O274" s="22"/>
      <c r="P274" s="67">
        <f>15000+27516</f>
        <v>42516</v>
      </c>
      <c r="Q274" s="59">
        <f t="shared" si="16"/>
        <v>240000</v>
      </c>
      <c r="R274" s="60">
        <f t="shared" si="17"/>
        <v>77516</v>
      </c>
      <c r="S274" s="301">
        <f t="shared" si="19"/>
        <v>317516</v>
      </c>
    </row>
    <row r="275" spans="1:19" s="15" customFormat="1" x14ac:dyDescent="0.25">
      <c r="A275" s="254"/>
      <c r="B275" s="244" t="s">
        <v>364</v>
      </c>
      <c r="C275" s="18" t="s">
        <v>368</v>
      </c>
      <c r="D275" s="103" t="s">
        <v>380</v>
      </c>
      <c r="E275" s="86" t="s">
        <v>380</v>
      </c>
      <c r="F275" s="27"/>
      <c r="G275" s="27"/>
      <c r="H275" s="28"/>
      <c r="I275" s="22">
        <v>0</v>
      </c>
      <c r="J275" s="20">
        <v>35000</v>
      </c>
      <c r="K275" s="22">
        <v>0</v>
      </c>
      <c r="L275" s="67">
        <v>38000</v>
      </c>
      <c r="M275" s="22">
        <v>0</v>
      </c>
      <c r="N275" s="67">
        <v>50000</v>
      </c>
      <c r="O275" s="22"/>
      <c r="P275" s="67">
        <v>50000</v>
      </c>
      <c r="Q275" s="59">
        <f t="shared" si="16"/>
        <v>0</v>
      </c>
      <c r="R275" s="60">
        <f t="shared" si="17"/>
        <v>173000</v>
      </c>
      <c r="S275" s="301">
        <f t="shared" si="19"/>
        <v>173000</v>
      </c>
    </row>
    <row r="276" spans="1:19" s="15" customFormat="1" x14ac:dyDescent="0.25">
      <c r="A276" s="254"/>
      <c r="B276" s="244" t="s">
        <v>364</v>
      </c>
      <c r="C276" s="18" t="s">
        <v>382</v>
      </c>
      <c r="D276" s="103" t="s">
        <v>310</v>
      </c>
      <c r="E276" s="86" t="s">
        <v>310</v>
      </c>
      <c r="F276" s="27">
        <v>70</v>
      </c>
      <c r="G276" s="27"/>
      <c r="H276" s="28"/>
      <c r="I276" s="22">
        <v>0</v>
      </c>
      <c r="J276" s="20">
        <v>0</v>
      </c>
      <c r="K276" s="22">
        <v>0</v>
      </c>
      <c r="L276" s="67">
        <v>0</v>
      </c>
      <c r="M276" s="22">
        <v>0</v>
      </c>
      <c r="N276" s="67">
        <v>0</v>
      </c>
      <c r="O276" s="22">
        <f>(800*1.05+174*1.21)*1.4*70</f>
        <v>102952.91999999998</v>
      </c>
      <c r="P276" s="67"/>
      <c r="Q276" s="22">
        <f t="shared" si="16"/>
        <v>102952.91999999998</v>
      </c>
      <c r="R276" s="20">
        <f t="shared" si="17"/>
        <v>0</v>
      </c>
      <c r="S276" s="302">
        <f t="shared" si="19"/>
        <v>102952.91999999998</v>
      </c>
    </row>
    <row r="277" spans="1:19" s="15" customFormat="1" x14ac:dyDescent="0.25">
      <c r="A277" s="254"/>
      <c r="B277" s="257" t="s">
        <v>364</v>
      </c>
      <c r="C277" s="258" t="s">
        <v>380</v>
      </c>
      <c r="D277" s="259" t="s">
        <v>380</v>
      </c>
      <c r="E277" s="260" t="s">
        <v>380</v>
      </c>
      <c r="F277" s="261"/>
      <c r="G277" s="261"/>
      <c r="H277" s="262"/>
      <c r="I277" s="263"/>
      <c r="J277" s="264">
        <v>763800</v>
      </c>
      <c r="K277" s="263"/>
      <c r="L277" s="266">
        <v>693388</v>
      </c>
      <c r="M277" s="263"/>
      <c r="N277" s="266">
        <v>532432</v>
      </c>
      <c r="O277" s="263"/>
      <c r="P277" s="266">
        <v>532432</v>
      </c>
      <c r="Q277" s="268">
        <f t="shared" si="16"/>
        <v>0</v>
      </c>
      <c r="R277" s="269">
        <f t="shared" si="17"/>
        <v>2522052</v>
      </c>
      <c r="S277" s="308">
        <f t="shared" si="19"/>
        <v>2522052</v>
      </c>
    </row>
    <row r="278" spans="1:19" ht="15.75" thickBot="1" x14ac:dyDescent="0.3">
      <c r="A278" s="251">
        <v>4</v>
      </c>
      <c r="B278" s="242" t="s">
        <v>532</v>
      </c>
      <c r="C278" s="211"/>
      <c r="D278" s="212"/>
      <c r="E278" s="212"/>
      <c r="F278" s="212"/>
      <c r="G278" s="212"/>
      <c r="H278" s="212"/>
      <c r="I278" s="213"/>
      <c r="J278" s="214"/>
      <c r="K278" s="213"/>
      <c r="L278" s="214"/>
      <c r="M278" s="213"/>
      <c r="N278" s="214"/>
      <c r="O278" s="213"/>
      <c r="P278" s="214">
        <v>2000000</v>
      </c>
      <c r="Q278" s="213">
        <f t="shared" si="16"/>
        <v>0</v>
      </c>
      <c r="R278" s="214">
        <f t="shared" si="17"/>
        <v>2000000</v>
      </c>
      <c r="S278" s="296">
        <f>+R278</f>
        <v>2000000</v>
      </c>
    </row>
    <row r="279" spans="1:19" s="115" customFormat="1" ht="15.75" thickBot="1" x14ac:dyDescent="0.3">
      <c r="A279" s="135" t="s">
        <v>352</v>
      </c>
      <c r="B279" s="136"/>
      <c r="C279" s="150"/>
      <c r="D279" s="150"/>
      <c r="E279" s="150"/>
      <c r="F279" s="136"/>
      <c r="G279" s="137"/>
      <c r="H279" s="137"/>
      <c r="I279" s="285">
        <f>SUM(I8:I277)</f>
        <v>15000000</v>
      </c>
      <c r="J279" s="286">
        <f t="shared" ref="J279:Q279" si="20">SUM(J8:J277)</f>
        <v>11950511.16643535</v>
      </c>
      <c r="K279" s="285">
        <f t="shared" si="20"/>
        <v>14751524.354460567</v>
      </c>
      <c r="L279" s="286">
        <f t="shared" si="20"/>
        <v>15438008.520065468</v>
      </c>
      <c r="M279" s="285">
        <f t="shared" si="20"/>
        <v>20000000</v>
      </c>
      <c r="N279" s="286">
        <f t="shared" si="20"/>
        <v>22704456.944011129</v>
      </c>
      <c r="O279" s="285">
        <f t="shared" si="20"/>
        <v>50248475.318434343</v>
      </c>
      <c r="P279" s="286">
        <f t="shared" si="20"/>
        <v>13907023.277836172</v>
      </c>
      <c r="Q279" s="309">
        <f t="shared" si="20"/>
        <v>99999999.67289491</v>
      </c>
      <c r="R279" s="310">
        <f>SUM(R8:R278)</f>
        <v>65999999.908348173</v>
      </c>
      <c r="S279" s="311">
        <f>SUM(S8:S278)</f>
        <v>165999999.58124307</v>
      </c>
    </row>
    <row r="281" spans="1:19" x14ac:dyDescent="0.25">
      <c r="A281" s="287"/>
      <c r="I281" s="172"/>
      <c r="J281" s="172"/>
      <c r="K281" s="172"/>
      <c r="M281" s="200"/>
    </row>
    <row r="282" spans="1:19" x14ac:dyDescent="0.25">
      <c r="I282" s="172"/>
    </row>
    <row r="283" spans="1:19" x14ac:dyDescent="0.25">
      <c r="I283" s="172"/>
      <c r="K283" s="172"/>
      <c r="M283" s="172"/>
    </row>
    <row r="284" spans="1:19" x14ac:dyDescent="0.25">
      <c r="M284" s="172"/>
      <c r="O284" s="172"/>
    </row>
    <row r="286" spans="1:19" ht="12.75" customHeight="1" x14ac:dyDescent="0.25">
      <c r="M286" s="172"/>
    </row>
    <row r="287" spans="1:19" x14ac:dyDescent="0.25">
      <c r="M287" s="317"/>
      <c r="O287" s="172"/>
    </row>
    <row r="288" spans="1:19" x14ac:dyDescent="0.25">
      <c r="M288" s="317"/>
      <c r="O288" s="172"/>
      <c r="P288" s="172"/>
    </row>
    <row r="289" spans="15:15" x14ac:dyDescent="0.25">
      <c r="O289" s="172"/>
    </row>
  </sheetData>
  <autoFilter ref="A7:CN279"/>
  <mergeCells count="14">
    <mergeCell ref="F3:F4"/>
    <mergeCell ref="A3:A4"/>
    <mergeCell ref="B3:B4"/>
    <mergeCell ref="C3:C4"/>
    <mergeCell ref="D3:D4"/>
    <mergeCell ref="E3:E4"/>
    <mergeCell ref="S3:S4"/>
    <mergeCell ref="G3:G4"/>
    <mergeCell ref="H3:H4"/>
    <mergeCell ref="I3:J3"/>
    <mergeCell ref="K3:L3"/>
    <mergeCell ref="M3:N3"/>
    <mergeCell ref="Q3:R3"/>
    <mergeCell ref="O3:P3"/>
  </mergeCells>
  <pageMargins left="0.25" right="0.25" top="0.75" bottom="0.75" header="0.3" footer="0.3"/>
  <pageSetup paperSize="190" scale="81" fitToHeight="13"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Z283"/>
  <sheetViews>
    <sheetView topLeftCell="D261" zoomScale="80" zoomScaleNormal="80" workbookViewId="0">
      <selection activeCell="O280" sqref="O280"/>
    </sheetView>
  </sheetViews>
  <sheetFormatPr defaultColWidth="11.42578125" defaultRowHeight="15" x14ac:dyDescent="0.25"/>
  <cols>
    <col min="1" max="1" width="11.42578125" style="14"/>
    <col min="2" max="2" width="17.140625" style="29" customWidth="1"/>
    <col min="3" max="3" width="66.140625" style="142" customWidth="1"/>
    <col min="4" max="4" width="39.7109375" style="142" customWidth="1"/>
    <col min="5" max="5" width="28" style="142" customWidth="1"/>
    <col min="6" max="11" width="11.42578125" style="29"/>
    <col min="12" max="15" width="13.42578125" style="29" customWidth="1"/>
    <col min="16" max="16384" width="11.42578125" style="29"/>
  </cols>
  <sheetData>
    <row r="1" spans="1:17" x14ac:dyDescent="0.25">
      <c r="A1" s="29" t="s">
        <v>510</v>
      </c>
      <c r="D1" s="142" t="s">
        <v>130</v>
      </c>
    </row>
    <row r="2" spans="1:17" ht="15.75" thickBot="1" x14ac:dyDescent="0.3"/>
    <row r="3" spans="1:17" ht="15" customHeight="1" x14ac:dyDescent="0.25">
      <c r="A3" s="330" t="s">
        <v>408</v>
      </c>
      <c r="B3" s="332" t="s">
        <v>355</v>
      </c>
      <c r="C3" s="320" t="s">
        <v>353</v>
      </c>
      <c r="D3" s="320" t="s">
        <v>354</v>
      </c>
      <c r="E3" s="320" t="s">
        <v>356</v>
      </c>
      <c r="F3" s="326" t="s">
        <v>505</v>
      </c>
      <c r="G3" s="325"/>
      <c r="H3" s="326" t="s">
        <v>506</v>
      </c>
      <c r="I3" s="325"/>
      <c r="J3" s="326" t="s">
        <v>507</v>
      </c>
      <c r="K3" s="325"/>
      <c r="L3" s="326" t="s">
        <v>508</v>
      </c>
      <c r="M3" s="325"/>
      <c r="N3" s="326" t="s">
        <v>509</v>
      </c>
      <c r="O3" s="327"/>
    </row>
    <row r="4" spans="1:17" x14ac:dyDescent="0.25">
      <c r="A4" s="331"/>
      <c r="B4" s="333"/>
      <c r="C4" s="321"/>
      <c r="D4" s="321"/>
      <c r="E4" s="321"/>
      <c r="F4" s="207" t="s">
        <v>124</v>
      </c>
      <c r="G4" s="208" t="s">
        <v>125</v>
      </c>
      <c r="H4" s="207" t="s">
        <v>124</v>
      </c>
      <c r="I4" s="208" t="s">
        <v>125</v>
      </c>
      <c r="J4" s="207" t="s">
        <v>124</v>
      </c>
      <c r="K4" s="208" t="s">
        <v>125</v>
      </c>
      <c r="L4" s="207" t="s">
        <v>124</v>
      </c>
      <c r="M4" s="210" t="s">
        <v>125</v>
      </c>
      <c r="N4" s="207" t="s">
        <v>124</v>
      </c>
      <c r="O4" s="209" t="s">
        <v>125</v>
      </c>
    </row>
    <row r="5" spans="1:17" x14ac:dyDescent="0.25">
      <c r="A5" s="251">
        <v>1</v>
      </c>
      <c r="B5" s="242" t="s">
        <v>403</v>
      </c>
      <c r="C5" s="211"/>
      <c r="D5" s="212"/>
      <c r="E5" s="212"/>
      <c r="F5" s="213"/>
      <c r="G5" s="214"/>
      <c r="H5" s="213"/>
      <c r="I5" s="214"/>
      <c r="J5" s="213"/>
      <c r="K5" s="214"/>
      <c r="L5" s="213"/>
      <c r="M5" s="214"/>
      <c r="N5" s="213"/>
      <c r="O5" s="215"/>
    </row>
    <row r="6" spans="1:17" x14ac:dyDescent="0.25">
      <c r="A6" s="252" t="s">
        <v>406</v>
      </c>
      <c r="B6" s="243" t="str">
        <f>+'Matriz de costos plurianual'!B6</f>
        <v xml:space="preserve">SUBCOMPONENTE 1: Desarrollo de Redes integradas de servicios de salud </v>
      </c>
      <c r="C6" s="216"/>
      <c r="D6" s="217"/>
      <c r="E6" s="217"/>
      <c r="F6" s="218"/>
      <c r="G6" s="219"/>
      <c r="H6" s="218"/>
      <c r="I6" s="219"/>
      <c r="J6" s="218"/>
      <c r="K6" s="219"/>
      <c r="L6" s="218"/>
      <c r="M6" s="219"/>
      <c r="N6" s="218"/>
      <c r="O6" s="220"/>
    </row>
    <row r="7" spans="1:17" x14ac:dyDescent="0.25">
      <c r="A7" s="253" t="s">
        <v>407</v>
      </c>
      <c r="B7" s="224"/>
      <c r="C7" s="221" t="s">
        <v>405</v>
      </c>
      <c r="D7" s="222"/>
      <c r="E7" s="223"/>
      <c r="F7" s="225"/>
      <c r="G7" s="224"/>
      <c r="H7" s="225"/>
      <c r="I7" s="224"/>
      <c r="J7" s="225"/>
      <c r="K7" s="224"/>
      <c r="L7" s="225"/>
      <c r="M7" s="224"/>
      <c r="N7" s="225"/>
      <c r="O7" s="226"/>
    </row>
    <row r="8" spans="1:17" s="15" customFormat="1" ht="45" x14ac:dyDescent="0.25">
      <c r="A8" s="254"/>
      <c r="B8" s="244" t="s">
        <v>218</v>
      </c>
      <c r="C8" s="18" t="s">
        <v>220</v>
      </c>
      <c r="D8" s="103">
        <v>0.15</v>
      </c>
      <c r="E8" s="86" t="s">
        <v>221</v>
      </c>
      <c r="F8" s="22"/>
      <c r="G8" s="20"/>
      <c r="H8" s="22"/>
      <c r="I8" s="20"/>
      <c r="J8" s="312">
        <v>6808801.3513782118</v>
      </c>
      <c r="K8" s="20"/>
      <c r="L8" s="22"/>
      <c r="M8" s="274"/>
      <c r="N8" s="312">
        <f>+F8+H8+J8+L8</f>
        <v>6808801.3513782118</v>
      </c>
      <c r="O8" s="24">
        <f>+G8+I8+K8+M8</f>
        <v>0</v>
      </c>
      <c r="P8" s="293"/>
      <c r="Q8" s="293"/>
    </row>
    <row r="9" spans="1:17" s="15" customFormat="1" ht="30" x14ac:dyDescent="0.25">
      <c r="A9" s="254"/>
      <c r="B9" s="244" t="s">
        <v>218</v>
      </c>
      <c r="C9" s="18" t="s">
        <v>222</v>
      </c>
      <c r="D9" s="103">
        <v>0.05</v>
      </c>
      <c r="E9" s="86" t="s">
        <v>221</v>
      </c>
      <c r="F9" s="22"/>
      <c r="G9" s="20"/>
      <c r="H9" s="22"/>
      <c r="I9" s="20"/>
      <c r="J9" s="22"/>
      <c r="K9" s="20"/>
      <c r="L9" s="22"/>
      <c r="M9" s="274"/>
      <c r="N9" s="22">
        <f t="shared" ref="N9:N18" si="0">+F9+H9+J9+L9</f>
        <v>0</v>
      </c>
      <c r="O9" s="24">
        <f t="shared" ref="O9:O18" si="1">+G9+I9+K9+M9</f>
        <v>0</v>
      </c>
      <c r="P9" s="293"/>
      <c r="Q9" s="293"/>
    </row>
    <row r="10" spans="1:17" s="15" customFormat="1" ht="30" x14ac:dyDescent="0.25">
      <c r="A10" s="254"/>
      <c r="B10" s="244" t="s">
        <v>218</v>
      </c>
      <c r="C10" s="18" t="s">
        <v>223</v>
      </c>
      <c r="D10" s="103">
        <v>0.05</v>
      </c>
      <c r="E10" s="86" t="s">
        <v>221</v>
      </c>
      <c r="F10" s="22"/>
      <c r="G10" s="20"/>
      <c r="H10" s="22"/>
      <c r="I10" s="20"/>
      <c r="J10" s="22"/>
      <c r="K10" s="20"/>
      <c r="L10" s="22"/>
      <c r="M10" s="274"/>
      <c r="N10" s="22">
        <f t="shared" si="0"/>
        <v>0</v>
      </c>
      <c r="O10" s="24">
        <f t="shared" si="1"/>
        <v>0</v>
      </c>
      <c r="P10" s="293"/>
      <c r="Q10" s="293"/>
    </row>
    <row r="11" spans="1:17" s="15" customFormat="1" x14ac:dyDescent="0.25">
      <c r="A11" s="254"/>
      <c r="B11" s="244" t="s">
        <v>218</v>
      </c>
      <c r="C11" s="18" t="s">
        <v>224</v>
      </c>
      <c r="D11" s="103">
        <v>0.1</v>
      </c>
      <c r="E11" s="86" t="s">
        <v>221</v>
      </c>
      <c r="F11" s="22"/>
      <c r="G11" s="20"/>
      <c r="H11" s="22"/>
      <c r="I11" s="20"/>
      <c r="J11" s="22"/>
      <c r="K11" s="20"/>
      <c r="L11" s="22"/>
      <c r="M11" s="274"/>
      <c r="N11" s="22">
        <f t="shared" si="0"/>
        <v>0</v>
      </c>
      <c r="O11" s="24">
        <f t="shared" si="1"/>
        <v>0</v>
      </c>
      <c r="P11" s="293"/>
      <c r="Q11" s="293"/>
    </row>
    <row r="12" spans="1:17" s="15" customFormat="1" ht="30" x14ac:dyDescent="0.25">
      <c r="A12" s="254"/>
      <c r="B12" s="244" t="s">
        <v>218</v>
      </c>
      <c r="C12" s="18" t="s">
        <v>225</v>
      </c>
      <c r="D12" s="103">
        <v>0.1</v>
      </c>
      <c r="E12" s="86" t="s">
        <v>221</v>
      </c>
      <c r="F12" s="22"/>
      <c r="G12" s="20"/>
      <c r="H12" s="22"/>
      <c r="I12" s="20"/>
      <c r="J12" s="22"/>
      <c r="K12" s="20"/>
      <c r="L12" s="22"/>
      <c r="M12" s="274"/>
      <c r="N12" s="22">
        <f t="shared" si="0"/>
        <v>0</v>
      </c>
      <c r="O12" s="24">
        <f t="shared" si="1"/>
        <v>0</v>
      </c>
      <c r="P12" s="293"/>
      <c r="Q12" s="293"/>
    </row>
    <row r="13" spans="1:17" s="15" customFormat="1" ht="45" x14ac:dyDescent="0.25">
      <c r="A13" s="254"/>
      <c r="B13" s="244" t="s">
        <v>218</v>
      </c>
      <c r="C13" s="18" t="s">
        <v>226</v>
      </c>
      <c r="D13" s="103">
        <v>0.1</v>
      </c>
      <c r="E13" s="86" t="s">
        <v>221</v>
      </c>
      <c r="F13" s="22"/>
      <c r="G13" s="20"/>
      <c r="H13" s="22"/>
      <c r="I13" s="20"/>
      <c r="J13" s="22"/>
      <c r="K13" s="20"/>
      <c r="L13" s="22">
        <v>0</v>
      </c>
      <c r="M13" s="274"/>
      <c r="N13" s="22">
        <f t="shared" si="0"/>
        <v>0</v>
      </c>
      <c r="O13" s="24">
        <f t="shared" si="1"/>
        <v>0</v>
      </c>
      <c r="P13" s="293"/>
      <c r="Q13" s="293"/>
    </row>
    <row r="14" spans="1:17" s="15" customFormat="1" ht="45" x14ac:dyDescent="0.25">
      <c r="A14" s="254"/>
      <c r="B14" s="244" t="s">
        <v>218</v>
      </c>
      <c r="C14" s="18" t="s">
        <v>227</v>
      </c>
      <c r="D14" s="103">
        <v>0.1</v>
      </c>
      <c r="E14" s="86" t="s">
        <v>221</v>
      </c>
      <c r="F14" s="22"/>
      <c r="G14" s="20"/>
      <c r="H14" s="22"/>
      <c r="I14" s="20"/>
      <c r="J14" s="22"/>
      <c r="K14" s="20"/>
      <c r="L14" s="22"/>
      <c r="M14" s="274"/>
      <c r="N14" s="22">
        <f t="shared" si="0"/>
        <v>0</v>
      </c>
      <c r="O14" s="24">
        <f t="shared" si="1"/>
        <v>0</v>
      </c>
      <c r="P14" s="293"/>
      <c r="Q14" s="293"/>
    </row>
    <row r="15" spans="1:17" s="15" customFormat="1" ht="30" x14ac:dyDescent="0.25">
      <c r="A15" s="254"/>
      <c r="B15" s="244" t="s">
        <v>218</v>
      </c>
      <c r="C15" s="18" t="s">
        <v>228</v>
      </c>
      <c r="D15" s="103">
        <v>0.1</v>
      </c>
      <c r="E15" s="86" t="s">
        <v>221</v>
      </c>
      <c r="F15" s="22"/>
      <c r="G15" s="20"/>
      <c r="H15" s="22"/>
      <c r="I15" s="20"/>
      <c r="J15" s="22"/>
      <c r="K15" s="20"/>
      <c r="L15" s="312">
        <v>3177441</v>
      </c>
      <c r="M15" s="274"/>
      <c r="N15" s="312">
        <f t="shared" si="0"/>
        <v>3177441</v>
      </c>
      <c r="O15" s="24">
        <f t="shared" si="1"/>
        <v>0</v>
      </c>
      <c r="P15" s="293"/>
      <c r="Q15" s="293"/>
    </row>
    <row r="16" spans="1:17" s="15" customFormat="1" ht="30" x14ac:dyDescent="0.25">
      <c r="A16" s="254"/>
      <c r="B16" s="244" t="s">
        <v>218</v>
      </c>
      <c r="C16" s="18" t="s">
        <v>229</v>
      </c>
      <c r="D16" s="103">
        <v>0.05</v>
      </c>
      <c r="E16" s="86" t="s">
        <v>221</v>
      </c>
      <c r="F16" s="22"/>
      <c r="G16" s="20"/>
      <c r="H16" s="22"/>
      <c r="I16" s="20"/>
      <c r="J16" s="22"/>
      <c r="K16" s="20"/>
      <c r="L16" s="22"/>
      <c r="M16" s="274"/>
      <c r="N16" s="22">
        <f t="shared" si="0"/>
        <v>0</v>
      </c>
      <c r="O16" s="24">
        <f t="shared" si="1"/>
        <v>0</v>
      </c>
      <c r="P16" s="293"/>
      <c r="Q16" s="293"/>
    </row>
    <row r="17" spans="1:18" s="15" customFormat="1" ht="45" x14ac:dyDescent="0.25">
      <c r="A17" s="254"/>
      <c r="B17" s="244" t="s">
        <v>218</v>
      </c>
      <c r="C17" s="18" t="s">
        <v>230</v>
      </c>
      <c r="D17" s="103">
        <v>0.1</v>
      </c>
      <c r="E17" s="86" t="s">
        <v>221</v>
      </c>
      <c r="F17" s="22"/>
      <c r="G17" s="20"/>
      <c r="H17" s="22"/>
      <c r="I17" s="20"/>
      <c r="J17" s="22"/>
      <c r="K17" s="20"/>
      <c r="L17" s="22"/>
      <c r="M17" s="274"/>
      <c r="N17" s="22">
        <f t="shared" si="0"/>
        <v>0</v>
      </c>
      <c r="O17" s="24">
        <f t="shared" si="1"/>
        <v>0</v>
      </c>
      <c r="P17" s="293"/>
      <c r="Q17" s="293"/>
    </row>
    <row r="18" spans="1:18" s="15" customFormat="1" ht="45" x14ac:dyDescent="0.25">
      <c r="A18" s="254"/>
      <c r="B18" s="244" t="s">
        <v>218</v>
      </c>
      <c r="C18" s="18" t="s">
        <v>231</v>
      </c>
      <c r="D18" s="103">
        <v>0.1</v>
      </c>
      <c r="E18" s="86" t="s">
        <v>221</v>
      </c>
      <c r="F18" s="22"/>
      <c r="G18" s="20"/>
      <c r="H18" s="22"/>
      <c r="I18" s="20"/>
      <c r="J18" s="22"/>
      <c r="K18" s="20"/>
      <c r="L18" s="22"/>
      <c r="M18" s="274"/>
      <c r="N18" s="22">
        <f t="shared" si="0"/>
        <v>0</v>
      </c>
      <c r="O18" s="24">
        <f t="shared" si="1"/>
        <v>0</v>
      </c>
      <c r="P18" s="293"/>
      <c r="Q18" s="293"/>
    </row>
    <row r="19" spans="1:18" x14ac:dyDescent="0.25">
      <c r="A19" s="253" t="s">
        <v>442</v>
      </c>
      <c r="B19" s="224" t="s">
        <v>218</v>
      </c>
      <c r="C19" s="221" t="s">
        <v>362</v>
      </c>
      <c r="D19" s="222"/>
      <c r="E19" s="223"/>
      <c r="F19" s="225"/>
      <c r="G19" s="224"/>
      <c r="H19" s="225"/>
      <c r="I19" s="224"/>
      <c r="J19" s="225"/>
      <c r="K19" s="224"/>
      <c r="L19" s="225"/>
      <c r="M19" s="224"/>
      <c r="N19" s="225"/>
      <c r="O19" s="226"/>
      <c r="P19" s="293"/>
      <c r="Q19" s="293"/>
    </row>
    <row r="20" spans="1:18" s="15" customFormat="1" ht="45" x14ac:dyDescent="0.25">
      <c r="A20" s="254"/>
      <c r="B20" s="244" t="s">
        <v>218</v>
      </c>
      <c r="C20" s="18" t="s">
        <v>233</v>
      </c>
      <c r="D20" s="103" t="s">
        <v>234</v>
      </c>
      <c r="E20" s="86" t="s">
        <v>221</v>
      </c>
      <c r="F20" s="22"/>
      <c r="G20" s="20"/>
      <c r="H20" s="22"/>
      <c r="I20" s="20"/>
      <c r="J20" s="22">
        <v>0</v>
      </c>
      <c r="K20" s="20"/>
      <c r="L20" s="312">
        <v>120000</v>
      </c>
      <c r="M20" s="274"/>
      <c r="N20" s="312">
        <f t="shared" ref="N20:N22" si="2">+F20+H20+J20+L20</f>
        <v>120000</v>
      </c>
      <c r="O20" s="24">
        <f t="shared" ref="O20:O22" si="3">+G20+I20+K20+M20</f>
        <v>0</v>
      </c>
      <c r="P20" s="293"/>
      <c r="Q20" s="293"/>
    </row>
    <row r="21" spans="1:18" s="15" customFormat="1" x14ac:dyDescent="0.25">
      <c r="A21" s="254"/>
      <c r="B21" s="244" t="s">
        <v>218</v>
      </c>
      <c r="C21" s="18" t="s">
        <v>236</v>
      </c>
      <c r="D21" s="103" t="s">
        <v>237</v>
      </c>
      <c r="E21" s="86" t="s">
        <v>238</v>
      </c>
      <c r="F21" s="22"/>
      <c r="G21" s="20"/>
      <c r="H21" s="22"/>
      <c r="I21" s="20">
        <v>1300</v>
      </c>
      <c r="J21" s="22"/>
      <c r="K21" s="20">
        <v>1300</v>
      </c>
      <c r="L21" s="22"/>
      <c r="M21" s="274"/>
      <c r="N21" s="22">
        <f t="shared" si="2"/>
        <v>0</v>
      </c>
      <c r="O21" s="24">
        <f t="shared" si="3"/>
        <v>2600</v>
      </c>
      <c r="P21" s="293"/>
      <c r="Q21" s="293"/>
    </row>
    <row r="22" spans="1:18" s="15" customFormat="1" x14ac:dyDescent="0.25">
      <c r="A22" s="254"/>
      <c r="B22" s="244" t="s">
        <v>218</v>
      </c>
      <c r="C22" s="18" t="s">
        <v>34</v>
      </c>
      <c r="D22" s="103" t="s">
        <v>239</v>
      </c>
      <c r="E22" s="86" t="s">
        <v>240</v>
      </c>
      <c r="F22" s="22"/>
      <c r="G22" s="20"/>
      <c r="H22" s="22">
        <v>1899.9999999999991</v>
      </c>
      <c r="I22" s="20">
        <v>1266.6000000000001</v>
      </c>
      <c r="J22" s="22">
        <v>1900</v>
      </c>
      <c r="K22" s="20">
        <v>1267</v>
      </c>
      <c r="L22" s="22"/>
      <c r="M22" s="274"/>
      <c r="N22" s="312">
        <f t="shared" si="2"/>
        <v>3799.9999999999991</v>
      </c>
      <c r="O22" s="24">
        <f t="shared" si="3"/>
        <v>2533.6000000000004</v>
      </c>
      <c r="P22" s="293"/>
      <c r="Q22" s="293"/>
    </row>
    <row r="23" spans="1:18" x14ac:dyDescent="0.25">
      <c r="A23" s="253" t="s">
        <v>443</v>
      </c>
      <c r="B23" s="224" t="s">
        <v>218</v>
      </c>
      <c r="C23" s="221" t="s">
        <v>400</v>
      </c>
      <c r="D23" s="222"/>
      <c r="E23" s="223"/>
      <c r="F23" s="225"/>
      <c r="G23" s="224"/>
      <c r="H23" s="225"/>
      <c r="I23" s="224"/>
      <c r="J23" s="225"/>
      <c r="K23" s="224"/>
      <c r="L23" s="225"/>
      <c r="M23" s="224"/>
      <c r="N23" s="225"/>
      <c r="O23" s="226"/>
      <c r="P23" s="293"/>
      <c r="Q23" s="293"/>
    </row>
    <row r="24" spans="1:18" s="15" customFormat="1" x14ac:dyDescent="0.25">
      <c r="A24" s="254"/>
      <c r="B24" s="244" t="s">
        <v>218</v>
      </c>
      <c r="C24" s="18" t="s">
        <v>242</v>
      </c>
      <c r="D24" s="103" t="s">
        <v>243</v>
      </c>
      <c r="E24" s="86" t="s">
        <v>221</v>
      </c>
      <c r="F24" s="22"/>
      <c r="G24" s="20"/>
      <c r="H24" s="22"/>
      <c r="I24" s="20"/>
      <c r="J24" s="22"/>
      <c r="K24" s="20"/>
      <c r="L24" s="22"/>
      <c r="M24" s="274"/>
      <c r="N24" s="22">
        <f t="shared" ref="N24" si="4">+F24+H24+J24+L24</f>
        <v>0</v>
      </c>
      <c r="O24" s="24">
        <f t="shared" ref="O24" si="5">+G24+I24+K24+M24</f>
        <v>0</v>
      </c>
      <c r="P24" s="293"/>
      <c r="Q24" s="293"/>
    </row>
    <row r="25" spans="1:18" x14ac:dyDescent="0.25">
      <c r="A25" s="253" t="s">
        <v>444</v>
      </c>
      <c r="B25" s="224" t="s">
        <v>218</v>
      </c>
      <c r="C25" s="221" t="s">
        <v>401</v>
      </c>
      <c r="D25" s="222"/>
      <c r="E25" s="223"/>
      <c r="F25" s="225"/>
      <c r="G25" s="224"/>
      <c r="H25" s="225"/>
      <c r="I25" s="224"/>
      <c r="J25" s="225"/>
      <c r="K25" s="224"/>
      <c r="L25" s="225"/>
      <c r="M25" s="224"/>
      <c r="N25" s="225"/>
      <c r="O25" s="226"/>
      <c r="P25" s="293"/>
      <c r="Q25" s="294"/>
    </row>
    <row r="26" spans="1:18" s="15" customFormat="1" x14ac:dyDescent="0.25">
      <c r="A26" s="254"/>
      <c r="B26" s="244" t="s">
        <v>218</v>
      </c>
      <c r="C26" s="18" t="s">
        <v>245</v>
      </c>
      <c r="D26" s="205" t="s">
        <v>512</v>
      </c>
      <c r="E26" s="86" t="s">
        <v>248</v>
      </c>
      <c r="F26" s="22"/>
      <c r="G26" s="20"/>
      <c r="H26" s="22"/>
      <c r="I26" s="20"/>
      <c r="J26" s="22">
        <v>95000</v>
      </c>
      <c r="K26" s="20">
        <v>50160</v>
      </c>
      <c r="L26" s="22">
        <v>190000</v>
      </c>
      <c r="M26" s="274">
        <v>101840</v>
      </c>
      <c r="N26" s="315">
        <f t="shared" ref="N26:N28" si="6">+F26+H26+J26+L26</f>
        <v>285000</v>
      </c>
      <c r="O26" s="24">
        <f t="shared" ref="O26:O28" si="7">+G26+I26+K26+M26</f>
        <v>152000</v>
      </c>
      <c r="P26" s="293"/>
      <c r="Q26" s="293"/>
      <c r="R26" s="293"/>
    </row>
    <row r="27" spans="1:18" s="15" customFormat="1" x14ac:dyDescent="0.25">
      <c r="A27" s="254"/>
      <c r="B27" s="244" t="s">
        <v>218</v>
      </c>
      <c r="C27" s="18" t="s">
        <v>247</v>
      </c>
      <c r="D27" s="103"/>
      <c r="E27" s="86" t="s">
        <v>248</v>
      </c>
      <c r="F27" s="22"/>
      <c r="G27" s="20"/>
      <c r="H27" s="22"/>
      <c r="I27" s="20"/>
      <c r="J27" s="22"/>
      <c r="K27" s="20"/>
      <c r="L27" s="22"/>
      <c r="M27" s="274"/>
      <c r="N27" s="22">
        <f t="shared" si="6"/>
        <v>0</v>
      </c>
      <c r="O27" s="24">
        <f t="shared" si="7"/>
        <v>0</v>
      </c>
      <c r="P27" s="293"/>
      <c r="Q27" s="293"/>
    </row>
    <row r="28" spans="1:18" s="15" customFormat="1" x14ac:dyDescent="0.25">
      <c r="A28" s="254"/>
      <c r="B28" s="244" t="s">
        <v>218</v>
      </c>
      <c r="C28" s="18" t="s">
        <v>249</v>
      </c>
      <c r="D28" s="103"/>
      <c r="E28" s="86" t="s">
        <v>248</v>
      </c>
      <c r="F28" s="22"/>
      <c r="G28" s="20"/>
      <c r="H28" s="22"/>
      <c r="I28" s="20"/>
      <c r="J28" s="22"/>
      <c r="K28" s="20"/>
      <c r="L28" s="22"/>
      <c r="M28" s="274"/>
      <c r="N28" s="22">
        <f t="shared" si="6"/>
        <v>0</v>
      </c>
      <c r="O28" s="24">
        <f t="shared" si="7"/>
        <v>0</v>
      </c>
      <c r="P28" s="293"/>
      <c r="Q28" s="293"/>
    </row>
    <row r="29" spans="1:18" x14ac:dyDescent="0.25">
      <c r="A29" s="253" t="s">
        <v>445</v>
      </c>
      <c r="B29" s="224" t="s">
        <v>218</v>
      </c>
      <c r="C29" s="221" t="s">
        <v>446</v>
      </c>
      <c r="D29" s="222"/>
      <c r="E29" s="223"/>
      <c r="F29" s="225"/>
      <c r="G29" s="224"/>
      <c r="H29" s="225"/>
      <c r="I29" s="224"/>
      <c r="J29" s="225"/>
      <c r="K29" s="224"/>
      <c r="L29" s="225"/>
      <c r="M29" s="224"/>
      <c r="N29" s="225"/>
      <c r="O29" s="226"/>
      <c r="P29" s="293"/>
      <c r="Q29" s="293"/>
    </row>
    <row r="30" spans="1:18" s="15" customFormat="1" x14ac:dyDescent="0.25">
      <c r="A30" s="254"/>
      <c r="B30" s="244" t="s">
        <v>218</v>
      </c>
      <c r="C30" s="18" t="s">
        <v>253</v>
      </c>
      <c r="D30" s="103" t="s">
        <v>254</v>
      </c>
      <c r="E30" s="86" t="s">
        <v>132</v>
      </c>
      <c r="F30" s="22"/>
      <c r="G30" s="24"/>
      <c r="H30" s="22"/>
      <c r="I30" s="24"/>
      <c r="J30" s="22"/>
      <c r="K30" s="24">
        <v>7214.4800000000005</v>
      </c>
      <c r="L30" s="22"/>
      <c r="M30" s="274">
        <v>7214.4800000000005</v>
      </c>
      <c r="N30" s="22">
        <f t="shared" ref="N30:N64" si="8">+F30+H30+J30+L30</f>
        <v>0</v>
      </c>
      <c r="O30" s="24">
        <f t="shared" ref="O30:O64" si="9">+G30+I30+K30+M30</f>
        <v>14428.960000000001</v>
      </c>
      <c r="P30" s="293"/>
      <c r="Q30" s="293"/>
    </row>
    <row r="31" spans="1:18" s="15" customFormat="1" ht="30" x14ac:dyDescent="0.25">
      <c r="A31" s="254"/>
      <c r="B31" s="244" t="s">
        <v>218</v>
      </c>
      <c r="C31" s="18" t="s">
        <v>255</v>
      </c>
      <c r="D31" s="103" t="s">
        <v>256</v>
      </c>
      <c r="E31" s="86" t="s">
        <v>132</v>
      </c>
      <c r="F31" s="22"/>
      <c r="G31" s="20"/>
      <c r="H31" s="22"/>
      <c r="I31" s="20"/>
      <c r="J31" s="22"/>
      <c r="K31" s="24">
        <v>6773</v>
      </c>
      <c r="L31" s="22"/>
      <c r="M31" s="274">
        <v>6773</v>
      </c>
      <c r="N31" s="22">
        <f t="shared" si="8"/>
        <v>0</v>
      </c>
      <c r="O31" s="24">
        <f t="shared" si="9"/>
        <v>13546</v>
      </c>
      <c r="P31" s="293"/>
      <c r="Q31" s="293"/>
    </row>
    <row r="32" spans="1:18" s="15" customFormat="1" x14ac:dyDescent="0.25">
      <c r="A32" s="254"/>
      <c r="B32" s="244" t="s">
        <v>218</v>
      </c>
      <c r="C32" s="18" t="s">
        <v>257</v>
      </c>
      <c r="D32" s="103" t="s">
        <v>258</v>
      </c>
      <c r="E32" s="86" t="s">
        <v>132</v>
      </c>
      <c r="F32" s="22"/>
      <c r="G32" s="20"/>
      <c r="H32" s="22"/>
      <c r="I32" s="20"/>
      <c r="J32" s="22"/>
      <c r="K32" s="24">
        <v>6773</v>
      </c>
      <c r="L32" s="22"/>
      <c r="M32" s="274">
        <v>6773</v>
      </c>
      <c r="N32" s="22">
        <f t="shared" si="8"/>
        <v>0</v>
      </c>
      <c r="O32" s="24">
        <f t="shared" si="9"/>
        <v>13546</v>
      </c>
      <c r="P32" s="293"/>
      <c r="Q32" s="293"/>
    </row>
    <row r="33" spans="1:17" s="15" customFormat="1" ht="30" x14ac:dyDescent="0.25">
      <c r="A33" s="254"/>
      <c r="B33" s="244" t="s">
        <v>218</v>
      </c>
      <c r="C33" s="18" t="s">
        <v>259</v>
      </c>
      <c r="D33" s="103" t="s">
        <v>260</v>
      </c>
      <c r="E33" s="86" t="s">
        <v>132</v>
      </c>
      <c r="F33" s="22"/>
      <c r="G33" s="20"/>
      <c r="H33" s="22"/>
      <c r="I33" s="20"/>
      <c r="J33" s="22"/>
      <c r="K33" s="24">
        <v>6821.88</v>
      </c>
      <c r="L33" s="22"/>
      <c r="M33" s="274">
        <v>6821.88</v>
      </c>
      <c r="N33" s="22">
        <f t="shared" si="8"/>
        <v>0</v>
      </c>
      <c r="O33" s="24">
        <f t="shared" si="9"/>
        <v>13643.76</v>
      </c>
      <c r="P33" s="293"/>
      <c r="Q33" s="293"/>
    </row>
    <row r="34" spans="1:17" s="15" customFormat="1" ht="30" x14ac:dyDescent="0.25">
      <c r="A34" s="254"/>
      <c r="B34" s="244" t="s">
        <v>218</v>
      </c>
      <c r="C34" s="18" t="s">
        <v>261</v>
      </c>
      <c r="D34" s="103" t="s">
        <v>260</v>
      </c>
      <c r="E34" s="86" t="s">
        <v>132</v>
      </c>
      <c r="F34" s="22"/>
      <c r="G34" s="20"/>
      <c r="H34" s="22"/>
      <c r="I34" s="20"/>
      <c r="J34" s="22"/>
      <c r="K34" s="24">
        <v>6821.88</v>
      </c>
      <c r="L34" s="22"/>
      <c r="M34" s="274">
        <v>6821.88</v>
      </c>
      <c r="N34" s="22">
        <f t="shared" si="8"/>
        <v>0</v>
      </c>
      <c r="O34" s="24">
        <f t="shared" si="9"/>
        <v>13643.76</v>
      </c>
      <c r="P34" s="293"/>
      <c r="Q34" s="293"/>
    </row>
    <row r="35" spans="1:17" s="15" customFormat="1" x14ac:dyDescent="0.25">
      <c r="A35" s="254"/>
      <c r="B35" s="244" t="s">
        <v>218</v>
      </c>
      <c r="C35" s="18" t="s">
        <v>262</v>
      </c>
      <c r="D35" s="103" t="s">
        <v>263</v>
      </c>
      <c r="E35" s="86" t="s">
        <v>132</v>
      </c>
      <c r="F35" s="22"/>
      <c r="G35" s="20"/>
      <c r="H35" s="22"/>
      <c r="I35" s="20"/>
      <c r="J35" s="22"/>
      <c r="K35" s="24">
        <v>3140.8</v>
      </c>
      <c r="L35" s="22"/>
      <c r="M35" s="274">
        <v>3140.8</v>
      </c>
      <c r="N35" s="22">
        <f t="shared" si="8"/>
        <v>0</v>
      </c>
      <c r="O35" s="24">
        <f t="shared" si="9"/>
        <v>6281.6</v>
      </c>
      <c r="P35" s="293"/>
      <c r="Q35" s="293"/>
    </row>
    <row r="36" spans="1:17" s="15" customFormat="1" x14ac:dyDescent="0.25">
      <c r="A36" s="254"/>
      <c r="B36" s="244" t="s">
        <v>218</v>
      </c>
      <c r="C36" s="18" t="s">
        <v>264</v>
      </c>
      <c r="D36" s="103" t="s">
        <v>265</v>
      </c>
      <c r="E36" s="86" t="s">
        <v>132</v>
      </c>
      <c r="F36" s="22"/>
      <c r="G36" s="20"/>
      <c r="H36" s="22"/>
      <c r="I36" s="20"/>
      <c r="J36" s="22"/>
      <c r="K36" s="24">
        <v>14723.28</v>
      </c>
      <c r="L36" s="22"/>
      <c r="M36" s="274">
        <v>14723.28</v>
      </c>
      <c r="N36" s="22">
        <f t="shared" si="8"/>
        <v>0</v>
      </c>
      <c r="O36" s="24">
        <f t="shared" si="9"/>
        <v>29446.560000000001</v>
      </c>
      <c r="P36" s="293"/>
      <c r="Q36" s="293"/>
    </row>
    <row r="37" spans="1:17" s="15" customFormat="1" x14ac:dyDescent="0.25">
      <c r="A37" s="254"/>
      <c r="B37" s="244" t="s">
        <v>218</v>
      </c>
      <c r="C37" s="18" t="s">
        <v>266</v>
      </c>
      <c r="D37" s="103" t="s">
        <v>267</v>
      </c>
      <c r="E37" s="86" t="s">
        <v>132</v>
      </c>
      <c r="F37" s="22"/>
      <c r="G37" s="20"/>
      <c r="H37" s="22"/>
      <c r="I37" s="20"/>
      <c r="J37" s="22"/>
      <c r="K37" s="24">
        <v>71754.28</v>
      </c>
      <c r="L37" s="22"/>
      <c r="M37" s="274">
        <v>71754.28</v>
      </c>
      <c r="N37" s="22">
        <f t="shared" si="8"/>
        <v>0</v>
      </c>
      <c r="O37" s="24">
        <f t="shared" si="9"/>
        <v>143508.56</v>
      </c>
      <c r="P37" s="293"/>
      <c r="Q37" s="293"/>
    </row>
    <row r="38" spans="1:17" s="15" customFormat="1" x14ac:dyDescent="0.25">
      <c r="A38" s="254"/>
      <c r="B38" s="244" t="s">
        <v>218</v>
      </c>
      <c r="C38" s="18" t="s">
        <v>268</v>
      </c>
      <c r="D38" s="103" t="s">
        <v>256</v>
      </c>
      <c r="E38" s="86" t="s">
        <v>132</v>
      </c>
      <c r="F38" s="22"/>
      <c r="G38" s="20"/>
      <c r="H38" s="22"/>
      <c r="I38" s="20"/>
      <c r="J38" s="22"/>
      <c r="K38" s="24">
        <v>2895.6200000000003</v>
      </c>
      <c r="L38" s="22"/>
      <c r="M38" s="274">
        <v>2895.6200000000003</v>
      </c>
      <c r="N38" s="22">
        <f t="shared" si="8"/>
        <v>0</v>
      </c>
      <c r="O38" s="24">
        <f t="shared" si="9"/>
        <v>5791.2400000000007</v>
      </c>
      <c r="P38" s="293"/>
      <c r="Q38" s="293"/>
    </row>
    <row r="39" spans="1:17" s="15" customFormat="1" x14ac:dyDescent="0.25">
      <c r="A39" s="254"/>
      <c r="B39" s="244" t="s">
        <v>218</v>
      </c>
      <c r="C39" s="18" t="s">
        <v>269</v>
      </c>
      <c r="D39" s="103" t="s">
        <v>270</v>
      </c>
      <c r="E39" s="86" t="s">
        <v>132</v>
      </c>
      <c r="F39" s="22"/>
      <c r="G39" s="20"/>
      <c r="H39" s="22"/>
      <c r="I39" s="20"/>
      <c r="J39" s="22"/>
      <c r="K39" s="24">
        <v>4220.84</v>
      </c>
      <c r="L39" s="22"/>
      <c r="M39" s="274">
        <v>4220.84</v>
      </c>
      <c r="N39" s="22">
        <f t="shared" si="8"/>
        <v>0</v>
      </c>
      <c r="O39" s="24">
        <f t="shared" si="9"/>
        <v>8441.68</v>
      </c>
      <c r="P39" s="293"/>
      <c r="Q39" s="293"/>
    </row>
    <row r="40" spans="1:17" s="15" customFormat="1" x14ac:dyDescent="0.25">
      <c r="A40" s="254"/>
      <c r="B40" s="244" t="s">
        <v>218</v>
      </c>
      <c r="C40" s="18" t="s">
        <v>271</v>
      </c>
      <c r="D40" s="103" t="s">
        <v>272</v>
      </c>
      <c r="E40" s="86" t="s">
        <v>132</v>
      </c>
      <c r="F40" s="22"/>
      <c r="G40" s="20"/>
      <c r="H40" s="22"/>
      <c r="I40" s="20"/>
      <c r="J40" s="22"/>
      <c r="K40" s="24">
        <v>3926.26</v>
      </c>
      <c r="L40" s="22"/>
      <c r="M40" s="274">
        <v>3926.26</v>
      </c>
      <c r="N40" s="22">
        <f t="shared" si="8"/>
        <v>0</v>
      </c>
      <c r="O40" s="24">
        <f t="shared" si="9"/>
        <v>7852.52</v>
      </c>
      <c r="P40" s="293"/>
      <c r="Q40" s="293"/>
    </row>
    <row r="41" spans="1:17" s="15" customFormat="1" x14ac:dyDescent="0.25">
      <c r="A41" s="254"/>
      <c r="B41" s="244" t="s">
        <v>218</v>
      </c>
      <c r="C41" s="18" t="s">
        <v>273</v>
      </c>
      <c r="D41" s="103" t="s">
        <v>274</v>
      </c>
      <c r="E41" s="86" t="s">
        <v>132</v>
      </c>
      <c r="F41" s="22"/>
      <c r="G41" s="20"/>
      <c r="H41" s="22"/>
      <c r="I41" s="20"/>
      <c r="J41" s="22"/>
      <c r="K41" s="24">
        <v>136631.04000000001</v>
      </c>
      <c r="L41" s="22"/>
      <c r="M41" s="274">
        <v>136631.04000000001</v>
      </c>
      <c r="N41" s="22">
        <f t="shared" si="8"/>
        <v>0</v>
      </c>
      <c r="O41" s="24">
        <f t="shared" si="9"/>
        <v>273262.08000000002</v>
      </c>
      <c r="P41" s="293"/>
      <c r="Q41" s="293"/>
    </row>
    <row r="42" spans="1:17" s="15" customFormat="1" x14ac:dyDescent="0.25">
      <c r="A42" s="254"/>
      <c r="B42" s="244" t="s">
        <v>218</v>
      </c>
      <c r="C42" s="18" t="s">
        <v>275</v>
      </c>
      <c r="D42" s="103" t="s">
        <v>276</v>
      </c>
      <c r="E42" s="86" t="s">
        <v>132</v>
      </c>
      <c r="F42" s="22"/>
      <c r="G42" s="20"/>
      <c r="H42" s="22"/>
      <c r="I42" s="20"/>
      <c r="J42" s="22"/>
      <c r="K42" s="24">
        <v>6085.5599999999995</v>
      </c>
      <c r="L42" s="22"/>
      <c r="M42" s="274">
        <v>6085.5599999999995</v>
      </c>
      <c r="N42" s="22">
        <f t="shared" si="8"/>
        <v>0</v>
      </c>
      <c r="O42" s="24">
        <f t="shared" si="9"/>
        <v>12171.119999999999</v>
      </c>
      <c r="P42" s="293"/>
      <c r="Q42" s="293"/>
    </row>
    <row r="43" spans="1:17" s="15" customFormat="1" x14ac:dyDescent="0.25">
      <c r="A43" s="254"/>
      <c r="B43" s="244" t="s">
        <v>218</v>
      </c>
      <c r="C43" s="18" t="s">
        <v>277</v>
      </c>
      <c r="D43" s="103" t="s">
        <v>278</v>
      </c>
      <c r="E43" s="86" t="s">
        <v>132</v>
      </c>
      <c r="F43" s="22"/>
      <c r="G43" s="20"/>
      <c r="H43" s="22"/>
      <c r="I43" s="20"/>
      <c r="J43" s="22"/>
      <c r="K43" s="24">
        <v>14526.720000000001</v>
      </c>
      <c r="L43" s="22"/>
      <c r="M43" s="274">
        <v>14526.720000000001</v>
      </c>
      <c r="N43" s="22">
        <f t="shared" si="8"/>
        <v>0</v>
      </c>
      <c r="O43" s="24">
        <f t="shared" si="9"/>
        <v>29053.440000000002</v>
      </c>
      <c r="P43" s="293"/>
      <c r="Q43" s="293"/>
    </row>
    <row r="44" spans="1:17" s="15" customFormat="1" x14ac:dyDescent="0.25">
      <c r="A44" s="254"/>
      <c r="B44" s="244" t="s">
        <v>218</v>
      </c>
      <c r="C44" s="18" t="s">
        <v>279</v>
      </c>
      <c r="D44" s="103" t="s">
        <v>280</v>
      </c>
      <c r="E44" s="86" t="s">
        <v>132</v>
      </c>
      <c r="F44" s="22"/>
      <c r="G44" s="20"/>
      <c r="H44" s="22"/>
      <c r="I44" s="20"/>
      <c r="J44" s="22"/>
      <c r="K44" s="24">
        <v>2650.1800000000003</v>
      </c>
      <c r="L44" s="22"/>
      <c r="M44" s="274">
        <v>2650.1800000000003</v>
      </c>
      <c r="N44" s="22">
        <f t="shared" si="8"/>
        <v>0</v>
      </c>
      <c r="O44" s="24">
        <f t="shared" si="9"/>
        <v>5300.3600000000006</v>
      </c>
      <c r="P44" s="293"/>
      <c r="Q44" s="293"/>
    </row>
    <row r="45" spans="1:17" s="15" customFormat="1" x14ac:dyDescent="0.25">
      <c r="A45" s="254"/>
      <c r="B45" s="244" t="s">
        <v>218</v>
      </c>
      <c r="C45" s="18" t="s">
        <v>281</v>
      </c>
      <c r="D45" s="103" t="s">
        <v>278</v>
      </c>
      <c r="E45" s="86" t="s">
        <v>132</v>
      </c>
      <c r="F45" s="22"/>
      <c r="G45" s="20"/>
      <c r="H45" s="22"/>
      <c r="I45" s="20"/>
      <c r="J45" s="22"/>
      <c r="K45" s="24">
        <v>84801.600000000006</v>
      </c>
      <c r="L45" s="22"/>
      <c r="M45" s="274">
        <v>84801.600000000006</v>
      </c>
      <c r="N45" s="22">
        <f t="shared" si="8"/>
        <v>0</v>
      </c>
      <c r="O45" s="24">
        <f t="shared" si="9"/>
        <v>169603.20000000001</v>
      </c>
      <c r="P45" s="293"/>
      <c r="Q45" s="293"/>
    </row>
    <row r="46" spans="1:17" s="15" customFormat="1" x14ac:dyDescent="0.25">
      <c r="A46" s="254"/>
      <c r="B46" s="244" t="s">
        <v>218</v>
      </c>
      <c r="C46" s="18" t="s">
        <v>282</v>
      </c>
      <c r="D46" s="103" t="s">
        <v>283</v>
      </c>
      <c r="E46" s="86" t="s">
        <v>132</v>
      </c>
      <c r="F46" s="22"/>
      <c r="G46" s="20"/>
      <c r="H46" s="22"/>
      <c r="I46" s="20"/>
      <c r="J46" s="22"/>
      <c r="K46" s="24">
        <v>94230.24</v>
      </c>
      <c r="L46" s="22"/>
      <c r="M46" s="274">
        <v>94230.24</v>
      </c>
      <c r="N46" s="22">
        <f t="shared" si="8"/>
        <v>0</v>
      </c>
      <c r="O46" s="24">
        <f t="shared" si="9"/>
        <v>188460.48</v>
      </c>
      <c r="P46" s="293"/>
      <c r="Q46" s="293"/>
    </row>
    <row r="47" spans="1:17" s="15" customFormat="1" x14ac:dyDescent="0.25">
      <c r="A47" s="254"/>
      <c r="B47" s="244" t="s">
        <v>218</v>
      </c>
      <c r="C47" s="18" t="s">
        <v>284</v>
      </c>
      <c r="D47" s="103" t="s">
        <v>280</v>
      </c>
      <c r="E47" s="86" t="s">
        <v>132</v>
      </c>
      <c r="F47" s="22"/>
      <c r="G47" s="20"/>
      <c r="H47" s="22"/>
      <c r="I47" s="20"/>
      <c r="J47" s="22"/>
      <c r="K47" s="24">
        <v>72390.5</v>
      </c>
      <c r="L47" s="22"/>
      <c r="M47" s="274">
        <v>72390.5</v>
      </c>
      <c r="N47" s="22">
        <f t="shared" si="8"/>
        <v>0</v>
      </c>
      <c r="O47" s="24">
        <f t="shared" si="9"/>
        <v>144781</v>
      </c>
      <c r="P47" s="293"/>
      <c r="Q47" s="293"/>
    </row>
    <row r="48" spans="1:17" s="15" customFormat="1" ht="30" x14ac:dyDescent="0.25">
      <c r="A48" s="254"/>
      <c r="B48" s="244" t="s">
        <v>218</v>
      </c>
      <c r="C48" s="18" t="s">
        <v>285</v>
      </c>
      <c r="D48" s="103" t="s">
        <v>260</v>
      </c>
      <c r="E48" s="86" t="s">
        <v>132</v>
      </c>
      <c r="F48" s="22"/>
      <c r="G48" s="20"/>
      <c r="H48" s="22"/>
      <c r="I48" s="20"/>
      <c r="J48" s="22"/>
      <c r="K48" s="24">
        <v>6821.88</v>
      </c>
      <c r="L48" s="22"/>
      <c r="M48" s="274">
        <v>6821.88</v>
      </c>
      <c r="N48" s="22">
        <f t="shared" si="8"/>
        <v>0</v>
      </c>
      <c r="O48" s="24">
        <f t="shared" si="9"/>
        <v>13643.76</v>
      </c>
      <c r="P48" s="293"/>
      <c r="Q48" s="293"/>
    </row>
    <row r="49" spans="1:17" s="15" customFormat="1" ht="30" x14ac:dyDescent="0.25">
      <c r="A49" s="254"/>
      <c r="B49" s="244" t="s">
        <v>218</v>
      </c>
      <c r="C49" s="18" t="s">
        <v>286</v>
      </c>
      <c r="D49" s="103" t="s">
        <v>278</v>
      </c>
      <c r="E49" s="86" t="s">
        <v>132</v>
      </c>
      <c r="F49" s="22"/>
      <c r="G49" s="20"/>
      <c r="H49" s="22"/>
      <c r="I49" s="20"/>
      <c r="J49" s="22"/>
      <c r="K49" s="24">
        <v>20319</v>
      </c>
      <c r="L49" s="22"/>
      <c r="M49" s="274">
        <v>20319</v>
      </c>
      <c r="N49" s="22">
        <f t="shared" si="8"/>
        <v>0</v>
      </c>
      <c r="O49" s="24">
        <f t="shared" si="9"/>
        <v>40638</v>
      </c>
      <c r="P49" s="293"/>
      <c r="Q49" s="293"/>
    </row>
    <row r="50" spans="1:17" s="15" customFormat="1" x14ac:dyDescent="0.25">
      <c r="A50" s="254"/>
      <c r="B50" s="244" t="s">
        <v>218</v>
      </c>
      <c r="C50" s="18" t="s">
        <v>287</v>
      </c>
      <c r="D50" s="103" t="s">
        <v>288</v>
      </c>
      <c r="E50" s="86" t="s">
        <v>132</v>
      </c>
      <c r="F50" s="22"/>
      <c r="G50" s="20"/>
      <c r="H50" s="22"/>
      <c r="I50" s="20"/>
      <c r="J50" s="22"/>
      <c r="K50" s="24">
        <v>10159.5</v>
      </c>
      <c r="L50" s="22"/>
      <c r="M50" s="274">
        <v>10159.5</v>
      </c>
      <c r="N50" s="22">
        <f t="shared" si="8"/>
        <v>0</v>
      </c>
      <c r="O50" s="24">
        <f t="shared" si="9"/>
        <v>20319</v>
      </c>
      <c r="P50" s="293"/>
      <c r="Q50" s="293"/>
    </row>
    <row r="51" spans="1:17" s="15" customFormat="1" x14ac:dyDescent="0.25">
      <c r="A51" s="254"/>
      <c r="B51" s="244" t="s">
        <v>218</v>
      </c>
      <c r="C51" s="18" t="s">
        <v>289</v>
      </c>
      <c r="D51" s="103" t="s">
        <v>290</v>
      </c>
      <c r="E51" s="86" t="s">
        <v>132</v>
      </c>
      <c r="F51" s="22"/>
      <c r="G51" s="20"/>
      <c r="H51" s="22"/>
      <c r="I51" s="20"/>
      <c r="J51" s="22"/>
      <c r="K51" s="24">
        <v>5300.36</v>
      </c>
      <c r="L51" s="22"/>
      <c r="M51" s="274">
        <v>5300.36</v>
      </c>
      <c r="N51" s="22">
        <f t="shared" si="8"/>
        <v>0</v>
      </c>
      <c r="O51" s="24">
        <f t="shared" si="9"/>
        <v>10600.72</v>
      </c>
      <c r="P51" s="293"/>
      <c r="Q51" s="293"/>
    </row>
    <row r="52" spans="1:17" s="15" customFormat="1" x14ac:dyDescent="0.25">
      <c r="A52" s="254"/>
      <c r="B52" s="244" t="s">
        <v>218</v>
      </c>
      <c r="C52" s="18" t="s">
        <v>291</v>
      </c>
      <c r="D52" s="103" t="s">
        <v>292</v>
      </c>
      <c r="E52" s="86" t="s">
        <v>132</v>
      </c>
      <c r="F52" s="22"/>
      <c r="G52" s="20"/>
      <c r="H52" s="22"/>
      <c r="I52" s="20"/>
      <c r="J52" s="22"/>
      <c r="K52" s="24">
        <v>11778.78</v>
      </c>
      <c r="L52" s="22"/>
      <c r="M52" s="274">
        <v>11778.78</v>
      </c>
      <c r="N52" s="22">
        <f t="shared" si="8"/>
        <v>0</v>
      </c>
      <c r="O52" s="24">
        <f t="shared" si="9"/>
        <v>23557.56</v>
      </c>
      <c r="P52" s="293"/>
      <c r="Q52" s="293"/>
    </row>
    <row r="53" spans="1:17" s="15" customFormat="1" ht="30" x14ac:dyDescent="0.25">
      <c r="A53" s="254"/>
      <c r="B53" s="244" t="s">
        <v>218</v>
      </c>
      <c r="C53" s="18" t="s">
        <v>293</v>
      </c>
      <c r="D53" s="103" t="s">
        <v>260</v>
      </c>
      <c r="E53" s="86" t="s">
        <v>132</v>
      </c>
      <c r="F53" s="22"/>
      <c r="G53" s="20"/>
      <c r="H53" s="22"/>
      <c r="I53" s="20"/>
      <c r="J53" s="22"/>
      <c r="K53" s="24">
        <v>6821.88</v>
      </c>
      <c r="L53" s="22"/>
      <c r="M53" s="274">
        <v>6821.88</v>
      </c>
      <c r="N53" s="22">
        <f t="shared" si="8"/>
        <v>0</v>
      </c>
      <c r="O53" s="24">
        <f t="shared" si="9"/>
        <v>13643.76</v>
      </c>
      <c r="P53" s="293"/>
      <c r="Q53" s="293"/>
    </row>
    <row r="54" spans="1:17" s="15" customFormat="1" x14ac:dyDescent="0.25">
      <c r="A54" s="254"/>
      <c r="B54" s="244" t="s">
        <v>218</v>
      </c>
      <c r="C54" s="18" t="s">
        <v>294</v>
      </c>
      <c r="D54" s="103" t="s">
        <v>295</v>
      </c>
      <c r="E54" s="86" t="s">
        <v>132</v>
      </c>
      <c r="F54" s="22"/>
      <c r="G54" s="20"/>
      <c r="H54" s="22"/>
      <c r="I54" s="20"/>
      <c r="J54" s="22"/>
      <c r="K54" s="24">
        <v>5300.3600000000006</v>
      </c>
      <c r="L54" s="22"/>
      <c r="M54" s="274">
        <v>5300.3600000000006</v>
      </c>
      <c r="N54" s="22">
        <f t="shared" si="8"/>
        <v>0</v>
      </c>
      <c r="O54" s="24">
        <f t="shared" si="9"/>
        <v>10600.720000000001</v>
      </c>
      <c r="P54" s="293"/>
      <c r="Q54" s="293"/>
    </row>
    <row r="55" spans="1:17" s="15" customFormat="1" x14ac:dyDescent="0.25">
      <c r="A55" s="254"/>
      <c r="B55" s="244" t="s">
        <v>218</v>
      </c>
      <c r="C55" s="18" t="s">
        <v>296</v>
      </c>
      <c r="D55" s="103" t="s">
        <v>297</v>
      </c>
      <c r="E55" s="86" t="s">
        <v>132</v>
      </c>
      <c r="F55" s="22"/>
      <c r="G55" s="20"/>
      <c r="H55" s="22"/>
      <c r="I55" s="20"/>
      <c r="J55" s="22"/>
      <c r="K55" s="24">
        <v>16932.5</v>
      </c>
      <c r="L55" s="22"/>
      <c r="M55" s="274">
        <v>16932.5</v>
      </c>
      <c r="N55" s="22">
        <f t="shared" si="8"/>
        <v>0</v>
      </c>
      <c r="O55" s="24">
        <f t="shared" si="9"/>
        <v>33865</v>
      </c>
      <c r="P55" s="293"/>
      <c r="Q55" s="293"/>
    </row>
    <row r="56" spans="1:17" s="15" customFormat="1" x14ac:dyDescent="0.25">
      <c r="A56" s="254"/>
      <c r="B56" s="244" t="s">
        <v>218</v>
      </c>
      <c r="C56" s="18" t="s">
        <v>298</v>
      </c>
      <c r="D56" s="103" t="s">
        <v>299</v>
      </c>
      <c r="E56" s="86" t="s">
        <v>132</v>
      </c>
      <c r="F56" s="22"/>
      <c r="G56" s="20"/>
      <c r="H56" s="22"/>
      <c r="I56" s="20"/>
      <c r="J56" s="22"/>
      <c r="K56" s="24">
        <v>4907.7599999999993</v>
      </c>
      <c r="L56" s="22"/>
      <c r="M56" s="274">
        <v>4907.7599999999993</v>
      </c>
      <c r="N56" s="22">
        <f t="shared" si="8"/>
        <v>0</v>
      </c>
      <c r="O56" s="24">
        <f t="shared" si="9"/>
        <v>9815.5199999999986</v>
      </c>
      <c r="P56" s="293"/>
      <c r="Q56" s="293"/>
    </row>
    <row r="57" spans="1:17" s="15" customFormat="1" x14ac:dyDescent="0.25">
      <c r="A57" s="254"/>
      <c r="B57" s="244" t="s">
        <v>218</v>
      </c>
      <c r="C57" s="18" t="s">
        <v>300</v>
      </c>
      <c r="D57" s="103" t="s">
        <v>292</v>
      </c>
      <c r="E57" s="86" t="s">
        <v>132</v>
      </c>
      <c r="F57" s="22"/>
      <c r="G57" s="20"/>
      <c r="H57" s="22"/>
      <c r="I57" s="20"/>
      <c r="J57" s="22"/>
      <c r="K57" s="24">
        <v>9030.3200000000015</v>
      </c>
      <c r="L57" s="22"/>
      <c r="M57" s="274">
        <v>9030.3200000000015</v>
      </c>
      <c r="N57" s="22">
        <f t="shared" si="8"/>
        <v>0</v>
      </c>
      <c r="O57" s="24">
        <f t="shared" si="9"/>
        <v>18060.640000000003</v>
      </c>
      <c r="P57" s="293"/>
      <c r="Q57" s="293"/>
    </row>
    <row r="58" spans="1:17" s="15" customFormat="1" x14ac:dyDescent="0.25">
      <c r="A58" s="254"/>
      <c r="B58" s="244" t="s">
        <v>218</v>
      </c>
      <c r="C58" s="18" t="s">
        <v>301</v>
      </c>
      <c r="D58" s="103" t="s">
        <v>302</v>
      </c>
      <c r="E58" s="86" t="s">
        <v>132</v>
      </c>
      <c r="F58" s="22"/>
      <c r="G58" s="20"/>
      <c r="H58" s="22"/>
      <c r="I58" s="20"/>
      <c r="J58" s="22"/>
      <c r="K58" s="24">
        <v>4515.1600000000008</v>
      </c>
      <c r="L58" s="22"/>
      <c r="M58" s="274">
        <v>4515.1600000000008</v>
      </c>
      <c r="N58" s="22">
        <f t="shared" si="8"/>
        <v>0</v>
      </c>
      <c r="O58" s="24">
        <f t="shared" si="9"/>
        <v>9030.3200000000015</v>
      </c>
      <c r="P58" s="293"/>
      <c r="Q58" s="293"/>
    </row>
    <row r="59" spans="1:17" s="15" customFormat="1" x14ac:dyDescent="0.25">
      <c r="A59" s="254"/>
      <c r="B59" s="244" t="s">
        <v>218</v>
      </c>
      <c r="C59" s="18" t="s">
        <v>303</v>
      </c>
      <c r="D59" s="103" t="s">
        <v>304</v>
      </c>
      <c r="E59" s="86" t="s">
        <v>132</v>
      </c>
      <c r="F59" s="22"/>
      <c r="G59" s="20"/>
      <c r="H59" s="22"/>
      <c r="I59" s="20"/>
      <c r="J59" s="22"/>
      <c r="K59" s="24">
        <v>10895.04</v>
      </c>
      <c r="L59" s="22"/>
      <c r="M59" s="274">
        <v>10895.04</v>
      </c>
      <c r="N59" s="22">
        <f t="shared" si="8"/>
        <v>0</v>
      </c>
      <c r="O59" s="24">
        <f t="shared" si="9"/>
        <v>21790.080000000002</v>
      </c>
      <c r="P59" s="293"/>
      <c r="Q59" s="293"/>
    </row>
    <row r="60" spans="1:17" s="15" customFormat="1" ht="30" x14ac:dyDescent="0.25">
      <c r="A60" s="254"/>
      <c r="B60" s="244" t="s">
        <v>218</v>
      </c>
      <c r="C60" s="18" t="s">
        <v>305</v>
      </c>
      <c r="D60" s="103" t="s">
        <v>260</v>
      </c>
      <c r="E60" s="86" t="s">
        <v>132</v>
      </c>
      <c r="F60" s="22"/>
      <c r="G60" s="20"/>
      <c r="H60" s="22"/>
      <c r="I60" s="20"/>
      <c r="J60" s="22"/>
      <c r="K60" s="24">
        <v>6821.88</v>
      </c>
      <c r="L60" s="22"/>
      <c r="M60" s="274">
        <v>6821.88</v>
      </c>
      <c r="N60" s="22">
        <f t="shared" si="8"/>
        <v>0</v>
      </c>
      <c r="O60" s="24">
        <f t="shared" si="9"/>
        <v>13643.76</v>
      </c>
      <c r="P60" s="293"/>
      <c r="Q60" s="293"/>
    </row>
    <row r="61" spans="1:17" s="15" customFormat="1" x14ac:dyDescent="0.25">
      <c r="A61" s="254"/>
      <c r="B61" s="244" t="s">
        <v>218</v>
      </c>
      <c r="C61" s="18" t="s">
        <v>306</v>
      </c>
      <c r="D61" s="103" t="s">
        <v>307</v>
      </c>
      <c r="E61" s="86" t="s">
        <v>132</v>
      </c>
      <c r="F61" s="22"/>
      <c r="G61" s="20"/>
      <c r="H61" s="22"/>
      <c r="I61" s="20"/>
      <c r="J61" s="22"/>
      <c r="K61" s="24">
        <v>6085.56</v>
      </c>
      <c r="L61" s="22"/>
      <c r="M61" s="274">
        <v>6085.56</v>
      </c>
      <c r="N61" s="22">
        <f t="shared" si="8"/>
        <v>0</v>
      </c>
      <c r="O61" s="24">
        <f t="shared" si="9"/>
        <v>12171.12</v>
      </c>
      <c r="P61" s="293"/>
      <c r="Q61" s="293"/>
    </row>
    <row r="62" spans="1:17" s="15" customFormat="1" x14ac:dyDescent="0.25">
      <c r="A62" s="254"/>
      <c r="B62" s="244" t="s">
        <v>218</v>
      </c>
      <c r="C62" s="18" t="s">
        <v>308</v>
      </c>
      <c r="D62" s="103" t="s">
        <v>302</v>
      </c>
      <c r="E62" s="86" t="s">
        <v>132</v>
      </c>
      <c r="F62" s="22"/>
      <c r="G62" s="20"/>
      <c r="H62" s="22"/>
      <c r="I62" s="20"/>
      <c r="J62" s="22"/>
      <c r="K62" s="24">
        <v>12662.52</v>
      </c>
      <c r="L62" s="22"/>
      <c r="M62" s="274">
        <v>12662.52</v>
      </c>
      <c r="N62" s="22">
        <f t="shared" si="8"/>
        <v>0</v>
      </c>
      <c r="O62" s="24">
        <f t="shared" si="9"/>
        <v>25325.040000000001</v>
      </c>
      <c r="P62" s="293"/>
      <c r="Q62" s="293"/>
    </row>
    <row r="63" spans="1:17" s="15" customFormat="1" x14ac:dyDescent="0.25">
      <c r="A63" s="254"/>
      <c r="B63" s="244" t="s">
        <v>218</v>
      </c>
      <c r="C63" s="18" t="s">
        <v>350</v>
      </c>
      <c r="D63" s="103" t="s">
        <v>309</v>
      </c>
      <c r="E63" s="86" t="s">
        <v>36</v>
      </c>
      <c r="F63" s="22"/>
      <c r="G63" s="20"/>
      <c r="H63" s="22"/>
      <c r="I63" s="20"/>
      <c r="J63" s="22"/>
      <c r="K63" s="24">
        <v>53200</v>
      </c>
      <c r="L63" s="22"/>
      <c r="M63" s="274">
        <v>53200</v>
      </c>
      <c r="N63" s="22">
        <f t="shared" si="8"/>
        <v>0</v>
      </c>
      <c r="O63" s="24">
        <f t="shared" si="9"/>
        <v>106400</v>
      </c>
      <c r="P63" s="293"/>
      <c r="Q63" s="293"/>
    </row>
    <row r="64" spans="1:17" s="15" customFormat="1" ht="30" x14ac:dyDescent="0.25">
      <c r="A64" s="254"/>
      <c r="B64" s="244" t="s">
        <v>218</v>
      </c>
      <c r="C64" s="18" t="s">
        <v>34</v>
      </c>
      <c r="D64" s="103" t="s">
        <v>315</v>
      </c>
      <c r="E64" s="86" t="s">
        <v>240</v>
      </c>
      <c r="F64" s="22"/>
      <c r="G64" s="20"/>
      <c r="H64" s="22"/>
      <c r="I64" s="20"/>
      <c r="J64" s="22">
        <v>6266.0116188000002</v>
      </c>
      <c r="K64" s="24">
        <v>4177.4000000000005</v>
      </c>
      <c r="L64" s="22">
        <v>6266.0116188000002</v>
      </c>
      <c r="M64" s="274">
        <v>4177.4000000000005</v>
      </c>
      <c r="N64" s="312">
        <f t="shared" si="8"/>
        <v>12532.0232376</v>
      </c>
      <c r="O64" s="24">
        <f t="shared" si="9"/>
        <v>8354.8000000000011</v>
      </c>
      <c r="P64" s="293"/>
      <c r="Q64" s="293"/>
    </row>
    <row r="65" spans="1:17" x14ac:dyDescent="0.25">
      <c r="A65" s="253" t="s">
        <v>447</v>
      </c>
      <c r="B65" s="224" t="s">
        <v>218</v>
      </c>
      <c r="C65" s="221" t="s">
        <v>448</v>
      </c>
      <c r="D65" s="222"/>
      <c r="E65" s="223"/>
      <c r="F65" s="225"/>
      <c r="G65" s="224"/>
      <c r="H65" s="225"/>
      <c r="I65" s="224"/>
      <c r="J65" s="225"/>
      <c r="K65" s="224"/>
      <c r="L65" s="225"/>
      <c r="M65" s="224"/>
      <c r="N65" s="225"/>
      <c r="O65" s="226"/>
      <c r="P65" s="293"/>
      <c r="Q65" s="293"/>
    </row>
    <row r="66" spans="1:17" s="15" customFormat="1" x14ac:dyDescent="0.25">
      <c r="A66" s="254"/>
      <c r="B66" s="244" t="s">
        <v>218</v>
      </c>
      <c r="C66" s="18" t="s">
        <v>310</v>
      </c>
      <c r="D66" s="103" t="s">
        <v>311</v>
      </c>
      <c r="E66" s="86" t="s">
        <v>133</v>
      </c>
      <c r="F66" s="22"/>
      <c r="G66" s="20"/>
      <c r="H66" s="22"/>
      <c r="I66" s="20"/>
      <c r="J66" s="22"/>
      <c r="K66" s="20"/>
      <c r="L66" s="22"/>
      <c r="M66" s="274"/>
      <c r="N66" s="22">
        <f t="shared" ref="N66" si="10">+F66+H66+J66+L66</f>
        <v>0</v>
      </c>
      <c r="O66" s="24">
        <f t="shared" ref="O66" si="11">+G66+I66+K66+M66</f>
        <v>0</v>
      </c>
      <c r="P66" s="293"/>
      <c r="Q66" s="293"/>
    </row>
    <row r="67" spans="1:17" x14ac:dyDescent="0.25">
      <c r="A67" s="253" t="s">
        <v>449</v>
      </c>
      <c r="B67" s="224" t="s">
        <v>218</v>
      </c>
      <c r="C67" s="221" t="s">
        <v>450</v>
      </c>
      <c r="D67" s="222"/>
      <c r="E67" s="223"/>
      <c r="F67" s="225"/>
      <c r="G67" s="224"/>
      <c r="H67" s="225"/>
      <c r="I67" s="224"/>
      <c r="J67" s="225"/>
      <c r="K67" s="224"/>
      <c r="L67" s="225"/>
      <c r="M67" s="224"/>
      <c r="N67" s="225"/>
      <c r="O67" s="226"/>
      <c r="P67" s="293"/>
      <c r="Q67" s="293"/>
    </row>
    <row r="68" spans="1:17" s="15" customFormat="1" ht="30" x14ac:dyDescent="0.25">
      <c r="A68" s="254"/>
      <c r="B68" s="244" t="s">
        <v>218</v>
      </c>
      <c r="C68" s="18" t="s">
        <v>34</v>
      </c>
      <c r="D68" s="103" t="s">
        <v>312</v>
      </c>
      <c r="E68" s="86" t="s">
        <v>136</v>
      </c>
      <c r="F68" s="22"/>
      <c r="G68" s="20"/>
      <c r="H68" s="22"/>
      <c r="I68" s="20"/>
      <c r="J68" s="22">
        <v>286724.15257006802</v>
      </c>
      <c r="K68" s="20"/>
      <c r="L68" s="22">
        <v>286724.15257006802</v>
      </c>
      <c r="M68" s="274"/>
      <c r="N68" s="312">
        <f t="shared" ref="N68:N71" si="12">+F68+H68+J68+L68</f>
        <v>573448.30514013604</v>
      </c>
      <c r="O68" s="24">
        <f t="shared" ref="O68:O71" si="13">+G68+I68+K68+M68</f>
        <v>0</v>
      </c>
      <c r="P68" s="293"/>
      <c r="Q68" s="293"/>
    </row>
    <row r="69" spans="1:17" s="15" customFormat="1" ht="30" x14ac:dyDescent="0.25">
      <c r="A69" s="254"/>
      <c r="B69" s="244" t="s">
        <v>218</v>
      </c>
      <c r="C69" s="18" t="s">
        <v>8</v>
      </c>
      <c r="D69" s="103" t="s">
        <v>313</v>
      </c>
      <c r="E69" s="86" t="s">
        <v>136</v>
      </c>
      <c r="F69" s="22"/>
      <c r="G69" s="20"/>
      <c r="H69" s="22"/>
      <c r="I69" s="20"/>
      <c r="J69" s="22">
        <v>4000</v>
      </c>
      <c r="K69" s="20"/>
      <c r="L69" s="22">
        <v>4000</v>
      </c>
      <c r="M69" s="274"/>
      <c r="N69" s="312">
        <f t="shared" si="12"/>
        <v>8000</v>
      </c>
      <c r="O69" s="24">
        <f t="shared" si="13"/>
        <v>0</v>
      </c>
      <c r="P69" s="293"/>
      <c r="Q69" s="293"/>
    </row>
    <row r="70" spans="1:17" s="15" customFormat="1" x14ac:dyDescent="0.25">
      <c r="A70" s="254"/>
      <c r="B70" s="244" t="s">
        <v>218</v>
      </c>
      <c r="C70" s="18" t="s">
        <v>9</v>
      </c>
      <c r="D70" s="103" t="s">
        <v>314</v>
      </c>
      <c r="E70" s="86" t="s">
        <v>136</v>
      </c>
      <c r="F70" s="22"/>
      <c r="G70" s="20"/>
      <c r="H70" s="22"/>
      <c r="I70" s="20"/>
      <c r="J70" s="22">
        <v>275480.06815555558</v>
      </c>
      <c r="K70" s="20"/>
      <c r="L70" s="22">
        <v>275480.06815555558</v>
      </c>
      <c r="M70" s="274"/>
      <c r="N70" s="312">
        <f t="shared" si="12"/>
        <v>550960.13631111116</v>
      </c>
      <c r="O70" s="24">
        <f t="shared" si="13"/>
        <v>0</v>
      </c>
      <c r="P70" s="293"/>
      <c r="Q70" s="293"/>
    </row>
    <row r="71" spans="1:17" s="15" customFormat="1" x14ac:dyDescent="0.25">
      <c r="A71" s="254"/>
      <c r="B71" s="244" t="s">
        <v>218</v>
      </c>
      <c r="C71" s="18" t="s">
        <v>20</v>
      </c>
      <c r="D71" s="103" t="s">
        <v>39</v>
      </c>
      <c r="E71" s="86" t="s">
        <v>135</v>
      </c>
      <c r="F71" s="22"/>
      <c r="G71" s="20"/>
      <c r="H71" s="22"/>
      <c r="I71" s="20"/>
      <c r="J71" s="22">
        <v>10000</v>
      </c>
      <c r="K71" s="20"/>
      <c r="L71" s="22">
        <v>10000</v>
      </c>
      <c r="M71" s="274"/>
      <c r="N71" s="312">
        <f t="shared" si="12"/>
        <v>20000</v>
      </c>
      <c r="O71" s="24">
        <f t="shared" si="13"/>
        <v>0</v>
      </c>
      <c r="P71" s="293"/>
      <c r="Q71" s="293"/>
    </row>
    <row r="72" spans="1:17" x14ac:dyDescent="0.25">
      <c r="A72" s="253" t="s">
        <v>451</v>
      </c>
      <c r="B72" s="224" t="s">
        <v>218</v>
      </c>
      <c r="C72" s="221" t="s">
        <v>452</v>
      </c>
      <c r="D72" s="222"/>
      <c r="E72" s="223"/>
      <c r="F72" s="225"/>
      <c r="G72" s="224"/>
      <c r="H72" s="225"/>
      <c r="I72" s="224"/>
      <c r="J72" s="225"/>
      <c r="K72" s="224"/>
      <c r="L72" s="225"/>
      <c r="M72" s="224"/>
      <c r="N72" s="225"/>
      <c r="O72" s="226"/>
      <c r="P72" s="293"/>
      <c r="Q72" s="293"/>
    </row>
    <row r="73" spans="1:17" s="15" customFormat="1" x14ac:dyDescent="0.25">
      <c r="A73" s="254"/>
      <c r="B73" s="244" t="s">
        <v>218</v>
      </c>
      <c r="C73" s="18" t="s">
        <v>10</v>
      </c>
      <c r="D73" s="103" t="s">
        <v>316</v>
      </c>
      <c r="E73" s="86" t="s">
        <v>135</v>
      </c>
      <c r="F73" s="22"/>
      <c r="G73" s="20"/>
      <c r="H73" s="22"/>
      <c r="I73" s="20"/>
      <c r="J73" s="22">
        <v>123502.698342</v>
      </c>
      <c r="K73" s="20">
        <v>28500</v>
      </c>
      <c r="L73" s="22">
        <v>41167.566114000001</v>
      </c>
      <c r="M73" s="274">
        <v>9500</v>
      </c>
      <c r="N73" s="312">
        <f t="shared" ref="N73" si="14">+F73+H73+J73+L73</f>
        <v>164670.264456</v>
      </c>
      <c r="O73" s="24">
        <f t="shared" ref="O73" si="15">+G73+I73+K73+M73</f>
        <v>38000</v>
      </c>
      <c r="P73" s="293"/>
      <c r="Q73" s="293"/>
    </row>
    <row r="74" spans="1:17" x14ac:dyDescent="0.25">
      <c r="A74" s="253" t="s">
        <v>454</v>
      </c>
      <c r="B74" s="224" t="s">
        <v>218</v>
      </c>
      <c r="C74" s="221" t="s">
        <v>453</v>
      </c>
      <c r="D74" s="222"/>
      <c r="E74" s="223"/>
      <c r="F74" s="225"/>
      <c r="G74" s="224"/>
      <c r="H74" s="225"/>
      <c r="I74" s="224"/>
      <c r="J74" s="225"/>
      <c r="K74" s="224"/>
      <c r="L74" s="225"/>
      <c r="M74" s="224"/>
      <c r="N74" s="225"/>
      <c r="O74" s="226"/>
      <c r="P74" s="293"/>
      <c r="Q74" s="293"/>
    </row>
    <row r="75" spans="1:17" s="15" customFormat="1" x14ac:dyDescent="0.25">
      <c r="A75" s="254"/>
      <c r="B75" s="244" t="s">
        <v>218</v>
      </c>
      <c r="C75" s="18" t="s">
        <v>317</v>
      </c>
      <c r="D75" s="103" t="s">
        <v>318</v>
      </c>
      <c r="E75" s="86" t="s">
        <v>383</v>
      </c>
      <c r="F75" s="22"/>
      <c r="G75" s="20"/>
      <c r="H75" s="22"/>
      <c r="I75" s="20"/>
      <c r="J75" s="22"/>
      <c r="K75" s="20"/>
      <c r="L75" s="22">
        <v>269778.875</v>
      </c>
      <c r="M75" s="274"/>
      <c r="N75" s="312">
        <f t="shared" ref="N75" si="16">+F75+H75+J75+L75</f>
        <v>269778.875</v>
      </c>
      <c r="O75" s="24">
        <f t="shared" ref="O75" si="17">+G75+I75+K75+M75</f>
        <v>0</v>
      </c>
      <c r="P75" s="293"/>
      <c r="Q75" s="293"/>
    </row>
    <row r="76" spans="1:17" x14ac:dyDescent="0.25">
      <c r="A76" s="253" t="s">
        <v>513</v>
      </c>
      <c r="B76" s="224" t="s">
        <v>218</v>
      </c>
      <c r="C76" s="221" t="s">
        <v>527</v>
      </c>
      <c r="D76" s="222"/>
      <c r="E76" s="223"/>
      <c r="F76" s="225"/>
      <c r="G76" s="224"/>
      <c r="H76" s="225"/>
      <c r="I76" s="224"/>
      <c r="J76" s="225"/>
      <c r="K76" s="224"/>
      <c r="L76" s="225"/>
      <c r="M76" s="224"/>
      <c r="N76" s="225"/>
      <c r="O76" s="226"/>
      <c r="P76" s="293"/>
      <c r="Q76" s="293"/>
    </row>
    <row r="77" spans="1:17" s="15" customFormat="1" ht="30" x14ac:dyDescent="0.25">
      <c r="A77" s="254"/>
      <c r="B77" s="244" t="s">
        <v>218</v>
      </c>
      <c r="C77" s="103" t="s">
        <v>514</v>
      </c>
      <c r="D77" s="103" t="s">
        <v>528</v>
      </c>
      <c r="E77" s="18" t="s">
        <v>136</v>
      </c>
      <c r="F77" s="22"/>
      <c r="G77" s="20"/>
      <c r="H77" s="22"/>
      <c r="I77" s="20"/>
      <c r="J77" s="22"/>
      <c r="K77" s="20">
        <f>153312*0.3</f>
        <v>45993.599999999999</v>
      </c>
      <c r="L77" s="22"/>
      <c r="M77" s="20">
        <f>153312*0.5</f>
        <v>76656</v>
      </c>
      <c r="N77" s="22">
        <f t="shared" ref="N77" si="18">+F77+H77+J77+L77</f>
        <v>0</v>
      </c>
      <c r="O77" s="24">
        <f t="shared" ref="O77" si="19">+G77+I77+K77+M77</f>
        <v>122649.60000000001</v>
      </c>
      <c r="P77" s="293"/>
      <c r="Q77" s="293"/>
    </row>
    <row r="78" spans="1:17" x14ac:dyDescent="0.25">
      <c r="A78" s="252" t="s">
        <v>409</v>
      </c>
      <c r="B78" s="243" t="s">
        <v>533</v>
      </c>
      <c r="C78" s="216"/>
      <c r="D78" s="217"/>
      <c r="E78" s="217"/>
      <c r="F78" s="218"/>
      <c r="G78" s="219"/>
      <c r="H78" s="218"/>
      <c r="I78" s="219"/>
      <c r="J78" s="218"/>
      <c r="K78" s="219"/>
      <c r="L78" s="218"/>
      <c r="M78" s="219"/>
      <c r="N78" s="218"/>
      <c r="O78" s="220"/>
      <c r="P78" s="293"/>
      <c r="Q78" s="293"/>
    </row>
    <row r="79" spans="1:17" x14ac:dyDescent="0.25">
      <c r="A79" s="253" t="s">
        <v>410</v>
      </c>
      <c r="B79" s="224"/>
      <c r="C79" s="224" t="s">
        <v>535</v>
      </c>
      <c r="D79" s="222"/>
      <c r="E79" s="223"/>
      <c r="F79" s="225"/>
      <c r="G79" s="224"/>
      <c r="H79" s="225"/>
      <c r="I79" s="224"/>
      <c r="J79" s="225"/>
      <c r="K79" s="224"/>
      <c r="L79" s="225"/>
      <c r="M79" s="224"/>
      <c r="N79" s="225"/>
      <c r="O79" s="226"/>
      <c r="P79" s="293"/>
      <c r="Q79" s="293"/>
    </row>
    <row r="80" spans="1:17" s="15" customFormat="1" x14ac:dyDescent="0.25">
      <c r="A80" s="254"/>
      <c r="B80" s="244" t="s">
        <v>323</v>
      </c>
      <c r="C80" s="18" t="s">
        <v>414</v>
      </c>
      <c r="D80" s="205" t="s">
        <v>415</v>
      </c>
      <c r="E80" s="86" t="s">
        <v>327</v>
      </c>
      <c r="F80" s="22"/>
      <c r="G80" s="20"/>
      <c r="H80" s="22"/>
      <c r="I80" s="20"/>
      <c r="J80" s="22"/>
      <c r="K80" s="20"/>
      <c r="L80" s="22"/>
      <c r="M80" s="274"/>
      <c r="N80" s="22">
        <v>0</v>
      </c>
      <c r="O80" s="24">
        <v>0</v>
      </c>
      <c r="P80" s="293"/>
      <c r="Q80" s="293"/>
    </row>
    <row r="81" spans="1:17" s="15" customFormat="1" x14ac:dyDescent="0.25">
      <c r="A81" s="254"/>
      <c r="B81" s="244" t="s">
        <v>323</v>
      </c>
      <c r="C81" s="18" t="s">
        <v>414</v>
      </c>
      <c r="D81" s="205" t="s">
        <v>416</v>
      </c>
      <c r="E81" s="86" t="s">
        <v>327</v>
      </c>
      <c r="F81" s="22"/>
      <c r="G81" s="20"/>
      <c r="H81" s="22"/>
      <c r="I81" s="20"/>
      <c r="J81" s="22"/>
      <c r="K81" s="20"/>
      <c r="L81" s="22"/>
      <c r="M81" s="274"/>
      <c r="N81" s="22">
        <v>0</v>
      </c>
      <c r="O81" s="24">
        <v>0</v>
      </c>
      <c r="P81" s="293"/>
      <c r="Q81" s="293"/>
    </row>
    <row r="82" spans="1:17" s="15" customFormat="1" x14ac:dyDescent="0.25">
      <c r="A82" s="254"/>
      <c r="B82" s="244" t="s">
        <v>323</v>
      </c>
      <c r="C82" s="18" t="s">
        <v>414</v>
      </c>
      <c r="D82" s="205" t="s">
        <v>417</v>
      </c>
      <c r="E82" s="86" t="s">
        <v>327</v>
      </c>
      <c r="F82" s="22"/>
      <c r="G82" s="20"/>
      <c r="H82" s="22"/>
      <c r="I82" s="20"/>
      <c r="J82" s="22"/>
      <c r="K82" s="20"/>
      <c r="L82" s="22"/>
      <c r="M82" s="274"/>
      <c r="N82" s="22">
        <v>0</v>
      </c>
      <c r="O82" s="24">
        <v>0</v>
      </c>
      <c r="P82" s="293"/>
      <c r="Q82" s="293"/>
    </row>
    <row r="83" spans="1:17" s="15" customFormat="1" x14ac:dyDescent="0.25">
      <c r="A83" s="254"/>
      <c r="B83" s="244" t="s">
        <v>323</v>
      </c>
      <c r="C83" s="18" t="s">
        <v>414</v>
      </c>
      <c r="D83" s="205" t="s">
        <v>418</v>
      </c>
      <c r="E83" s="86" t="s">
        <v>327</v>
      </c>
      <c r="F83" s="22"/>
      <c r="G83" s="20"/>
      <c r="H83" s="22"/>
      <c r="I83" s="20"/>
      <c r="J83" s="22"/>
      <c r="K83" s="20"/>
      <c r="L83" s="22"/>
      <c r="M83" s="274"/>
      <c r="N83" s="22">
        <v>0</v>
      </c>
      <c r="O83" s="24">
        <v>0</v>
      </c>
      <c r="P83" s="293"/>
      <c r="Q83" s="293"/>
    </row>
    <row r="84" spans="1:17" s="15" customFormat="1" ht="30" x14ac:dyDescent="0.25">
      <c r="A84" s="254"/>
      <c r="B84" s="244" t="s">
        <v>323</v>
      </c>
      <c r="C84" s="18" t="s">
        <v>414</v>
      </c>
      <c r="D84" s="205" t="s">
        <v>419</v>
      </c>
      <c r="E84" s="86" t="s">
        <v>327</v>
      </c>
      <c r="F84" s="22"/>
      <c r="G84" s="20"/>
      <c r="H84" s="22"/>
      <c r="I84" s="20"/>
      <c r="J84" s="22"/>
      <c r="K84" s="20"/>
      <c r="L84" s="22"/>
      <c r="M84" s="274"/>
      <c r="N84" s="22">
        <v>0</v>
      </c>
      <c r="O84" s="24">
        <v>0</v>
      </c>
      <c r="P84" s="293"/>
      <c r="Q84" s="293"/>
    </row>
    <row r="85" spans="1:17" x14ac:dyDescent="0.25">
      <c r="A85" s="253" t="s">
        <v>456</v>
      </c>
      <c r="B85" s="224"/>
      <c r="C85" s="221" t="s">
        <v>455</v>
      </c>
      <c r="D85" s="222"/>
      <c r="E85" s="223"/>
      <c r="F85" s="225"/>
      <c r="G85" s="224"/>
      <c r="H85" s="225"/>
      <c r="I85" s="224"/>
      <c r="J85" s="225"/>
      <c r="K85" s="224"/>
      <c r="L85" s="225"/>
      <c r="M85" s="224"/>
      <c r="N85" s="225"/>
      <c r="O85" s="226"/>
      <c r="P85" s="293"/>
      <c r="Q85" s="293"/>
    </row>
    <row r="86" spans="1:17" s="15" customFormat="1" ht="45" x14ac:dyDescent="0.25">
      <c r="A86" s="254"/>
      <c r="B86" s="244" t="s">
        <v>323</v>
      </c>
      <c r="C86" s="18" t="s">
        <v>329</v>
      </c>
      <c r="D86" s="205" t="s">
        <v>420</v>
      </c>
      <c r="E86" s="86" t="s">
        <v>310</v>
      </c>
      <c r="F86" s="22"/>
      <c r="G86" s="20"/>
      <c r="H86" s="22"/>
      <c r="I86" s="20"/>
      <c r="J86" s="22">
        <v>0</v>
      </c>
      <c r="K86" s="20"/>
      <c r="L86" s="22">
        <v>0</v>
      </c>
      <c r="M86" s="274"/>
      <c r="N86" s="22">
        <f t="shared" ref="N86" si="20">+F86+H86+J86+L86</f>
        <v>0</v>
      </c>
      <c r="O86" s="24">
        <f t="shared" ref="O86" si="21">+G86+I86+K86+M86</f>
        <v>0</v>
      </c>
      <c r="P86" s="293"/>
      <c r="Q86" s="293"/>
    </row>
    <row r="87" spans="1:17" x14ac:dyDescent="0.25">
      <c r="A87" s="253" t="s">
        <v>457</v>
      </c>
      <c r="B87" s="224"/>
      <c r="C87" s="221" t="s">
        <v>466</v>
      </c>
      <c r="D87" s="222"/>
      <c r="E87" s="223"/>
      <c r="F87" s="225"/>
      <c r="G87" s="224"/>
      <c r="H87" s="225"/>
      <c r="I87" s="224"/>
      <c r="J87" s="225"/>
      <c r="K87" s="224"/>
      <c r="L87" s="225"/>
      <c r="M87" s="224"/>
      <c r="N87" s="225"/>
      <c r="O87" s="226"/>
      <c r="P87" s="293"/>
      <c r="Q87" s="293"/>
    </row>
    <row r="88" spans="1:17" s="15" customFormat="1" ht="30" x14ac:dyDescent="0.25">
      <c r="A88" s="254"/>
      <c r="B88" s="244" t="s">
        <v>323</v>
      </c>
      <c r="C88" s="18" t="s">
        <v>421</v>
      </c>
      <c r="D88" s="205" t="s">
        <v>422</v>
      </c>
      <c r="E88" s="86" t="s">
        <v>337</v>
      </c>
      <c r="F88" s="22"/>
      <c r="G88" s="20"/>
      <c r="H88" s="22"/>
      <c r="I88" s="20"/>
      <c r="J88" s="22">
        <v>0</v>
      </c>
      <c r="K88" s="20">
        <v>0</v>
      </c>
      <c r="L88" s="22">
        <v>0</v>
      </c>
      <c r="M88" s="274">
        <v>0</v>
      </c>
      <c r="N88" s="22">
        <f t="shared" ref="N88" si="22">+F88+H88+J88+L88</f>
        <v>0</v>
      </c>
      <c r="O88" s="24">
        <f t="shared" ref="O88" si="23">+G88+I88+K88+M88</f>
        <v>0</v>
      </c>
      <c r="P88" s="293"/>
      <c r="Q88" s="293"/>
    </row>
    <row r="89" spans="1:17" x14ac:dyDescent="0.25">
      <c r="A89" s="252" t="s">
        <v>411</v>
      </c>
      <c r="B89" s="243" t="s">
        <v>536</v>
      </c>
      <c r="C89" s="216"/>
      <c r="D89" s="217"/>
      <c r="E89" s="217"/>
      <c r="F89" s="218"/>
      <c r="G89" s="219"/>
      <c r="H89" s="218"/>
      <c r="I89" s="219"/>
      <c r="J89" s="218"/>
      <c r="K89" s="219"/>
      <c r="L89" s="218"/>
      <c r="M89" s="219"/>
      <c r="N89" s="218"/>
      <c r="O89" s="220"/>
      <c r="P89" s="293"/>
      <c r="Q89" s="293"/>
    </row>
    <row r="90" spans="1:17" x14ac:dyDescent="0.25">
      <c r="A90" s="253" t="s">
        <v>522</v>
      </c>
      <c r="B90" s="224"/>
      <c r="C90" s="221" t="s">
        <v>446</v>
      </c>
      <c r="D90" s="222"/>
      <c r="E90" s="223"/>
      <c r="F90" s="225"/>
      <c r="G90" s="224"/>
      <c r="H90" s="225"/>
      <c r="I90" s="224"/>
      <c r="J90" s="225"/>
      <c r="K90" s="224"/>
      <c r="L90" s="225"/>
      <c r="M90" s="224"/>
      <c r="N90" s="225"/>
      <c r="O90" s="226"/>
      <c r="P90" s="293"/>
      <c r="Q90" s="293"/>
    </row>
    <row r="91" spans="1:17" s="15" customFormat="1" x14ac:dyDescent="0.25">
      <c r="A91" s="254"/>
      <c r="B91" s="244" t="s">
        <v>323</v>
      </c>
      <c r="C91" s="18" t="s">
        <v>369</v>
      </c>
      <c r="D91" s="103" t="s">
        <v>132</v>
      </c>
      <c r="E91" s="86" t="s">
        <v>132</v>
      </c>
      <c r="F91" s="22"/>
      <c r="G91" s="20"/>
      <c r="H91" s="22"/>
      <c r="I91" s="20"/>
      <c r="J91" s="22"/>
      <c r="K91" s="20">
        <v>15977.07</v>
      </c>
      <c r="L91" s="22"/>
      <c r="M91" s="274">
        <v>15977.07</v>
      </c>
      <c r="N91" s="22">
        <f t="shared" ref="N91:N103" si="24">+F91+H91+J91+L91</f>
        <v>0</v>
      </c>
      <c r="O91" s="24">
        <f t="shared" ref="O91:O103" si="25">+G91+I91+K91+M91</f>
        <v>31954.14</v>
      </c>
      <c r="P91" s="293"/>
      <c r="Q91" s="293"/>
    </row>
    <row r="92" spans="1:17" s="15" customFormat="1" x14ac:dyDescent="0.25">
      <c r="A92" s="254"/>
      <c r="B92" s="244" t="s">
        <v>323</v>
      </c>
      <c r="C92" s="18" t="s">
        <v>370</v>
      </c>
      <c r="D92" s="103" t="s">
        <v>132</v>
      </c>
      <c r="E92" s="86" t="s">
        <v>132</v>
      </c>
      <c r="F92" s="22"/>
      <c r="G92" s="20"/>
      <c r="H92" s="22"/>
      <c r="I92" s="20"/>
      <c r="J92" s="22"/>
      <c r="K92" s="20">
        <v>95079.463999999993</v>
      </c>
      <c r="L92" s="22"/>
      <c r="M92" s="274">
        <v>95079.463999999993</v>
      </c>
      <c r="N92" s="22">
        <f t="shared" si="24"/>
        <v>0</v>
      </c>
      <c r="O92" s="24">
        <f t="shared" si="25"/>
        <v>190158.92799999999</v>
      </c>
      <c r="P92" s="293"/>
      <c r="Q92" s="293"/>
    </row>
    <row r="93" spans="1:17" s="15" customFormat="1" x14ac:dyDescent="0.25">
      <c r="A93" s="254"/>
      <c r="B93" s="244" t="s">
        <v>323</v>
      </c>
      <c r="C93" s="18" t="s">
        <v>371</v>
      </c>
      <c r="D93" s="103" t="s">
        <v>132</v>
      </c>
      <c r="E93" s="86" t="s">
        <v>132</v>
      </c>
      <c r="F93" s="22"/>
      <c r="G93" s="20"/>
      <c r="H93" s="22"/>
      <c r="I93" s="20"/>
      <c r="J93" s="22"/>
      <c r="K93" s="20">
        <v>41106.894</v>
      </c>
      <c r="L93" s="22"/>
      <c r="M93" s="274">
        <v>41106.894</v>
      </c>
      <c r="N93" s="22">
        <f t="shared" si="24"/>
        <v>0</v>
      </c>
      <c r="O93" s="24">
        <f t="shared" si="25"/>
        <v>82213.788</v>
      </c>
      <c r="P93" s="293"/>
      <c r="Q93" s="293"/>
    </row>
    <row r="94" spans="1:17" s="15" customFormat="1" x14ac:dyDescent="0.25">
      <c r="A94" s="254"/>
      <c r="B94" s="244" t="s">
        <v>323</v>
      </c>
      <c r="C94" s="18" t="s">
        <v>372</v>
      </c>
      <c r="D94" s="103" t="s">
        <v>132</v>
      </c>
      <c r="E94" s="86" t="s">
        <v>132</v>
      </c>
      <c r="F94" s="22"/>
      <c r="G94" s="20"/>
      <c r="H94" s="22"/>
      <c r="I94" s="20"/>
      <c r="J94" s="22"/>
      <c r="K94" s="20">
        <v>12886.467999999999</v>
      </c>
      <c r="L94" s="22"/>
      <c r="M94" s="274">
        <v>12886.467999999999</v>
      </c>
      <c r="N94" s="22">
        <f t="shared" si="24"/>
        <v>0</v>
      </c>
      <c r="O94" s="24">
        <f t="shared" si="25"/>
        <v>25772.935999999998</v>
      </c>
      <c r="P94" s="293"/>
      <c r="Q94" s="293"/>
    </row>
    <row r="95" spans="1:17" s="15" customFormat="1" x14ac:dyDescent="0.25">
      <c r="A95" s="254"/>
      <c r="B95" s="244" t="s">
        <v>323</v>
      </c>
      <c r="C95" s="18" t="s">
        <v>373</v>
      </c>
      <c r="D95" s="103" t="s">
        <v>132</v>
      </c>
      <c r="E95" s="86" t="s">
        <v>132</v>
      </c>
      <c r="F95" s="22"/>
      <c r="G95" s="20"/>
      <c r="H95" s="22"/>
      <c r="I95" s="20"/>
      <c r="J95" s="22"/>
      <c r="K95" s="20">
        <v>32778.955999999998</v>
      </c>
      <c r="L95" s="22"/>
      <c r="M95" s="274">
        <v>32778.955999999998</v>
      </c>
      <c r="N95" s="22">
        <f t="shared" si="24"/>
        <v>0</v>
      </c>
      <c r="O95" s="24">
        <f t="shared" si="25"/>
        <v>65557.911999999997</v>
      </c>
      <c r="P95" s="293"/>
      <c r="Q95" s="293"/>
    </row>
    <row r="96" spans="1:17" s="15" customFormat="1" x14ac:dyDescent="0.25">
      <c r="A96" s="254"/>
      <c r="B96" s="244" t="s">
        <v>323</v>
      </c>
      <c r="C96" s="18" t="s">
        <v>374</v>
      </c>
      <c r="D96" s="103" t="s">
        <v>132</v>
      </c>
      <c r="E96" s="86" t="s">
        <v>132</v>
      </c>
      <c r="F96" s="22"/>
      <c r="G96" s="20"/>
      <c r="H96" s="22"/>
      <c r="I96" s="20"/>
      <c r="J96" s="22"/>
      <c r="K96" s="20">
        <v>63894.619999999995</v>
      </c>
      <c r="L96" s="22"/>
      <c r="M96" s="274">
        <v>63894.619999999995</v>
      </c>
      <c r="N96" s="22">
        <f t="shared" si="24"/>
        <v>0</v>
      </c>
      <c r="O96" s="24">
        <f t="shared" si="25"/>
        <v>127789.23999999999</v>
      </c>
      <c r="P96" s="293"/>
      <c r="Q96" s="293"/>
    </row>
    <row r="97" spans="1:17" s="15" customFormat="1" x14ac:dyDescent="0.25">
      <c r="A97" s="254"/>
      <c r="B97" s="244" t="s">
        <v>323</v>
      </c>
      <c r="C97" s="18" t="s">
        <v>375</v>
      </c>
      <c r="D97" s="103" t="s">
        <v>132</v>
      </c>
      <c r="E97" s="86" t="s">
        <v>132</v>
      </c>
      <c r="F97" s="22"/>
      <c r="G97" s="20"/>
      <c r="H97" s="22"/>
      <c r="I97" s="20"/>
      <c r="J97" s="22"/>
      <c r="K97" s="20">
        <v>73620.69</v>
      </c>
      <c r="L97" s="22"/>
      <c r="M97" s="274">
        <v>73620.69</v>
      </c>
      <c r="N97" s="22">
        <f t="shared" si="24"/>
        <v>0</v>
      </c>
      <c r="O97" s="24">
        <f t="shared" si="25"/>
        <v>147241.38</v>
      </c>
      <c r="P97" s="293"/>
      <c r="Q97" s="293"/>
    </row>
    <row r="98" spans="1:17" s="15" customFormat="1" x14ac:dyDescent="0.25">
      <c r="A98" s="254"/>
      <c r="B98" s="244" t="s">
        <v>323</v>
      </c>
      <c r="C98" s="18" t="s">
        <v>376</v>
      </c>
      <c r="D98" s="103" t="s">
        <v>132</v>
      </c>
      <c r="E98" s="86" t="s">
        <v>132</v>
      </c>
      <c r="F98" s="22"/>
      <c r="G98" s="20"/>
      <c r="H98" s="22"/>
      <c r="I98" s="20"/>
      <c r="J98" s="22"/>
      <c r="K98" s="20">
        <v>38456.78</v>
      </c>
      <c r="L98" s="22"/>
      <c r="M98" s="274">
        <v>38456.78</v>
      </c>
      <c r="N98" s="22">
        <f t="shared" si="24"/>
        <v>0</v>
      </c>
      <c r="O98" s="24">
        <f t="shared" si="25"/>
        <v>76913.56</v>
      </c>
      <c r="P98" s="293"/>
      <c r="Q98" s="293"/>
    </row>
    <row r="99" spans="1:17" s="15" customFormat="1" x14ac:dyDescent="0.25">
      <c r="A99" s="254"/>
      <c r="B99" s="244" t="s">
        <v>323</v>
      </c>
      <c r="C99" s="18" t="s">
        <v>377</v>
      </c>
      <c r="D99" s="103" t="s">
        <v>132</v>
      </c>
      <c r="E99" s="86" t="s">
        <v>132</v>
      </c>
      <c r="F99" s="22"/>
      <c r="G99" s="20"/>
      <c r="H99" s="22"/>
      <c r="I99" s="20"/>
      <c r="J99" s="22"/>
      <c r="K99" s="20">
        <v>28884.705999999998</v>
      </c>
      <c r="L99" s="22"/>
      <c r="M99" s="274">
        <v>28884.705999999998</v>
      </c>
      <c r="N99" s="22">
        <f t="shared" si="24"/>
        <v>0</v>
      </c>
      <c r="O99" s="24">
        <f t="shared" si="25"/>
        <v>57769.411999999997</v>
      </c>
      <c r="P99" s="293"/>
      <c r="Q99" s="293"/>
    </row>
    <row r="100" spans="1:17" s="15" customFormat="1" x14ac:dyDescent="0.25">
      <c r="A100" s="254"/>
      <c r="B100" s="244" t="s">
        <v>323</v>
      </c>
      <c r="C100" s="18" t="s">
        <v>384</v>
      </c>
      <c r="D100" s="103" t="s">
        <v>132</v>
      </c>
      <c r="E100" s="86" t="s">
        <v>132</v>
      </c>
      <c r="F100" s="22"/>
      <c r="G100" s="20"/>
      <c r="H100" s="22"/>
      <c r="I100" s="20"/>
      <c r="J100" s="22"/>
      <c r="K100" s="20">
        <v>136631.04000000001</v>
      </c>
      <c r="L100" s="22"/>
      <c r="M100" s="274">
        <v>136631.04000000001</v>
      </c>
      <c r="N100" s="22">
        <f t="shared" si="24"/>
        <v>0</v>
      </c>
      <c r="O100" s="24">
        <f t="shared" si="25"/>
        <v>273262.08000000002</v>
      </c>
      <c r="P100" s="293"/>
      <c r="Q100" s="293"/>
    </row>
    <row r="101" spans="1:17" s="15" customFormat="1" x14ac:dyDescent="0.25">
      <c r="A101" s="254"/>
      <c r="B101" s="244" t="s">
        <v>323</v>
      </c>
      <c r="C101" s="18" t="s">
        <v>349</v>
      </c>
      <c r="D101" s="103" t="s">
        <v>132</v>
      </c>
      <c r="E101" s="86" t="s">
        <v>132</v>
      </c>
      <c r="F101" s="22"/>
      <c r="G101" s="20"/>
      <c r="H101" s="22"/>
      <c r="I101" s="20"/>
      <c r="J101" s="22"/>
      <c r="K101" s="20">
        <v>22340.425531914894</v>
      </c>
      <c r="L101" s="22"/>
      <c r="M101" s="274">
        <v>22340.425531914894</v>
      </c>
      <c r="N101" s="22">
        <f t="shared" si="24"/>
        <v>0</v>
      </c>
      <c r="O101" s="24">
        <f t="shared" si="25"/>
        <v>44680.851063829788</v>
      </c>
      <c r="P101" s="293"/>
      <c r="Q101" s="293"/>
    </row>
    <row r="102" spans="1:17" s="15" customFormat="1" x14ac:dyDescent="0.25">
      <c r="A102" s="254"/>
      <c r="B102" s="244" t="s">
        <v>323</v>
      </c>
      <c r="C102" s="18" t="s">
        <v>83</v>
      </c>
      <c r="D102" s="103" t="s">
        <v>36</v>
      </c>
      <c r="E102" s="86" t="s">
        <v>36</v>
      </c>
      <c r="F102" s="22"/>
      <c r="G102" s="20"/>
      <c r="H102" s="22"/>
      <c r="I102" s="20"/>
      <c r="J102" s="22"/>
      <c r="K102" s="20">
        <v>50400</v>
      </c>
      <c r="L102" s="22"/>
      <c r="M102" s="274">
        <v>50400</v>
      </c>
      <c r="N102" s="22">
        <f t="shared" si="24"/>
        <v>0</v>
      </c>
      <c r="O102" s="24">
        <f t="shared" si="25"/>
        <v>100800</v>
      </c>
      <c r="P102" s="293"/>
      <c r="Q102" s="293"/>
    </row>
    <row r="103" spans="1:17" s="15" customFormat="1" x14ac:dyDescent="0.25">
      <c r="A103" s="254"/>
      <c r="B103" s="244" t="s">
        <v>323</v>
      </c>
      <c r="C103" s="18" t="s">
        <v>34</v>
      </c>
      <c r="D103" s="103" t="s">
        <v>240</v>
      </c>
      <c r="E103" s="86" t="s">
        <v>240</v>
      </c>
      <c r="F103" s="22"/>
      <c r="G103" s="20"/>
      <c r="H103" s="22"/>
      <c r="I103" s="20"/>
      <c r="J103" s="22">
        <v>18450</v>
      </c>
      <c r="K103" s="20">
        <v>12300</v>
      </c>
      <c r="L103" s="22">
        <v>18450</v>
      </c>
      <c r="M103" s="20">
        <v>12300</v>
      </c>
      <c r="N103" s="312">
        <f t="shared" si="24"/>
        <v>36900</v>
      </c>
      <c r="O103" s="24">
        <f t="shared" si="25"/>
        <v>24600</v>
      </c>
      <c r="P103" s="293"/>
      <c r="Q103" s="293"/>
    </row>
    <row r="104" spans="1:17" x14ac:dyDescent="0.25">
      <c r="A104" s="253" t="s">
        <v>523</v>
      </c>
      <c r="B104" s="224"/>
      <c r="C104" s="221" t="s">
        <v>465</v>
      </c>
      <c r="D104" s="222"/>
      <c r="E104" s="223"/>
      <c r="F104" s="225"/>
      <c r="G104" s="224"/>
      <c r="H104" s="225"/>
      <c r="I104" s="224"/>
      <c r="J104" s="225"/>
      <c r="K104" s="224"/>
      <c r="L104" s="225"/>
      <c r="M104" s="224"/>
      <c r="N104" s="225"/>
      <c r="O104" s="226"/>
      <c r="P104" s="293"/>
      <c r="Q104" s="293"/>
    </row>
    <row r="105" spans="1:17" s="15" customFormat="1" x14ac:dyDescent="0.25">
      <c r="A105" s="254"/>
      <c r="B105" s="244" t="s">
        <v>323</v>
      </c>
      <c r="C105" s="18" t="s">
        <v>343</v>
      </c>
      <c r="D105" s="103" t="s">
        <v>338</v>
      </c>
      <c r="E105" s="86" t="s">
        <v>338</v>
      </c>
      <c r="F105" s="22"/>
      <c r="G105" s="20"/>
      <c r="H105" s="22">
        <v>15587.5</v>
      </c>
      <c r="I105" s="20"/>
      <c r="J105" s="22">
        <v>46762.5</v>
      </c>
      <c r="K105" s="20"/>
      <c r="L105" s="22"/>
      <c r="M105" s="274"/>
      <c r="N105" s="312">
        <f t="shared" ref="N105" si="26">+F105+H105+J105+L105</f>
        <v>62350</v>
      </c>
      <c r="O105" s="24">
        <f t="shared" ref="O105" si="27">+G105+I105+K105+M105</f>
        <v>0</v>
      </c>
      <c r="P105" s="293"/>
      <c r="Q105" s="293"/>
    </row>
    <row r="106" spans="1:17" x14ac:dyDescent="0.25">
      <c r="A106" s="253" t="s">
        <v>524</v>
      </c>
      <c r="B106" s="224"/>
      <c r="C106" s="221" t="s">
        <v>464</v>
      </c>
      <c r="D106" s="222"/>
      <c r="E106" s="223"/>
      <c r="F106" s="225"/>
      <c r="G106" s="224"/>
      <c r="H106" s="225"/>
      <c r="I106" s="224"/>
      <c r="J106" s="225"/>
      <c r="K106" s="224"/>
      <c r="L106" s="225"/>
      <c r="M106" s="224"/>
      <c r="N106" s="225"/>
      <c r="O106" s="226"/>
      <c r="P106" s="293"/>
      <c r="Q106" s="293"/>
    </row>
    <row r="107" spans="1:17" s="15" customFormat="1" x14ac:dyDescent="0.25">
      <c r="A107" s="254"/>
      <c r="B107" s="244" t="s">
        <v>323</v>
      </c>
      <c r="C107" s="18" t="s">
        <v>335</v>
      </c>
      <c r="D107" s="103" t="s">
        <v>339</v>
      </c>
      <c r="E107" s="86" t="s">
        <v>339</v>
      </c>
      <c r="F107" s="22"/>
      <c r="G107" s="20"/>
      <c r="H107" s="22">
        <v>64000</v>
      </c>
      <c r="I107" s="20"/>
      <c r="J107" s="22">
        <v>128000</v>
      </c>
      <c r="K107" s="20"/>
      <c r="L107" s="22">
        <v>128000</v>
      </c>
      <c r="M107" s="274"/>
      <c r="N107" s="312">
        <f t="shared" ref="N107:N108" si="28">+F107+H107+J107+L107</f>
        <v>320000</v>
      </c>
      <c r="O107" s="24">
        <f t="shared" ref="O107:O108" si="29">+G107+I107+K107+M107</f>
        <v>0</v>
      </c>
      <c r="P107" s="293"/>
      <c r="Q107" s="293"/>
    </row>
    <row r="108" spans="1:17" s="15" customFormat="1" x14ac:dyDescent="0.25">
      <c r="A108" s="254"/>
      <c r="B108" s="244" t="s">
        <v>323</v>
      </c>
      <c r="C108" s="18" t="s">
        <v>336</v>
      </c>
      <c r="D108" s="103" t="s">
        <v>339</v>
      </c>
      <c r="E108" s="86" t="s">
        <v>339</v>
      </c>
      <c r="F108" s="22"/>
      <c r="G108" s="20"/>
      <c r="H108" s="22"/>
      <c r="I108" s="20"/>
      <c r="J108" s="22"/>
      <c r="K108" s="20"/>
      <c r="L108" s="22"/>
      <c r="M108" s="274"/>
      <c r="N108" s="22">
        <f t="shared" si="28"/>
        <v>0</v>
      </c>
      <c r="O108" s="24">
        <f t="shared" si="29"/>
        <v>0</v>
      </c>
      <c r="P108" s="293"/>
      <c r="Q108" s="293"/>
    </row>
    <row r="109" spans="1:17" x14ac:dyDescent="0.25">
      <c r="A109" s="253" t="s">
        <v>525</v>
      </c>
      <c r="B109" s="224"/>
      <c r="C109" s="221" t="s">
        <v>463</v>
      </c>
      <c r="D109" s="222"/>
      <c r="E109" s="223"/>
      <c r="F109" s="225"/>
      <c r="G109" s="224"/>
      <c r="H109" s="225"/>
      <c r="I109" s="224"/>
      <c r="J109" s="225"/>
      <c r="K109" s="224"/>
      <c r="L109" s="225"/>
      <c r="M109" s="224"/>
      <c r="N109" s="225"/>
      <c r="O109" s="226"/>
      <c r="P109" s="293"/>
      <c r="Q109" s="293"/>
    </row>
    <row r="110" spans="1:17" s="15" customFormat="1" ht="90" x14ac:dyDescent="0.25">
      <c r="A110" s="254"/>
      <c r="B110" s="244" t="s">
        <v>323</v>
      </c>
      <c r="C110" s="18" t="s">
        <v>423</v>
      </c>
      <c r="D110" s="103" t="s">
        <v>248</v>
      </c>
      <c r="E110" s="86" t="s">
        <v>248</v>
      </c>
      <c r="F110" s="22"/>
      <c r="G110" s="20"/>
      <c r="H110" s="22"/>
      <c r="I110" s="20"/>
      <c r="J110" s="22"/>
      <c r="K110" s="20"/>
      <c r="L110" s="22">
        <v>45000</v>
      </c>
      <c r="M110" s="274"/>
      <c r="N110" s="312">
        <f t="shared" ref="N110" si="30">+F110+H110+J110+L110</f>
        <v>45000</v>
      </c>
      <c r="O110" s="24">
        <f t="shared" ref="O110" si="31">+G110+I110+K110+M110</f>
        <v>0</v>
      </c>
      <c r="P110" s="293"/>
      <c r="Q110" s="293"/>
    </row>
    <row r="111" spans="1:17" x14ac:dyDescent="0.25">
      <c r="A111" s="253" t="s">
        <v>526</v>
      </c>
      <c r="B111" s="224"/>
      <c r="C111" s="221" t="s">
        <v>462</v>
      </c>
      <c r="D111" s="222"/>
      <c r="E111" s="223"/>
      <c r="F111" s="225"/>
      <c r="G111" s="224"/>
      <c r="H111" s="225"/>
      <c r="I111" s="224"/>
      <c r="J111" s="225"/>
      <c r="K111" s="224"/>
      <c r="L111" s="225"/>
      <c r="M111" s="224"/>
      <c r="N111" s="225"/>
      <c r="O111" s="226"/>
      <c r="P111" s="293"/>
      <c r="Q111" s="293"/>
    </row>
    <row r="112" spans="1:17" s="15" customFormat="1" x14ac:dyDescent="0.25">
      <c r="A112" s="254"/>
      <c r="B112" s="244" t="s">
        <v>323</v>
      </c>
      <c r="C112" s="18" t="s">
        <v>34</v>
      </c>
      <c r="D112" s="103" t="s">
        <v>136</v>
      </c>
      <c r="E112" s="86" t="s">
        <v>136</v>
      </c>
      <c r="F112" s="22"/>
      <c r="G112" s="20"/>
      <c r="H112" s="22">
        <v>118750</v>
      </c>
      <c r="I112" s="20"/>
      <c r="J112" s="22">
        <v>190000</v>
      </c>
      <c r="K112" s="20"/>
      <c r="L112" s="22">
        <v>166250</v>
      </c>
      <c r="M112" s="274"/>
      <c r="N112" s="312">
        <f t="shared" ref="N112:N114" si="32">+F112+H112+J112+L112</f>
        <v>475000</v>
      </c>
      <c r="O112" s="24">
        <f t="shared" ref="O112:O114" si="33">+G112+I112+K112+M112</f>
        <v>0</v>
      </c>
      <c r="P112" s="293"/>
      <c r="Q112" s="293"/>
    </row>
    <row r="113" spans="1:17" s="15" customFormat="1" x14ac:dyDescent="0.25">
      <c r="A113" s="254"/>
      <c r="B113" s="244" t="s">
        <v>323</v>
      </c>
      <c r="C113" s="18" t="s">
        <v>8</v>
      </c>
      <c r="D113" s="103" t="s">
        <v>136</v>
      </c>
      <c r="E113" s="86" t="s">
        <v>136</v>
      </c>
      <c r="F113" s="22"/>
      <c r="G113" s="20"/>
      <c r="H113" s="22">
        <v>23750</v>
      </c>
      <c r="I113" s="20"/>
      <c r="J113" s="22">
        <v>38000</v>
      </c>
      <c r="K113" s="20"/>
      <c r="L113" s="22">
        <v>33250</v>
      </c>
      <c r="M113" s="274"/>
      <c r="N113" s="312">
        <f t="shared" si="32"/>
        <v>95000</v>
      </c>
      <c r="O113" s="24">
        <f t="shared" si="33"/>
        <v>0</v>
      </c>
      <c r="P113" s="293"/>
      <c r="Q113" s="293"/>
    </row>
    <row r="114" spans="1:17" s="15" customFormat="1" x14ac:dyDescent="0.25">
      <c r="A114" s="254"/>
      <c r="B114" s="244" t="s">
        <v>323</v>
      </c>
      <c r="C114" s="18" t="s">
        <v>9</v>
      </c>
      <c r="D114" s="103" t="s">
        <v>136</v>
      </c>
      <c r="E114" s="86" t="s">
        <v>136</v>
      </c>
      <c r="F114" s="22"/>
      <c r="G114" s="20"/>
      <c r="H114" s="22">
        <v>95000</v>
      </c>
      <c r="I114" s="20"/>
      <c r="J114" s="22">
        <v>152000</v>
      </c>
      <c r="K114" s="20"/>
      <c r="L114" s="22">
        <v>133000</v>
      </c>
      <c r="M114" s="274"/>
      <c r="N114" s="312">
        <f t="shared" si="32"/>
        <v>380000</v>
      </c>
      <c r="O114" s="24">
        <f t="shared" si="33"/>
        <v>0</v>
      </c>
      <c r="P114" s="293"/>
      <c r="Q114" s="293"/>
    </row>
    <row r="115" spans="1:17" x14ac:dyDescent="0.25">
      <c r="A115" s="251">
        <v>2</v>
      </c>
      <c r="B115" s="242" t="str">
        <f>+'Matriz de costos plurianual'!B115</f>
        <v xml:space="preserve">COMPONENTE 2: Fortalecimiento de la línea de cuidados oncológicos </v>
      </c>
      <c r="C115" s="211"/>
      <c r="D115" s="212"/>
      <c r="E115" s="212"/>
      <c r="F115" s="213"/>
      <c r="G115" s="214"/>
      <c r="H115" s="213"/>
      <c r="I115" s="214"/>
      <c r="J115" s="213"/>
      <c r="K115" s="214"/>
      <c r="L115" s="213"/>
      <c r="M115" s="214"/>
      <c r="N115" s="213"/>
      <c r="O115" s="215"/>
      <c r="P115" s="293"/>
      <c r="Q115" s="293"/>
    </row>
    <row r="116" spans="1:17" x14ac:dyDescent="0.25">
      <c r="A116" s="252" t="s">
        <v>426</v>
      </c>
      <c r="B116" s="243" t="str">
        <f>+'Matriz de costos plurianual'!B116</f>
        <v xml:space="preserve">SUBCOMPONENTE 1: Sistemas de Información para la gestión clínica y sanitaria </v>
      </c>
      <c r="C116" s="216"/>
      <c r="D116" s="217"/>
      <c r="E116" s="217"/>
      <c r="F116" s="218"/>
      <c r="G116" s="219"/>
      <c r="H116" s="218"/>
      <c r="I116" s="219"/>
      <c r="J116" s="218"/>
      <c r="K116" s="219"/>
      <c r="L116" s="218"/>
      <c r="M116" s="219"/>
      <c r="N116" s="218"/>
      <c r="O116" s="220"/>
      <c r="P116" s="293"/>
      <c r="Q116" s="293"/>
    </row>
    <row r="117" spans="1:17" x14ac:dyDescent="0.25">
      <c r="A117" s="253" t="s">
        <v>427</v>
      </c>
      <c r="B117" s="224" t="s">
        <v>131</v>
      </c>
      <c r="C117" s="221" t="s">
        <v>467</v>
      </c>
      <c r="D117" s="222"/>
      <c r="E117" s="223"/>
      <c r="F117" s="225"/>
      <c r="G117" s="224"/>
      <c r="H117" s="225"/>
      <c r="I117" s="224"/>
      <c r="J117" s="225"/>
      <c r="K117" s="224"/>
      <c r="L117" s="225"/>
      <c r="M117" s="224"/>
      <c r="N117" s="225"/>
      <c r="O117" s="226"/>
      <c r="P117" s="293"/>
      <c r="Q117" s="293"/>
    </row>
    <row r="118" spans="1:17" x14ac:dyDescent="0.25">
      <c r="A118" s="255" t="s">
        <v>468</v>
      </c>
      <c r="B118" s="231" t="s">
        <v>131</v>
      </c>
      <c r="C118" s="227" t="s">
        <v>1</v>
      </c>
      <c r="D118" s="228"/>
      <c r="E118" s="229"/>
      <c r="F118" s="232"/>
      <c r="G118" s="231"/>
      <c r="H118" s="232"/>
      <c r="I118" s="231"/>
      <c r="J118" s="232"/>
      <c r="K118" s="231"/>
      <c r="L118" s="232"/>
      <c r="M118" s="231"/>
      <c r="N118" s="232"/>
      <c r="O118" s="233"/>
      <c r="P118" s="293"/>
      <c r="Q118" s="293"/>
    </row>
    <row r="119" spans="1:17" x14ac:dyDescent="0.25">
      <c r="A119" s="256"/>
      <c r="B119" s="245" t="s">
        <v>131</v>
      </c>
      <c r="C119" s="234" t="s">
        <v>16</v>
      </c>
      <c r="D119" s="234" t="s">
        <v>157</v>
      </c>
      <c r="E119" s="234" t="s">
        <v>132</v>
      </c>
      <c r="F119" s="237"/>
      <c r="G119" s="238"/>
      <c r="H119" s="237"/>
      <c r="I119" s="238">
        <v>12367.506666666668</v>
      </c>
      <c r="J119" s="237"/>
      <c r="K119" s="238">
        <v>37102.520000000004</v>
      </c>
      <c r="L119" s="237"/>
      <c r="M119" s="271">
        <v>37102.520000000004</v>
      </c>
      <c r="N119" s="237">
        <f t="shared" ref="N119:N133" si="34">+F119+H119+J119+L119</f>
        <v>0</v>
      </c>
      <c r="O119" s="239">
        <f t="shared" ref="O119:O133" si="35">+G119+I119+K119+M119</f>
        <v>86572.546666666676</v>
      </c>
      <c r="P119" s="293"/>
      <c r="Q119" s="293"/>
    </row>
    <row r="120" spans="1:17" x14ac:dyDescent="0.25">
      <c r="A120" s="256"/>
      <c r="B120" s="246" t="s">
        <v>131</v>
      </c>
      <c r="C120" s="56" t="s">
        <v>16</v>
      </c>
      <c r="D120" s="56" t="s">
        <v>158</v>
      </c>
      <c r="E120" s="56" t="s">
        <v>132</v>
      </c>
      <c r="F120" s="69"/>
      <c r="G120" s="70"/>
      <c r="H120" s="69"/>
      <c r="I120" s="238">
        <v>965.20666666666682</v>
      </c>
      <c r="J120" s="69"/>
      <c r="K120" s="238">
        <v>2895.6200000000003</v>
      </c>
      <c r="L120" s="69"/>
      <c r="M120" s="271">
        <v>2895.6200000000003</v>
      </c>
      <c r="N120" s="69">
        <f t="shared" si="34"/>
        <v>0</v>
      </c>
      <c r="O120" s="71">
        <f t="shared" si="35"/>
        <v>6756.4466666666676</v>
      </c>
      <c r="P120" s="293"/>
      <c r="Q120" s="293"/>
    </row>
    <row r="121" spans="1:17" ht="30" x14ac:dyDescent="0.25">
      <c r="A121" s="256"/>
      <c r="B121" s="246" t="s">
        <v>131</v>
      </c>
      <c r="C121" s="56" t="s">
        <v>16</v>
      </c>
      <c r="D121" s="56" t="s">
        <v>159</v>
      </c>
      <c r="E121" s="56" t="s">
        <v>132</v>
      </c>
      <c r="F121" s="72"/>
      <c r="G121" s="73"/>
      <c r="H121" s="72"/>
      <c r="I121" s="238">
        <v>654.33333333333337</v>
      </c>
      <c r="J121" s="72"/>
      <c r="K121" s="238">
        <v>1963</v>
      </c>
      <c r="L121" s="72"/>
      <c r="M121" s="271">
        <v>1963</v>
      </c>
      <c r="N121" s="72">
        <f t="shared" si="34"/>
        <v>0</v>
      </c>
      <c r="O121" s="74">
        <f t="shared" si="35"/>
        <v>4580.3333333333339</v>
      </c>
      <c r="P121" s="293"/>
      <c r="Q121" s="293"/>
    </row>
    <row r="122" spans="1:17" x14ac:dyDescent="0.25">
      <c r="A122" s="256"/>
      <c r="B122" s="246" t="s">
        <v>131</v>
      </c>
      <c r="C122" s="56" t="s">
        <v>160</v>
      </c>
      <c r="D122" s="56" t="s">
        <v>161</v>
      </c>
      <c r="E122" s="56" t="s">
        <v>132</v>
      </c>
      <c r="F122" s="66"/>
      <c r="G122" s="67"/>
      <c r="H122" s="66"/>
      <c r="I122" s="238">
        <v>13546</v>
      </c>
      <c r="J122" s="66"/>
      <c r="K122" s="238">
        <v>40638</v>
      </c>
      <c r="L122" s="66"/>
      <c r="M122" s="271">
        <v>40638</v>
      </c>
      <c r="N122" s="66">
        <f t="shared" si="34"/>
        <v>0</v>
      </c>
      <c r="O122" s="68">
        <f t="shared" si="35"/>
        <v>94822</v>
      </c>
      <c r="P122" s="293"/>
      <c r="Q122" s="293"/>
    </row>
    <row r="123" spans="1:17" ht="30" x14ac:dyDescent="0.25">
      <c r="A123" s="256"/>
      <c r="B123" s="246" t="s">
        <v>131</v>
      </c>
      <c r="C123" s="56" t="s">
        <v>162</v>
      </c>
      <c r="D123" s="56" t="s">
        <v>163</v>
      </c>
      <c r="E123" s="56" t="s">
        <v>132</v>
      </c>
      <c r="F123" s="69"/>
      <c r="G123" s="70"/>
      <c r="H123" s="69"/>
      <c r="I123" s="238">
        <v>1406.9466666666667</v>
      </c>
      <c r="J123" s="69"/>
      <c r="K123" s="238">
        <v>4220.84</v>
      </c>
      <c r="L123" s="69"/>
      <c r="M123" s="271">
        <v>4220.84</v>
      </c>
      <c r="N123" s="69">
        <f t="shared" si="34"/>
        <v>0</v>
      </c>
      <c r="O123" s="71">
        <f t="shared" si="35"/>
        <v>9848.626666666667</v>
      </c>
      <c r="P123" s="293"/>
      <c r="Q123" s="293"/>
    </row>
    <row r="124" spans="1:17" ht="30" x14ac:dyDescent="0.25">
      <c r="A124" s="256"/>
      <c r="B124" s="246" t="s">
        <v>131</v>
      </c>
      <c r="C124" s="56" t="s">
        <v>164</v>
      </c>
      <c r="D124" s="56" t="s">
        <v>163</v>
      </c>
      <c r="E124" s="56" t="s">
        <v>132</v>
      </c>
      <c r="F124" s="72"/>
      <c r="G124" s="73"/>
      <c r="H124" s="72"/>
      <c r="I124" s="238">
        <v>1406.9466666666667</v>
      </c>
      <c r="J124" s="72"/>
      <c r="K124" s="238">
        <v>4220.84</v>
      </c>
      <c r="L124" s="72"/>
      <c r="M124" s="271">
        <v>4220.84</v>
      </c>
      <c r="N124" s="72">
        <f t="shared" si="34"/>
        <v>0</v>
      </c>
      <c r="O124" s="74">
        <f t="shared" si="35"/>
        <v>9848.626666666667</v>
      </c>
      <c r="P124" s="293"/>
      <c r="Q124" s="293"/>
    </row>
    <row r="125" spans="1:17" ht="30" x14ac:dyDescent="0.25">
      <c r="A125" s="256"/>
      <c r="B125" s="246" t="s">
        <v>131</v>
      </c>
      <c r="C125" s="56" t="s">
        <v>165</v>
      </c>
      <c r="D125" s="56" t="s">
        <v>163</v>
      </c>
      <c r="E125" s="56" t="s">
        <v>132</v>
      </c>
      <c r="F125" s="66"/>
      <c r="G125" s="67"/>
      <c r="H125" s="66"/>
      <c r="I125" s="238">
        <v>1406.9466666666667</v>
      </c>
      <c r="J125" s="66"/>
      <c r="K125" s="238">
        <v>4220.84</v>
      </c>
      <c r="L125" s="66"/>
      <c r="M125" s="271">
        <v>4220.84</v>
      </c>
      <c r="N125" s="66">
        <f t="shared" si="34"/>
        <v>0</v>
      </c>
      <c r="O125" s="68">
        <f t="shared" si="35"/>
        <v>9848.626666666667</v>
      </c>
      <c r="P125" s="293"/>
      <c r="Q125" s="293"/>
    </row>
    <row r="126" spans="1:17" x14ac:dyDescent="0.25">
      <c r="A126" s="256"/>
      <c r="B126" s="246" t="s">
        <v>131</v>
      </c>
      <c r="C126" s="56" t="s">
        <v>55</v>
      </c>
      <c r="D126" s="56" t="s">
        <v>166</v>
      </c>
      <c r="E126" s="56" t="s">
        <v>132</v>
      </c>
      <c r="F126" s="69"/>
      <c r="G126" s="70"/>
      <c r="H126" s="69"/>
      <c r="I126" s="238">
        <v>1046.9333333333334</v>
      </c>
      <c r="J126" s="69"/>
      <c r="K126" s="238">
        <v>3140.8</v>
      </c>
      <c r="L126" s="69"/>
      <c r="M126" s="271">
        <v>3140.8</v>
      </c>
      <c r="N126" s="69">
        <f t="shared" si="34"/>
        <v>0</v>
      </c>
      <c r="O126" s="71">
        <f t="shared" si="35"/>
        <v>7328.5333333333338</v>
      </c>
      <c r="P126" s="293"/>
      <c r="Q126" s="293"/>
    </row>
    <row r="127" spans="1:17" x14ac:dyDescent="0.25">
      <c r="A127" s="256"/>
      <c r="B127" s="246" t="s">
        <v>131</v>
      </c>
      <c r="C127" s="56" t="s">
        <v>56</v>
      </c>
      <c r="D127" s="56" t="s">
        <v>167</v>
      </c>
      <c r="E127" s="56" t="s">
        <v>132</v>
      </c>
      <c r="F127" s="72"/>
      <c r="G127" s="73"/>
      <c r="H127" s="72"/>
      <c r="I127" s="238">
        <v>3631.6800000000003</v>
      </c>
      <c r="J127" s="72"/>
      <c r="K127" s="238">
        <v>10895.04</v>
      </c>
      <c r="L127" s="72"/>
      <c r="M127" s="271">
        <v>10895.04</v>
      </c>
      <c r="N127" s="72">
        <f t="shared" si="34"/>
        <v>0</v>
      </c>
      <c r="O127" s="74">
        <f t="shared" si="35"/>
        <v>25421.760000000002</v>
      </c>
      <c r="P127" s="293"/>
      <c r="Q127" s="293"/>
    </row>
    <row r="128" spans="1:17" x14ac:dyDescent="0.25">
      <c r="A128" s="256"/>
      <c r="B128" s="246" t="s">
        <v>131</v>
      </c>
      <c r="C128" s="56" t="s">
        <v>168</v>
      </c>
      <c r="D128" s="56" t="s">
        <v>166</v>
      </c>
      <c r="E128" s="56" t="s">
        <v>132</v>
      </c>
      <c r="F128" s="66"/>
      <c r="G128" s="67"/>
      <c r="H128" s="66"/>
      <c r="I128" s="238">
        <v>1046.9333333333334</v>
      </c>
      <c r="J128" s="66"/>
      <c r="K128" s="238">
        <v>3140.8</v>
      </c>
      <c r="L128" s="66"/>
      <c r="M128" s="271">
        <v>3140.8</v>
      </c>
      <c r="N128" s="66">
        <f t="shared" si="34"/>
        <v>0</v>
      </c>
      <c r="O128" s="68">
        <f t="shared" si="35"/>
        <v>7328.5333333333338</v>
      </c>
      <c r="P128" s="293"/>
      <c r="Q128" s="293"/>
    </row>
    <row r="129" spans="1:17" ht="30" x14ac:dyDescent="0.25">
      <c r="A129" s="256"/>
      <c r="B129" s="246" t="s">
        <v>131</v>
      </c>
      <c r="C129" s="56" t="s">
        <v>169</v>
      </c>
      <c r="D129" s="56" t="s">
        <v>170</v>
      </c>
      <c r="E129" s="56" t="s">
        <v>132</v>
      </c>
      <c r="F129" s="69"/>
      <c r="G129" s="70"/>
      <c r="H129" s="69"/>
      <c r="I129" s="238">
        <v>1406.9466666666667</v>
      </c>
      <c r="J129" s="69"/>
      <c r="K129" s="238">
        <v>4220.84</v>
      </c>
      <c r="L129" s="69"/>
      <c r="M129" s="271">
        <v>4220.84</v>
      </c>
      <c r="N129" s="69">
        <f t="shared" si="34"/>
        <v>0</v>
      </c>
      <c r="O129" s="71">
        <f t="shared" si="35"/>
        <v>9848.626666666667</v>
      </c>
      <c r="P129" s="293"/>
      <c r="Q129" s="293"/>
    </row>
    <row r="130" spans="1:17" ht="30" x14ac:dyDescent="0.25">
      <c r="A130" s="256"/>
      <c r="B130" s="246" t="s">
        <v>131</v>
      </c>
      <c r="C130" s="56" t="s">
        <v>57</v>
      </c>
      <c r="D130" s="56" t="s">
        <v>171</v>
      </c>
      <c r="E130" s="56" t="s">
        <v>132</v>
      </c>
      <c r="F130" s="72"/>
      <c r="G130" s="73"/>
      <c r="H130" s="72"/>
      <c r="I130" s="238">
        <v>3926.26</v>
      </c>
      <c r="J130" s="72"/>
      <c r="K130" s="238">
        <v>11778.78</v>
      </c>
      <c r="L130" s="72"/>
      <c r="M130" s="271">
        <v>11778.78</v>
      </c>
      <c r="N130" s="72">
        <f t="shared" si="34"/>
        <v>0</v>
      </c>
      <c r="O130" s="74">
        <f t="shared" si="35"/>
        <v>27483.82</v>
      </c>
      <c r="P130" s="293"/>
      <c r="Q130" s="293"/>
    </row>
    <row r="131" spans="1:17" ht="30" x14ac:dyDescent="0.25">
      <c r="A131" s="256"/>
      <c r="B131" s="246" t="s">
        <v>131</v>
      </c>
      <c r="C131" s="56" t="s">
        <v>172</v>
      </c>
      <c r="D131" s="56" t="s">
        <v>173</v>
      </c>
      <c r="E131" s="56" t="s">
        <v>132</v>
      </c>
      <c r="F131" s="66"/>
      <c r="G131" s="67"/>
      <c r="H131" s="66"/>
      <c r="I131" s="238">
        <v>1308.7533333333333</v>
      </c>
      <c r="J131" s="66"/>
      <c r="K131" s="238">
        <v>3926.26</v>
      </c>
      <c r="L131" s="66"/>
      <c r="M131" s="271">
        <v>3926.26</v>
      </c>
      <c r="N131" s="66">
        <f t="shared" si="34"/>
        <v>0</v>
      </c>
      <c r="O131" s="68">
        <f t="shared" si="35"/>
        <v>9161.2733333333344</v>
      </c>
      <c r="P131" s="293"/>
      <c r="Q131" s="293"/>
    </row>
    <row r="132" spans="1:17" x14ac:dyDescent="0.25">
      <c r="A132" s="256"/>
      <c r="B132" s="246" t="s">
        <v>131</v>
      </c>
      <c r="C132" s="56" t="s">
        <v>59</v>
      </c>
      <c r="D132" s="56" t="s">
        <v>174</v>
      </c>
      <c r="E132" s="56" t="s">
        <v>132</v>
      </c>
      <c r="F132" s="69"/>
      <c r="G132" s="70"/>
      <c r="H132" s="69"/>
      <c r="I132" s="238">
        <v>1635.92</v>
      </c>
      <c r="J132" s="69"/>
      <c r="K132" s="238">
        <v>4907.76</v>
      </c>
      <c r="L132" s="69"/>
      <c r="M132" s="271">
        <v>4907.76</v>
      </c>
      <c r="N132" s="69">
        <f t="shared" si="34"/>
        <v>0</v>
      </c>
      <c r="O132" s="71">
        <f t="shared" si="35"/>
        <v>11451.44</v>
      </c>
      <c r="P132" s="293"/>
      <c r="Q132" s="293"/>
    </row>
    <row r="133" spans="1:17" ht="30" x14ac:dyDescent="0.25">
      <c r="A133" s="256"/>
      <c r="B133" s="246" t="s">
        <v>131</v>
      </c>
      <c r="C133" s="56" t="s">
        <v>36</v>
      </c>
      <c r="D133" s="56" t="s">
        <v>92</v>
      </c>
      <c r="E133" s="56" t="s">
        <v>215</v>
      </c>
      <c r="F133" s="72"/>
      <c r="G133" s="73"/>
      <c r="H133" s="72"/>
      <c r="I133" s="238">
        <v>5600</v>
      </c>
      <c r="J133" s="72"/>
      <c r="K133" s="238">
        <v>16800</v>
      </c>
      <c r="L133" s="72"/>
      <c r="M133" s="271">
        <v>16800</v>
      </c>
      <c r="N133" s="72">
        <f t="shared" si="34"/>
        <v>0</v>
      </c>
      <c r="O133" s="74">
        <f t="shared" si="35"/>
        <v>39200</v>
      </c>
      <c r="P133" s="293"/>
      <c r="Q133" s="293"/>
    </row>
    <row r="134" spans="1:17" x14ac:dyDescent="0.25">
      <c r="A134" s="255" t="s">
        <v>469</v>
      </c>
      <c r="B134" s="231" t="s">
        <v>131</v>
      </c>
      <c r="C134" s="227" t="s">
        <v>5</v>
      </c>
      <c r="D134" s="228"/>
      <c r="E134" s="229"/>
      <c r="F134" s="232"/>
      <c r="G134" s="231"/>
      <c r="H134" s="232"/>
      <c r="I134" s="231"/>
      <c r="J134" s="232"/>
      <c r="K134" s="231"/>
      <c r="L134" s="232"/>
      <c r="M134" s="231"/>
      <c r="N134" s="232"/>
      <c r="O134" s="233"/>
      <c r="P134" s="293"/>
      <c r="Q134" s="293"/>
    </row>
    <row r="135" spans="1:17" x14ac:dyDescent="0.25">
      <c r="A135" s="256"/>
      <c r="B135" s="246" t="s">
        <v>131</v>
      </c>
      <c r="C135" s="56" t="s">
        <v>17</v>
      </c>
      <c r="D135" s="56" t="s">
        <v>51</v>
      </c>
      <c r="E135" s="56" t="s">
        <v>133</v>
      </c>
      <c r="F135" s="66"/>
      <c r="G135" s="67"/>
      <c r="H135" s="66"/>
      <c r="I135" s="67"/>
      <c r="J135" s="66"/>
      <c r="K135" s="67"/>
      <c r="L135" s="66">
        <v>95880</v>
      </c>
      <c r="M135" s="270"/>
      <c r="N135" s="313">
        <f t="shared" ref="N135:N137" si="36">+F135+H135+J135+L135</f>
        <v>95880</v>
      </c>
      <c r="O135" s="68">
        <f t="shared" ref="O135:O137" si="37">+G135+I135+K135+M135</f>
        <v>0</v>
      </c>
      <c r="P135" s="293"/>
      <c r="Q135" s="293"/>
    </row>
    <row r="136" spans="1:17" x14ac:dyDescent="0.25">
      <c r="A136" s="256"/>
      <c r="B136" s="246" t="s">
        <v>131</v>
      </c>
      <c r="C136" s="56" t="s">
        <v>18</v>
      </c>
      <c r="D136" s="56" t="s">
        <v>52</v>
      </c>
      <c r="E136" s="56" t="s">
        <v>134</v>
      </c>
      <c r="F136" s="69"/>
      <c r="G136" s="70"/>
      <c r="H136" s="69"/>
      <c r="I136" s="70"/>
      <c r="J136" s="69"/>
      <c r="K136" s="70"/>
      <c r="L136" s="69">
        <v>17500</v>
      </c>
      <c r="M136" s="272"/>
      <c r="N136" s="316">
        <f t="shared" si="36"/>
        <v>17500</v>
      </c>
      <c r="O136" s="71">
        <f t="shared" si="37"/>
        <v>0</v>
      </c>
      <c r="P136" s="293"/>
      <c r="Q136" s="293"/>
    </row>
    <row r="137" spans="1:17" ht="30" x14ac:dyDescent="0.25">
      <c r="A137" s="256"/>
      <c r="B137" s="246" t="s">
        <v>131</v>
      </c>
      <c r="C137" s="56" t="s">
        <v>19</v>
      </c>
      <c r="D137" s="56" t="s">
        <v>38</v>
      </c>
      <c r="E137" s="56" t="s">
        <v>135</v>
      </c>
      <c r="F137" s="72"/>
      <c r="G137" s="73"/>
      <c r="H137" s="72"/>
      <c r="I137" s="73"/>
      <c r="J137" s="72">
        <v>20000</v>
      </c>
      <c r="K137" s="73"/>
      <c r="L137" s="72"/>
      <c r="M137" s="273"/>
      <c r="N137" s="314">
        <f t="shared" si="36"/>
        <v>20000</v>
      </c>
      <c r="O137" s="74">
        <f t="shared" si="37"/>
        <v>0</v>
      </c>
      <c r="P137" s="293"/>
      <c r="Q137" s="293"/>
    </row>
    <row r="138" spans="1:17" x14ac:dyDescent="0.25">
      <c r="A138" s="255" t="s">
        <v>470</v>
      </c>
      <c r="B138" s="231" t="s">
        <v>131</v>
      </c>
      <c r="C138" s="227" t="s">
        <v>7</v>
      </c>
      <c r="D138" s="228"/>
      <c r="E138" s="229"/>
      <c r="F138" s="232"/>
      <c r="G138" s="231"/>
      <c r="H138" s="232"/>
      <c r="I138" s="231"/>
      <c r="J138" s="232"/>
      <c r="K138" s="231"/>
      <c r="L138" s="232"/>
      <c r="M138" s="231"/>
      <c r="N138" s="232"/>
      <c r="O138" s="233"/>
      <c r="P138" s="293"/>
      <c r="Q138" s="293"/>
    </row>
    <row r="139" spans="1:17" ht="30" x14ac:dyDescent="0.25">
      <c r="A139" s="256"/>
      <c r="B139" s="247" t="s">
        <v>131</v>
      </c>
      <c r="C139" s="75" t="s">
        <v>34</v>
      </c>
      <c r="D139" s="75" t="s">
        <v>41</v>
      </c>
      <c r="E139" s="56" t="s">
        <v>136</v>
      </c>
      <c r="F139" s="72"/>
      <c r="G139" s="73"/>
      <c r="H139" s="72"/>
      <c r="I139" s="73"/>
      <c r="J139" s="72">
        <v>8575</v>
      </c>
      <c r="K139" s="73"/>
      <c r="L139" s="72">
        <v>8575</v>
      </c>
      <c r="M139" s="273"/>
      <c r="N139" s="316">
        <f t="shared" ref="N139:N143" si="38">+F139+H139+J139+L139</f>
        <v>17150</v>
      </c>
      <c r="O139" s="74">
        <f t="shared" ref="O139:O143" si="39">+G139+I139+K139+M139</f>
        <v>0</v>
      </c>
      <c r="P139" s="293"/>
      <c r="Q139" s="293"/>
    </row>
    <row r="140" spans="1:17" ht="30" x14ac:dyDescent="0.25">
      <c r="A140" s="256"/>
      <c r="B140" s="247" t="s">
        <v>131</v>
      </c>
      <c r="C140" s="75" t="s">
        <v>8</v>
      </c>
      <c r="D140" s="75" t="s">
        <v>41</v>
      </c>
      <c r="E140" s="56" t="s">
        <v>136</v>
      </c>
      <c r="F140" s="72"/>
      <c r="G140" s="73"/>
      <c r="H140" s="72"/>
      <c r="I140" s="73"/>
      <c r="J140" s="72">
        <v>4000</v>
      </c>
      <c r="K140" s="73"/>
      <c r="L140" s="72">
        <v>4000</v>
      </c>
      <c r="M140" s="273"/>
      <c r="N140" s="316">
        <f t="shared" si="38"/>
        <v>8000</v>
      </c>
      <c r="O140" s="74">
        <f t="shared" si="39"/>
        <v>0</v>
      </c>
      <c r="P140" s="293"/>
      <c r="Q140" s="293"/>
    </row>
    <row r="141" spans="1:17" ht="45" x14ac:dyDescent="0.25">
      <c r="A141" s="256"/>
      <c r="B141" s="247" t="s">
        <v>131</v>
      </c>
      <c r="C141" s="75" t="s">
        <v>9</v>
      </c>
      <c r="D141" s="75" t="s">
        <v>110</v>
      </c>
      <c r="E141" s="56" t="s">
        <v>136</v>
      </c>
      <c r="F141" s="72"/>
      <c r="G141" s="73"/>
      <c r="H141" s="72"/>
      <c r="I141" s="73"/>
      <c r="J141" s="72">
        <v>650</v>
      </c>
      <c r="K141" s="73"/>
      <c r="L141" s="72">
        <v>650</v>
      </c>
      <c r="M141" s="273"/>
      <c r="N141" s="316">
        <f t="shared" si="38"/>
        <v>1300</v>
      </c>
      <c r="O141" s="74">
        <f t="shared" si="39"/>
        <v>0</v>
      </c>
      <c r="P141" s="293"/>
      <c r="Q141" s="293"/>
    </row>
    <row r="142" spans="1:17" x14ac:dyDescent="0.25">
      <c r="A142" s="256"/>
      <c r="B142" s="246" t="s">
        <v>131</v>
      </c>
      <c r="C142" s="56" t="s">
        <v>20</v>
      </c>
      <c r="D142" s="56" t="s">
        <v>39</v>
      </c>
      <c r="E142" s="56" t="s">
        <v>135</v>
      </c>
      <c r="F142" s="72"/>
      <c r="G142" s="73"/>
      <c r="H142" s="72"/>
      <c r="I142" s="73"/>
      <c r="J142" s="72">
        <v>20000</v>
      </c>
      <c r="K142" s="73"/>
      <c r="L142" s="72">
        <v>20000</v>
      </c>
      <c r="M142" s="273"/>
      <c r="N142" s="314">
        <f t="shared" si="38"/>
        <v>40000</v>
      </c>
      <c r="O142" s="74">
        <f t="shared" si="39"/>
        <v>0</v>
      </c>
      <c r="P142" s="293"/>
      <c r="Q142" s="293"/>
    </row>
    <row r="143" spans="1:17" ht="30" x14ac:dyDescent="0.25">
      <c r="A143" s="256"/>
      <c r="B143" s="246" t="s">
        <v>131</v>
      </c>
      <c r="C143" s="56" t="s">
        <v>175</v>
      </c>
      <c r="D143" s="75" t="s">
        <v>41</v>
      </c>
      <c r="E143" s="56" t="s">
        <v>136</v>
      </c>
      <c r="F143" s="72"/>
      <c r="G143" s="73"/>
      <c r="H143" s="72"/>
      <c r="I143" s="73"/>
      <c r="J143" s="72">
        <v>750</v>
      </c>
      <c r="K143" s="73"/>
      <c r="L143" s="72">
        <v>750</v>
      </c>
      <c r="M143" s="273"/>
      <c r="N143" s="316">
        <f t="shared" si="38"/>
        <v>1500</v>
      </c>
      <c r="O143" s="74">
        <f t="shared" si="39"/>
        <v>0</v>
      </c>
      <c r="P143" s="293"/>
      <c r="Q143" s="293"/>
    </row>
    <row r="144" spans="1:17" x14ac:dyDescent="0.25">
      <c r="A144" s="253" t="s">
        <v>428</v>
      </c>
      <c r="B144" s="224" t="s">
        <v>131</v>
      </c>
      <c r="C144" s="221" t="s">
        <v>397</v>
      </c>
      <c r="D144" s="222"/>
      <c r="E144" s="223"/>
      <c r="F144" s="225"/>
      <c r="G144" s="224"/>
      <c r="H144" s="225"/>
      <c r="I144" s="224"/>
      <c r="J144" s="225"/>
      <c r="K144" s="224"/>
      <c r="L144" s="225"/>
      <c r="M144" s="224"/>
      <c r="N144" s="225"/>
      <c r="O144" s="226"/>
      <c r="P144" s="293"/>
      <c r="Q144" s="293"/>
    </row>
    <row r="145" spans="1:78" x14ac:dyDescent="0.25">
      <c r="A145" s="255" t="s">
        <v>471</v>
      </c>
      <c r="B145" s="231" t="s">
        <v>131</v>
      </c>
      <c r="C145" s="227" t="s">
        <v>1</v>
      </c>
      <c r="D145" s="228"/>
      <c r="E145" s="229"/>
      <c r="F145" s="232"/>
      <c r="G145" s="231"/>
      <c r="H145" s="232"/>
      <c r="I145" s="231"/>
      <c r="J145" s="232"/>
      <c r="K145" s="231"/>
      <c r="L145" s="232"/>
      <c r="M145" s="231"/>
      <c r="N145" s="232"/>
      <c r="O145" s="233"/>
      <c r="P145" s="293"/>
      <c r="Q145" s="293"/>
    </row>
    <row r="146" spans="1:78" x14ac:dyDescent="0.25">
      <c r="A146" s="256"/>
      <c r="B146" s="246" t="s">
        <v>131</v>
      </c>
      <c r="C146" s="56" t="s">
        <v>160</v>
      </c>
      <c r="D146" s="56" t="s">
        <v>176</v>
      </c>
      <c r="E146" s="56" t="s">
        <v>132</v>
      </c>
      <c r="F146" s="72"/>
      <c r="G146" s="73"/>
      <c r="H146" s="72"/>
      <c r="I146" s="73">
        <v>4416.9666666666662</v>
      </c>
      <c r="J146" s="72"/>
      <c r="K146" s="73">
        <v>13250.9</v>
      </c>
      <c r="L146" s="72"/>
      <c r="M146" s="273">
        <v>13250.9</v>
      </c>
      <c r="N146" s="72">
        <f t="shared" ref="N146:N147" si="40">+F146+H146+J146+L146</f>
        <v>0</v>
      </c>
      <c r="O146" s="74">
        <f t="shared" ref="O146:O147" si="41">+G146+I146+K146+M146</f>
        <v>30918.766666666663</v>
      </c>
      <c r="P146" s="293"/>
      <c r="Q146" s="293"/>
    </row>
    <row r="147" spans="1:78" ht="30" x14ac:dyDescent="0.25">
      <c r="A147" s="256"/>
      <c r="B147" s="246" t="s">
        <v>131</v>
      </c>
      <c r="C147" s="56" t="s">
        <v>36</v>
      </c>
      <c r="D147" s="75" t="s">
        <v>92</v>
      </c>
      <c r="E147" s="56" t="s">
        <v>6</v>
      </c>
      <c r="F147" s="72"/>
      <c r="G147" s="73"/>
      <c r="H147" s="72"/>
      <c r="I147" s="73">
        <v>933.33333333333337</v>
      </c>
      <c r="J147" s="72"/>
      <c r="K147" s="73">
        <v>2800</v>
      </c>
      <c r="L147" s="72"/>
      <c r="M147" s="273">
        <v>2800</v>
      </c>
      <c r="N147" s="72">
        <f t="shared" si="40"/>
        <v>0</v>
      </c>
      <c r="O147" s="74">
        <f t="shared" si="41"/>
        <v>6533.3333333333339</v>
      </c>
      <c r="P147" s="293"/>
      <c r="Q147" s="293"/>
    </row>
    <row r="148" spans="1:78" x14ac:dyDescent="0.25">
      <c r="A148" s="255" t="s">
        <v>472</v>
      </c>
      <c r="B148" s="231" t="s">
        <v>131</v>
      </c>
      <c r="C148" s="227" t="s">
        <v>29</v>
      </c>
      <c r="D148" s="228"/>
      <c r="E148" s="229"/>
      <c r="F148" s="232"/>
      <c r="G148" s="231"/>
      <c r="H148" s="232"/>
      <c r="I148" s="231"/>
      <c r="J148" s="232"/>
      <c r="K148" s="231"/>
      <c r="L148" s="232"/>
      <c r="M148" s="231"/>
      <c r="N148" s="232"/>
      <c r="O148" s="233"/>
      <c r="P148" s="293"/>
      <c r="Q148" s="293"/>
    </row>
    <row r="149" spans="1:78" ht="30" x14ac:dyDescent="0.25">
      <c r="A149" s="256"/>
      <c r="B149" s="246" t="s">
        <v>131</v>
      </c>
      <c r="C149" s="56" t="s">
        <v>28</v>
      </c>
      <c r="D149" s="75" t="s">
        <v>119</v>
      </c>
      <c r="E149" s="56" t="s">
        <v>132</v>
      </c>
      <c r="F149" s="72"/>
      <c r="G149" s="73"/>
      <c r="H149" s="72"/>
      <c r="I149" s="73"/>
      <c r="J149" s="72"/>
      <c r="K149" s="73">
        <v>9500</v>
      </c>
      <c r="L149" s="72"/>
      <c r="M149" s="273">
        <v>9500</v>
      </c>
      <c r="N149" s="72">
        <f t="shared" ref="N149" si="42">+F149+H149+J149+L149</f>
        <v>0</v>
      </c>
      <c r="O149" s="74">
        <f t="shared" ref="O149" si="43">+G149+I149+K149+M149</f>
        <v>19000</v>
      </c>
      <c r="P149" s="293"/>
      <c r="Q149" s="293">
        <v>18600</v>
      </c>
    </row>
    <row r="150" spans="1:78" x14ac:dyDescent="0.25">
      <c r="A150" s="255" t="s">
        <v>473</v>
      </c>
      <c r="B150" s="231" t="s">
        <v>131</v>
      </c>
      <c r="C150" s="227" t="s">
        <v>7</v>
      </c>
      <c r="D150" s="228"/>
      <c r="E150" s="229"/>
      <c r="F150" s="232"/>
      <c r="G150" s="231"/>
      <c r="H150" s="232"/>
      <c r="I150" s="231"/>
      <c r="J150" s="232"/>
      <c r="K150" s="231"/>
      <c r="L150" s="232"/>
      <c r="M150" s="231"/>
      <c r="N150" s="232"/>
      <c r="O150" s="233"/>
      <c r="P150" s="293"/>
      <c r="Q150" s="293"/>
    </row>
    <row r="151" spans="1:78" ht="30" customHeight="1" x14ac:dyDescent="0.25">
      <c r="A151" s="256"/>
      <c r="B151" s="247" t="s">
        <v>131</v>
      </c>
      <c r="C151" s="75" t="s">
        <v>11</v>
      </c>
      <c r="D151" s="75" t="s">
        <v>86</v>
      </c>
      <c r="E151" s="56" t="s">
        <v>136</v>
      </c>
      <c r="F151" s="59"/>
      <c r="G151" s="60"/>
      <c r="H151" s="59"/>
      <c r="I151" s="60"/>
      <c r="J151" s="59">
        <v>3675</v>
      </c>
      <c r="K151" s="60"/>
      <c r="L151" s="59">
        <v>3675</v>
      </c>
      <c r="M151" s="62"/>
      <c r="N151" s="315">
        <f t="shared" ref="N151:N152" si="44">+F151+H151+J151+L151</f>
        <v>7350</v>
      </c>
      <c r="O151" s="61">
        <f t="shared" ref="O151:O152" si="45">+G151+I151+K151+M151</f>
        <v>0</v>
      </c>
      <c r="P151" s="293"/>
      <c r="Q151" s="293"/>
    </row>
    <row r="152" spans="1:78" ht="30" x14ac:dyDescent="0.25">
      <c r="A152" s="256"/>
      <c r="B152" s="248" t="s">
        <v>131</v>
      </c>
      <c r="C152" s="86" t="s">
        <v>9</v>
      </c>
      <c r="D152" s="75" t="s">
        <v>111</v>
      </c>
      <c r="E152" s="56" t="s">
        <v>136</v>
      </c>
      <c r="F152" s="59"/>
      <c r="G152" s="60"/>
      <c r="H152" s="59"/>
      <c r="I152" s="60"/>
      <c r="J152" s="59">
        <v>975</v>
      </c>
      <c r="K152" s="60"/>
      <c r="L152" s="59">
        <v>975</v>
      </c>
      <c r="M152" s="62"/>
      <c r="N152" s="315">
        <f t="shared" si="44"/>
        <v>1950</v>
      </c>
      <c r="O152" s="61">
        <f t="shared" si="45"/>
        <v>0</v>
      </c>
      <c r="P152" s="293"/>
      <c r="Q152" s="293"/>
    </row>
    <row r="153" spans="1:78" x14ac:dyDescent="0.25">
      <c r="A153" s="253" t="s">
        <v>429</v>
      </c>
      <c r="B153" s="224" t="s">
        <v>131</v>
      </c>
      <c r="C153" s="221" t="s">
        <v>98</v>
      </c>
      <c r="D153" s="222"/>
      <c r="E153" s="223"/>
      <c r="F153" s="225"/>
      <c r="G153" s="224"/>
      <c r="H153" s="225"/>
      <c r="I153" s="224"/>
      <c r="J153" s="225"/>
      <c r="K153" s="224"/>
      <c r="L153" s="225"/>
      <c r="M153" s="224"/>
      <c r="N153" s="225"/>
      <c r="O153" s="226"/>
      <c r="P153" s="293"/>
      <c r="Q153" s="293"/>
    </row>
    <row r="154" spans="1:78" x14ac:dyDescent="0.25">
      <c r="A154" s="255" t="s">
        <v>474</v>
      </c>
      <c r="B154" s="231" t="s">
        <v>131</v>
      </c>
      <c r="C154" s="227" t="s">
        <v>475</v>
      </c>
      <c r="D154" s="228"/>
      <c r="E154" s="229"/>
      <c r="F154" s="232"/>
      <c r="G154" s="231"/>
      <c r="H154" s="232"/>
      <c r="I154" s="231"/>
      <c r="J154" s="232"/>
      <c r="K154" s="231"/>
      <c r="L154" s="232"/>
      <c r="M154" s="231"/>
      <c r="N154" s="232"/>
      <c r="O154" s="233"/>
      <c r="P154" s="293"/>
      <c r="Q154" s="293"/>
    </row>
    <row r="155" spans="1:78" x14ac:dyDescent="0.25">
      <c r="A155" s="255" t="s">
        <v>476</v>
      </c>
      <c r="B155" s="231" t="s">
        <v>131</v>
      </c>
      <c r="C155" s="227" t="s">
        <v>1</v>
      </c>
      <c r="D155" s="228"/>
      <c r="E155" s="229"/>
      <c r="F155" s="232"/>
      <c r="G155" s="231"/>
      <c r="H155" s="232"/>
      <c r="I155" s="231"/>
      <c r="J155" s="232"/>
      <c r="K155" s="231"/>
      <c r="L155" s="232"/>
      <c r="M155" s="231"/>
      <c r="N155" s="232"/>
      <c r="O155" s="233"/>
      <c r="P155" s="293"/>
      <c r="Q155" s="293"/>
      <c r="R155" s="15"/>
      <c r="S155" s="15"/>
      <c r="T155" s="15"/>
      <c r="U155" s="15"/>
      <c r="V155" s="15"/>
      <c r="W155" s="15"/>
      <c r="X155" s="15"/>
      <c r="Y155" s="15"/>
      <c r="Z155" s="15"/>
      <c r="AA155" s="15"/>
      <c r="AB155" s="15"/>
      <c r="AC155" s="15"/>
      <c r="AD155" s="15"/>
      <c r="AE155" s="15"/>
      <c r="AF155" s="15"/>
      <c r="AG155" s="15"/>
      <c r="AH155" s="15"/>
      <c r="AI155" s="15"/>
      <c r="AJ155" s="15"/>
      <c r="AK155" s="15"/>
      <c r="AL155" s="15"/>
      <c r="AM155" s="15"/>
      <c r="AN155" s="15"/>
      <c r="AO155" s="15"/>
      <c r="AP155" s="15"/>
      <c r="AQ155" s="15"/>
      <c r="AR155" s="15"/>
      <c r="AS155" s="15"/>
      <c r="AT155" s="15"/>
      <c r="AU155" s="15"/>
      <c r="AV155" s="15"/>
      <c r="AW155" s="15"/>
      <c r="AX155" s="15"/>
      <c r="AY155" s="15"/>
      <c r="AZ155" s="15"/>
      <c r="BA155" s="15"/>
      <c r="BB155" s="15"/>
      <c r="BC155" s="15"/>
      <c r="BD155" s="15"/>
      <c r="BE155" s="15"/>
      <c r="BF155" s="15"/>
      <c r="BG155" s="15"/>
      <c r="BH155" s="15"/>
      <c r="BI155" s="15"/>
      <c r="BJ155" s="15"/>
      <c r="BK155" s="15"/>
      <c r="BL155" s="15"/>
      <c r="BM155" s="15"/>
      <c r="BN155" s="15"/>
      <c r="BO155" s="15"/>
      <c r="BP155" s="15"/>
      <c r="BQ155" s="15"/>
      <c r="BR155" s="15"/>
      <c r="BS155" s="15"/>
      <c r="BT155" s="15"/>
      <c r="BU155" s="15"/>
      <c r="BV155" s="15"/>
      <c r="BW155" s="15"/>
      <c r="BX155" s="15"/>
      <c r="BY155" s="15"/>
      <c r="BZ155" s="15"/>
    </row>
    <row r="156" spans="1:78" x14ac:dyDescent="0.25">
      <c r="A156" s="256"/>
      <c r="B156" s="247" t="s">
        <v>131</v>
      </c>
      <c r="C156" s="75" t="s">
        <v>84</v>
      </c>
      <c r="D156" s="75" t="s">
        <v>177</v>
      </c>
      <c r="E156" s="56" t="s">
        <v>132</v>
      </c>
      <c r="F156" s="59"/>
      <c r="G156" s="60"/>
      <c r="H156" s="59"/>
      <c r="I156" s="60">
        <v>29151.98</v>
      </c>
      <c r="J156" s="59"/>
      <c r="K156" s="60">
        <v>87455.94</v>
      </c>
      <c r="L156" s="59"/>
      <c r="M156" s="62">
        <v>87455.94</v>
      </c>
      <c r="N156" s="59">
        <f t="shared" ref="N156:N181" si="46">+F156+H156+J156+L156</f>
        <v>0</v>
      </c>
      <c r="O156" s="61">
        <f t="shared" ref="O156:O181" si="47">+G156+I156+K156+M156</f>
        <v>204063.86</v>
      </c>
      <c r="P156" s="293"/>
      <c r="Q156" s="293"/>
    </row>
    <row r="157" spans="1:78" ht="30" x14ac:dyDescent="0.25">
      <c r="A157" s="256"/>
      <c r="B157" s="247" t="s">
        <v>131</v>
      </c>
      <c r="C157" s="75" t="s">
        <v>84</v>
      </c>
      <c r="D157" s="75" t="s">
        <v>178</v>
      </c>
      <c r="E157" s="56" t="s">
        <v>132</v>
      </c>
      <c r="F157" s="59"/>
      <c r="G157" s="60"/>
      <c r="H157" s="59"/>
      <c r="I157" s="60">
        <v>1308.6666666666667</v>
      </c>
      <c r="J157" s="59"/>
      <c r="K157" s="60">
        <v>3926</v>
      </c>
      <c r="L157" s="59"/>
      <c r="M157" s="62">
        <v>3926</v>
      </c>
      <c r="N157" s="59">
        <f t="shared" si="46"/>
        <v>0</v>
      </c>
      <c r="O157" s="61">
        <f t="shared" si="47"/>
        <v>9160.6666666666679</v>
      </c>
      <c r="P157" s="293"/>
      <c r="Q157" s="293"/>
    </row>
    <row r="158" spans="1:78" x14ac:dyDescent="0.25">
      <c r="A158" s="256"/>
      <c r="B158" s="247" t="s">
        <v>131</v>
      </c>
      <c r="C158" s="75" t="s">
        <v>160</v>
      </c>
      <c r="D158" s="75" t="s">
        <v>179</v>
      </c>
      <c r="E158" s="56" t="s">
        <v>132</v>
      </c>
      <c r="F158" s="59"/>
      <c r="G158" s="60"/>
      <c r="H158" s="59"/>
      <c r="I158" s="60">
        <v>29314.133333333331</v>
      </c>
      <c r="J158" s="59"/>
      <c r="K158" s="60">
        <v>87942.399999999994</v>
      </c>
      <c r="L158" s="59"/>
      <c r="M158" s="62">
        <v>87942.399999999994</v>
      </c>
      <c r="N158" s="59">
        <f t="shared" si="46"/>
        <v>0</v>
      </c>
      <c r="O158" s="61">
        <f t="shared" si="47"/>
        <v>205198.93333333332</v>
      </c>
      <c r="P158" s="293"/>
      <c r="Q158" s="293"/>
    </row>
    <row r="159" spans="1:78" x14ac:dyDescent="0.25">
      <c r="A159" s="256"/>
      <c r="B159" s="247" t="s">
        <v>131</v>
      </c>
      <c r="C159" s="75" t="s">
        <v>62</v>
      </c>
      <c r="D159" s="75" t="s">
        <v>180</v>
      </c>
      <c r="E159" s="56" t="s">
        <v>132</v>
      </c>
      <c r="F159" s="59"/>
      <c r="G159" s="60"/>
      <c r="H159" s="59"/>
      <c r="I159" s="60">
        <v>1128.8333333333333</v>
      </c>
      <c r="J159" s="59"/>
      <c r="K159" s="60">
        <v>3386.5</v>
      </c>
      <c r="L159" s="59"/>
      <c r="M159" s="62">
        <v>3386.5</v>
      </c>
      <c r="N159" s="59">
        <f t="shared" si="46"/>
        <v>0</v>
      </c>
      <c r="O159" s="61">
        <f t="shared" si="47"/>
        <v>7901.833333333333</v>
      </c>
      <c r="P159" s="293"/>
      <c r="Q159" s="293"/>
    </row>
    <row r="160" spans="1:78" ht="30" x14ac:dyDescent="0.25">
      <c r="A160" s="256"/>
      <c r="B160" s="247" t="s">
        <v>131</v>
      </c>
      <c r="C160" s="75" t="s">
        <v>56</v>
      </c>
      <c r="D160" s="75" t="s">
        <v>181</v>
      </c>
      <c r="E160" s="56" t="s">
        <v>132</v>
      </c>
      <c r="F160" s="59"/>
      <c r="G160" s="60"/>
      <c r="H160" s="59"/>
      <c r="I160" s="60">
        <v>7263.3600000000006</v>
      </c>
      <c r="J160" s="59"/>
      <c r="K160" s="60">
        <v>21790.080000000002</v>
      </c>
      <c r="L160" s="59"/>
      <c r="M160" s="62">
        <v>21790.080000000002</v>
      </c>
      <c r="N160" s="59">
        <f t="shared" si="46"/>
        <v>0</v>
      </c>
      <c r="O160" s="61">
        <f t="shared" si="47"/>
        <v>50843.520000000004</v>
      </c>
      <c r="P160" s="293"/>
      <c r="Q160" s="293"/>
    </row>
    <row r="161" spans="1:17" ht="30" x14ac:dyDescent="0.25">
      <c r="A161" s="256"/>
      <c r="B161" s="247" t="s">
        <v>131</v>
      </c>
      <c r="C161" s="75" t="s">
        <v>56</v>
      </c>
      <c r="D161" s="75" t="s">
        <v>182</v>
      </c>
      <c r="E161" s="56" t="s">
        <v>132</v>
      </c>
      <c r="F161" s="59"/>
      <c r="G161" s="60"/>
      <c r="H161" s="59"/>
      <c r="I161" s="60">
        <v>2813.8933333333334</v>
      </c>
      <c r="J161" s="59"/>
      <c r="K161" s="60">
        <v>8441.68</v>
      </c>
      <c r="L161" s="59"/>
      <c r="M161" s="62">
        <v>8441.68</v>
      </c>
      <c r="N161" s="59">
        <f t="shared" si="46"/>
        <v>0</v>
      </c>
      <c r="O161" s="61">
        <f t="shared" si="47"/>
        <v>19697.253333333334</v>
      </c>
      <c r="P161" s="293"/>
      <c r="Q161" s="293"/>
    </row>
    <row r="162" spans="1:17" ht="30" x14ac:dyDescent="0.25">
      <c r="A162" s="256"/>
      <c r="B162" s="247" t="s">
        <v>131</v>
      </c>
      <c r="C162" s="75" t="s">
        <v>56</v>
      </c>
      <c r="D162" s="75" t="s">
        <v>183</v>
      </c>
      <c r="E162" s="56" t="s">
        <v>132</v>
      </c>
      <c r="F162" s="59"/>
      <c r="G162" s="60"/>
      <c r="H162" s="59"/>
      <c r="I162" s="60">
        <v>1505.0533333333335</v>
      </c>
      <c r="J162" s="59"/>
      <c r="K162" s="60">
        <v>4515.1600000000008</v>
      </c>
      <c r="L162" s="59"/>
      <c r="M162" s="62">
        <v>4515.1600000000008</v>
      </c>
      <c r="N162" s="59">
        <f t="shared" si="46"/>
        <v>0</v>
      </c>
      <c r="O162" s="61">
        <f t="shared" si="47"/>
        <v>10535.373333333335</v>
      </c>
      <c r="P162" s="293"/>
      <c r="Q162" s="293"/>
    </row>
    <row r="163" spans="1:17" ht="30" x14ac:dyDescent="0.25">
      <c r="A163" s="256"/>
      <c r="B163" s="247" t="s">
        <v>131</v>
      </c>
      <c r="C163" s="75" t="s">
        <v>58</v>
      </c>
      <c r="D163" s="75" t="s">
        <v>184</v>
      </c>
      <c r="E163" s="56" t="s">
        <v>132</v>
      </c>
      <c r="F163" s="59"/>
      <c r="G163" s="60"/>
      <c r="H163" s="59"/>
      <c r="I163" s="60">
        <v>1406.9466666666667</v>
      </c>
      <c r="J163" s="59"/>
      <c r="K163" s="60">
        <v>4220.84</v>
      </c>
      <c r="L163" s="59"/>
      <c r="M163" s="62">
        <v>4220.84</v>
      </c>
      <c r="N163" s="59">
        <f t="shared" si="46"/>
        <v>0</v>
      </c>
      <c r="O163" s="61">
        <f t="shared" si="47"/>
        <v>9848.626666666667</v>
      </c>
      <c r="P163" s="293"/>
      <c r="Q163" s="293"/>
    </row>
    <row r="164" spans="1:17" ht="30" x14ac:dyDescent="0.25">
      <c r="A164" s="256"/>
      <c r="B164" s="247" t="s">
        <v>131</v>
      </c>
      <c r="C164" s="75" t="s">
        <v>57</v>
      </c>
      <c r="D164" s="75" t="s">
        <v>185</v>
      </c>
      <c r="E164" s="56" t="s">
        <v>132</v>
      </c>
      <c r="F164" s="59"/>
      <c r="G164" s="60"/>
      <c r="H164" s="59"/>
      <c r="I164" s="60">
        <v>1505.0533333333335</v>
      </c>
      <c r="J164" s="59"/>
      <c r="K164" s="60">
        <v>4515.1600000000008</v>
      </c>
      <c r="L164" s="59"/>
      <c r="M164" s="62">
        <v>4515.1600000000008</v>
      </c>
      <c r="N164" s="59">
        <f t="shared" si="46"/>
        <v>0</v>
      </c>
      <c r="O164" s="61">
        <f t="shared" si="47"/>
        <v>10535.373333333335</v>
      </c>
      <c r="P164" s="293"/>
      <c r="Q164" s="293"/>
    </row>
    <row r="165" spans="1:17" ht="30" x14ac:dyDescent="0.25">
      <c r="A165" s="256"/>
      <c r="B165" s="247" t="s">
        <v>131</v>
      </c>
      <c r="C165" s="75" t="s">
        <v>186</v>
      </c>
      <c r="D165" s="75" t="s">
        <v>101</v>
      </c>
      <c r="E165" s="56" t="s">
        <v>132</v>
      </c>
      <c r="F165" s="59"/>
      <c r="G165" s="60"/>
      <c r="H165" s="59"/>
      <c r="I165" s="60">
        <v>1406.9466666666667</v>
      </c>
      <c r="J165" s="59"/>
      <c r="K165" s="60">
        <v>4220.84</v>
      </c>
      <c r="L165" s="59"/>
      <c r="M165" s="62">
        <v>4220.84</v>
      </c>
      <c r="N165" s="59">
        <f t="shared" si="46"/>
        <v>0</v>
      </c>
      <c r="O165" s="61">
        <f t="shared" si="47"/>
        <v>9848.626666666667</v>
      </c>
      <c r="P165" s="293"/>
      <c r="Q165" s="293"/>
    </row>
    <row r="166" spans="1:17" x14ac:dyDescent="0.25">
      <c r="A166" s="256"/>
      <c r="B166" s="247" t="s">
        <v>131</v>
      </c>
      <c r="C166" s="75" t="s">
        <v>187</v>
      </c>
      <c r="D166" s="75" t="s">
        <v>102</v>
      </c>
      <c r="E166" s="56" t="s">
        <v>132</v>
      </c>
      <c r="F166" s="59"/>
      <c r="G166" s="60"/>
      <c r="H166" s="59"/>
      <c r="I166" s="60">
        <v>1897.6533333333336</v>
      </c>
      <c r="J166" s="59"/>
      <c r="K166" s="60">
        <v>5692.9600000000009</v>
      </c>
      <c r="L166" s="59"/>
      <c r="M166" s="62">
        <v>5692.9600000000009</v>
      </c>
      <c r="N166" s="59">
        <f t="shared" si="46"/>
        <v>0</v>
      </c>
      <c r="O166" s="61">
        <f t="shared" si="47"/>
        <v>13283.573333333336</v>
      </c>
      <c r="P166" s="293"/>
      <c r="Q166" s="293"/>
    </row>
    <row r="167" spans="1:17" ht="30" x14ac:dyDescent="0.25">
      <c r="A167" s="256"/>
      <c r="B167" s="247" t="s">
        <v>131</v>
      </c>
      <c r="C167" s="75" t="s">
        <v>63</v>
      </c>
      <c r="D167" s="75" t="s">
        <v>184</v>
      </c>
      <c r="E167" s="56" t="s">
        <v>132</v>
      </c>
      <c r="F167" s="59"/>
      <c r="G167" s="60"/>
      <c r="H167" s="59"/>
      <c r="I167" s="60">
        <v>1406.9466666666667</v>
      </c>
      <c r="J167" s="59"/>
      <c r="K167" s="60">
        <v>4220.84</v>
      </c>
      <c r="L167" s="59"/>
      <c r="M167" s="62">
        <v>4220.84</v>
      </c>
      <c r="N167" s="59">
        <f t="shared" si="46"/>
        <v>0</v>
      </c>
      <c r="O167" s="61">
        <f t="shared" si="47"/>
        <v>9848.626666666667</v>
      </c>
      <c r="P167" s="293"/>
      <c r="Q167" s="293"/>
    </row>
    <row r="168" spans="1:17" ht="30" x14ac:dyDescent="0.25">
      <c r="A168" s="256"/>
      <c r="B168" s="247" t="s">
        <v>131</v>
      </c>
      <c r="C168" s="75" t="s">
        <v>64</v>
      </c>
      <c r="D168" s="75" t="s">
        <v>188</v>
      </c>
      <c r="E168" s="56" t="s">
        <v>132</v>
      </c>
      <c r="F168" s="59"/>
      <c r="G168" s="60"/>
      <c r="H168" s="59"/>
      <c r="I168" s="60">
        <v>1308.7533333333333</v>
      </c>
      <c r="J168" s="59"/>
      <c r="K168" s="60">
        <v>3926.26</v>
      </c>
      <c r="L168" s="59"/>
      <c r="M168" s="62">
        <v>3926.26</v>
      </c>
      <c r="N168" s="59">
        <f t="shared" si="46"/>
        <v>0</v>
      </c>
      <c r="O168" s="61">
        <f t="shared" si="47"/>
        <v>9161.2733333333344</v>
      </c>
      <c r="P168" s="293"/>
      <c r="Q168" s="293"/>
    </row>
    <row r="169" spans="1:17" x14ac:dyDescent="0.25">
      <c r="A169" s="256"/>
      <c r="B169" s="247" t="s">
        <v>131</v>
      </c>
      <c r="C169" s="75" t="s">
        <v>189</v>
      </c>
      <c r="D169" s="75" t="s">
        <v>190</v>
      </c>
      <c r="E169" s="56" t="s">
        <v>132</v>
      </c>
      <c r="F169" s="59"/>
      <c r="G169" s="60"/>
      <c r="H169" s="59"/>
      <c r="I169" s="60">
        <v>1128.8333333333333</v>
      </c>
      <c r="J169" s="59"/>
      <c r="K169" s="60">
        <v>3386.5</v>
      </c>
      <c r="L169" s="59"/>
      <c r="M169" s="62">
        <v>3386.5</v>
      </c>
      <c r="N169" s="59">
        <f t="shared" si="46"/>
        <v>0</v>
      </c>
      <c r="O169" s="61">
        <f t="shared" si="47"/>
        <v>7901.833333333333</v>
      </c>
      <c r="P169" s="293"/>
      <c r="Q169" s="293"/>
    </row>
    <row r="170" spans="1:17" x14ac:dyDescent="0.25">
      <c r="A170" s="256"/>
      <c r="B170" s="247" t="s">
        <v>131</v>
      </c>
      <c r="C170" s="75" t="s">
        <v>65</v>
      </c>
      <c r="D170" s="75" t="s">
        <v>190</v>
      </c>
      <c r="E170" s="56" t="s">
        <v>132</v>
      </c>
      <c r="F170" s="59"/>
      <c r="G170" s="60"/>
      <c r="H170" s="59"/>
      <c r="I170" s="60">
        <v>1128.8333333333333</v>
      </c>
      <c r="J170" s="59"/>
      <c r="K170" s="60">
        <v>3386.5</v>
      </c>
      <c r="L170" s="59"/>
      <c r="M170" s="62">
        <v>3386.5</v>
      </c>
      <c r="N170" s="59">
        <f t="shared" si="46"/>
        <v>0</v>
      </c>
      <c r="O170" s="61">
        <f t="shared" si="47"/>
        <v>7901.833333333333</v>
      </c>
      <c r="P170" s="293"/>
      <c r="Q170" s="293"/>
    </row>
    <row r="171" spans="1:17" x14ac:dyDescent="0.25">
      <c r="A171" s="256"/>
      <c r="B171" s="247" t="s">
        <v>131</v>
      </c>
      <c r="C171" s="75" t="s">
        <v>55</v>
      </c>
      <c r="D171" s="75" t="s">
        <v>191</v>
      </c>
      <c r="E171" s="56" t="s">
        <v>132</v>
      </c>
      <c r="F171" s="59"/>
      <c r="G171" s="60"/>
      <c r="H171" s="59"/>
      <c r="I171" s="60">
        <v>883.39333333333343</v>
      </c>
      <c r="J171" s="59"/>
      <c r="K171" s="60">
        <v>2650.1800000000003</v>
      </c>
      <c r="L171" s="59"/>
      <c r="M171" s="62">
        <v>2650.1800000000003</v>
      </c>
      <c r="N171" s="59">
        <f t="shared" si="46"/>
        <v>0</v>
      </c>
      <c r="O171" s="61">
        <f t="shared" si="47"/>
        <v>6183.753333333334</v>
      </c>
      <c r="P171" s="293"/>
      <c r="Q171" s="293"/>
    </row>
    <row r="172" spans="1:17" x14ac:dyDescent="0.25">
      <c r="A172" s="256"/>
      <c r="B172" s="247" t="s">
        <v>131</v>
      </c>
      <c r="C172" s="75" t="s">
        <v>55</v>
      </c>
      <c r="D172" s="75" t="s">
        <v>192</v>
      </c>
      <c r="E172" s="56" t="s">
        <v>132</v>
      </c>
      <c r="F172" s="59"/>
      <c r="G172" s="60"/>
      <c r="H172" s="59"/>
      <c r="I172" s="60">
        <v>1046.9333333333334</v>
      </c>
      <c r="J172" s="59"/>
      <c r="K172" s="60">
        <v>3140.8</v>
      </c>
      <c r="L172" s="59"/>
      <c r="M172" s="62">
        <v>3140.8</v>
      </c>
      <c r="N172" s="59">
        <f t="shared" si="46"/>
        <v>0</v>
      </c>
      <c r="O172" s="61">
        <f t="shared" si="47"/>
        <v>7328.5333333333338</v>
      </c>
      <c r="P172" s="293"/>
      <c r="Q172" s="293"/>
    </row>
    <row r="173" spans="1:17" x14ac:dyDescent="0.25">
      <c r="A173" s="256"/>
      <c r="B173" s="247" t="s">
        <v>131</v>
      </c>
      <c r="C173" s="75" t="s">
        <v>66</v>
      </c>
      <c r="D173" s="75" t="s">
        <v>193</v>
      </c>
      <c r="E173" s="56" t="s">
        <v>132</v>
      </c>
      <c r="F173" s="59"/>
      <c r="G173" s="60"/>
      <c r="H173" s="59"/>
      <c r="I173" s="60">
        <v>883.39333333333343</v>
      </c>
      <c r="J173" s="59"/>
      <c r="K173" s="60">
        <v>2650.1800000000003</v>
      </c>
      <c r="L173" s="59"/>
      <c r="M173" s="62">
        <v>2650.1800000000003</v>
      </c>
      <c r="N173" s="59">
        <f t="shared" si="46"/>
        <v>0</v>
      </c>
      <c r="O173" s="61">
        <f t="shared" si="47"/>
        <v>6183.753333333334</v>
      </c>
      <c r="P173" s="293"/>
      <c r="Q173" s="293"/>
    </row>
    <row r="174" spans="1:17" x14ac:dyDescent="0.25">
      <c r="A174" s="256"/>
      <c r="B174" s="247" t="s">
        <v>131</v>
      </c>
      <c r="C174" s="75" t="s">
        <v>66</v>
      </c>
      <c r="D174" s="75" t="s">
        <v>194</v>
      </c>
      <c r="E174" s="56" t="s">
        <v>132</v>
      </c>
      <c r="F174" s="59"/>
      <c r="G174" s="60"/>
      <c r="H174" s="59"/>
      <c r="I174" s="60">
        <v>3140.7999999999997</v>
      </c>
      <c r="J174" s="59"/>
      <c r="K174" s="60">
        <v>9422.4</v>
      </c>
      <c r="L174" s="59"/>
      <c r="M174" s="62">
        <v>9422.4</v>
      </c>
      <c r="N174" s="59">
        <f t="shared" si="46"/>
        <v>0</v>
      </c>
      <c r="O174" s="61">
        <f t="shared" si="47"/>
        <v>21985.599999999999</v>
      </c>
      <c r="P174" s="293"/>
      <c r="Q174" s="293"/>
    </row>
    <row r="175" spans="1:17" x14ac:dyDescent="0.25">
      <c r="A175" s="256"/>
      <c r="B175" s="247" t="s">
        <v>131</v>
      </c>
      <c r="C175" s="75" t="s">
        <v>66</v>
      </c>
      <c r="D175" s="75" t="s">
        <v>195</v>
      </c>
      <c r="E175" s="56" t="s">
        <v>132</v>
      </c>
      <c r="F175" s="59"/>
      <c r="G175" s="60"/>
      <c r="H175" s="59"/>
      <c r="I175" s="60">
        <v>1128.8333333333333</v>
      </c>
      <c r="J175" s="59"/>
      <c r="K175" s="60">
        <v>3386.5</v>
      </c>
      <c r="L175" s="59"/>
      <c r="M175" s="62">
        <v>3386.5</v>
      </c>
      <c r="N175" s="59">
        <f t="shared" si="46"/>
        <v>0</v>
      </c>
      <c r="O175" s="61">
        <f t="shared" si="47"/>
        <v>7901.833333333333</v>
      </c>
      <c r="P175" s="293"/>
      <c r="Q175" s="293"/>
    </row>
    <row r="176" spans="1:17" x14ac:dyDescent="0.25">
      <c r="A176" s="256"/>
      <c r="B176" s="247" t="s">
        <v>131</v>
      </c>
      <c r="C176" s="75" t="s">
        <v>67</v>
      </c>
      <c r="D176" s="75" t="s">
        <v>190</v>
      </c>
      <c r="E176" s="56" t="s">
        <v>132</v>
      </c>
      <c r="F176" s="59"/>
      <c r="G176" s="60"/>
      <c r="H176" s="59"/>
      <c r="I176" s="60">
        <v>1128.8333333333333</v>
      </c>
      <c r="J176" s="59"/>
      <c r="K176" s="60">
        <v>3386.5</v>
      </c>
      <c r="L176" s="59"/>
      <c r="M176" s="62">
        <v>3386.5</v>
      </c>
      <c r="N176" s="59">
        <f t="shared" si="46"/>
        <v>0</v>
      </c>
      <c r="O176" s="61">
        <f t="shared" si="47"/>
        <v>7901.833333333333</v>
      </c>
      <c r="P176" s="293"/>
      <c r="Q176" s="293"/>
    </row>
    <row r="177" spans="1:78" x14ac:dyDescent="0.25">
      <c r="A177" s="256"/>
      <c r="B177" s="247" t="s">
        <v>131</v>
      </c>
      <c r="C177" s="75" t="s">
        <v>68</v>
      </c>
      <c r="D177" s="75" t="s">
        <v>196</v>
      </c>
      <c r="E177" s="56" t="s">
        <v>132</v>
      </c>
      <c r="F177" s="59"/>
      <c r="G177" s="60"/>
      <c r="H177" s="59"/>
      <c r="I177" s="60">
        <v>1046.9333333333334</v>
      </c>
      <c r="J177" s="59"/>
      <c r="K177" s="60">
        <v>3140.8</v>
      </c>
      <c r="L177" s="59"/>
      <c r="M177" s="62">
        <v>3140.8</v>
      </c>
      <c r="N177" s="59">
        <f t="shared" si="46"/>
        <v>0</v>
      </c>
      <c r="O177" s="61">
        <f t="shared" si="47"/>
        <v>7328.5333333333338</v>
      </c>
      <c r="P177" s="293"/>
      <c r="Q177" s="293"/>
    </row>
    <row r="178" spans="1:78" x14ac:dyDescent="0.25">
      <c r="A178" s="256"/>
      <c r="B178" s="247" t="s">
        <v>131</v>
      </c>
      <c r="C178" s="75" t="s">
        <v>69</v>
      </c>
      <c r="D178" s="75" t="s">
        <v>100</v>
      </c>
      <c r="E178" s="56" t="s">
        <v>132</v>
      </c>
      <c r="F178" s="59"/>
      <c r="G178" s="60"/>
      <c r="H178" s="59"/>
      <c r="I178" s="60">
        <v>1128.8333333333333</v>
      </c>
      <c r="J178" s="59"/>
      <c r="K178" s="60">
        <v>3386.5</v>
      </c>
      <c r="L178" s="59"/>
      <c r="M178" s="62">
        <v>3386.5</v>
      </c>
      <c r="N178" s="59">
        <f t="shared" si="46"/>
        <v>0</v>
      </c>
      <c r="O178" s="61">
        <f t="shared" si="47"/>
        <v>7901.833333333333</v>
      </c>
      <c r="P178" s="293"/>
      <c r="Q178" s="293"/>
    </row>
    <row r="179" spans="1:78" ht="30" x14ac:dyDescent="0.25">
      <c r="A179" s="256"/>
      <c r="B179" s="247" t="s">
        <v>131</v>
      </c>
      <c r="C179" s="75" t="s">
        <v>70</v>
      </c>
      <c r="D179" s="75" t="s">
        <v>100</v>
      </c>
      <c r="E179" s="56" t="s">
        <v>132</v>
      </c>
      <c r="F179" s="59"/>
      <c r="G179" s="60"/>
      <c r="H179" s="59"/>
      <c r="I179" s="60">
        <v>1046.9333333333334</v>
      </c>
      <c r="J179" s="59"/>
      <c r="K179" s="60">
        <v>3140.8</v>
      </c>
      <c r="L179" s="59"/>
      <c r="M179" s="62">
        <v>3140.8</v>
      </c>
      <c r="N179" s="59">
        <f t="shared" si="46"/>
        <v>0</v>
      </c>
      <c r="O179" s="61">
        <f t="shared" si="47"/>
        <v>7328.5333333333338</v>
      </c>
      <c r="P179" s="293"/>
      <c r="Q179" s="293"/>
    </row>
    <row r="180" spans="1:78" ht="30" x14ac:dyDescent="0.25">
      <c r="A180" s="256"/>
      <c r="B180" s="247" t="s">
        <v>131</v>
      </c>
      <c r="C180" s="75" t="s">
        <v>197</v>
      </c>
      <c r="D180" s="75" t="s">
        <v>103</v>
      </c>
      <c r="E180" s="56" t="s">
        <v>132</v>
      </c>
      <c r="F180" s="59"/>
      <c r="G180" s="60"/>
      <c r="H180" s="59"/>
      <c r="I180" s="60">
        <v>8441.68</v>
      </c>
      <c r="J180" s="59"/>
      <c r="K180" s="60">
        <v>25325.040000000001</v>
      </c>
      <c r="L180" s="59"/>
      <c r="M180" s="62">
        <v>25325.040000000001</v>
      </c>
      <c r="N180" s="59">
        <f t="shared" si="46"/>
        <v>0</v>
      </c>
      <c r="O180" s="61">
        <f t="shared" si="47"/>
        <v>59091.76</v>
      </c>
      <c r="P180" s="293"/>
      <c r="Q180" s="293"/>
    </row>
    <row r="181" spans="1:78" ht="30" x14ac:dyDescent="0.25">
      <c r="A181" s="256"/>
      <c r="B181" s="247" t="s">
        <v>131</v>
      </c>
      <c r="C181" s="75" t="s">
        <v>36</v>
      </c>
      <c r="D181" s="75" t="s">
        <v>92</v>
      </c>
      <c r="E181" s="56" t="s">
        <v>6</v>
      </c>
      <c r="F181" s="59"/>
      <c r="G181" s="60"/>
      <c r="H181" s="59"/>
      <c r="I181" s="60">
        <v>13066.666666666666</v>
      </c>
      <c r="J181" s="59"/>
      <c r="K181" s="60">
        <v>39200</v>
      </c>
      <c r="L181" s="59"/>
      <c r="M181" s="62">
        <v>39200</v>
      </c>
      <c r="N181" s="59">
        <f t="shared" si="46"/>
        <v>0</v>
      </c>
      <c r="O181" s="61">
        <f t="shared" si="47"/>
        <v>91466.666666666657</v>
      </c>
      <c r="P181" s="293"/>
      <c r="Q181" s="293"/>
    </row>
    <row r="182" spans="1:78" x14ac:dyDescent="0.25">
      <c r="A182" s="255" t="s">
        <v>477</v>
      </c>
      <c r="B182" s="231" t="s">
        <v>131</v>
      </c>
      <c r="C182" s="227" t="s">
        <v>5</v>
      </c>
      <c r="D182" s="228"/>
      <c r="E182" s="229"/>
      <c r="F182" s="232"/>
      <c r="G182" s="231"/>
      <c r="H182" s="232"/>
      <c r="I182" s="231"/>
      <c r="J182" s="232"/>
      <c r="K182" s="231"/>
      <c r="L182" s="232"/>
      <c r="M182" s="231"/>
      <c r="N182" s="232"/>
      <c r="O182" s="233"/>
      <c r="P182" s="293"/>
      <c r="Q182" s="293"/>
      <c r="R182" s="15"/>
      <c r="S182" s="15"/>
      <c r="T182" s="15"/>
      <c r="U182" s="15"/>
      <c r="V182" s="15"/>
      <c r="W182" s="15"/>
      <c r="X182" s="15"/>
      <c r="Y182" s="15"/>
      <c r="Z182" s="15"/>
      <c r="AA182" s="15"/>
      <c r="AB182" s="15"/>
      <c r="AC182" s="15"/>
      <c r="AD182" s="15"/>
      <c r="AE182" s="15"/>
      <c r="AF182" s="15"/>
      <c r="AG182" s="15"/>
      <c r="AH182" s="15"/>
      <c r="AI182" s="15"/>
      <c r="AJ182" s="15"/>
      <c r="AK182" s="15"/>
      <c r="AL182" s="15"/>
      <c r="AM182" s="15"/>
      <c r="AN182" s="15"/>
      <c r="AO182" s="15"/>
      <c r="AP182" s="15"/>
      <c r="AQ182" s="15"/>
      <c r="AR182" s="15"/>
      <c r="AS182" s="15"/>
      <c r="AT182" s="15"/>
      <c r="AU182" s="15"/>
      <c r="AV182" s="15"/>
      <c r="AW182" s="15"/>
      <c r="AX182" s="15"/>
      <c r="AY182" s="15"/>
      <c r="AZ182" s="15"/>
      <c r="BA182" s="15"/>
      <c r="BB182" s="15"/>
      <c r="BC182" s="15"/>
      <c r="BD182" s="15"/>
      <c r="BE182" s="15"/>
      <c r="BF182" s="15"/>
      <c r="BG182" s="15"/>
      <c r="BH182" s="15"/>
      <c r="BI182" s="15"/>
      <c r="BJ182" s="15"/>
      <c r="BK182" s="15"/>
      <c r="BL182" s="15"/>
      <c r="BM182" s="15"/>
      <c r="BN182" s="15"/>
      <c r="BO182" s="15"/>
      <c r="BP182" s="15"/>
      <c r="BQ182" s="15"/>
      <c r="BR182" s="15"/>
      <c r="BS182" s="15"/>
      <c r="BT182" s="15"/>
      <c r="BU182" s="15"/>
      <c r="BV182" s="15"/>
      <c r="BW182" s="15"/>
      <c r="BX182" s="15"/>
      <c r="BY182" s="15"/>
      <c r="BZ182" s="15"/>
    </row>
    <row r="183" spans="1:78" s="85" customFormat="1" x14ac:dyDescent="0.25">
      <c r="A183" s="256"/>
      <c r="B183" s="246" t="s">
        <v>131</v>
      </c>
      <c r="C183" s="56" t="s">
        <v>17</v>
      </c>
      <c r="D183" s="86" t="s">
        <v>53</v>
      </c>
      <c r="E183" s="86" t="s">
        <v>133</v>
      </c>
      <c r="F183" s="72"/>
      <c r="G183" s="73"/>
      <c r="H183" s="72"/>
      <c r="I183" s="73"/>
      <c r="J183" s="72"/>
      <c r="K183" s="73"/>
      <c r="L183" s="72">
        <v>24000</v>
      </c>
      <c r="M183" s="273"/>
      <c r="N183" s="314">
        <f t="shared" ref="N183:N184" si="48">+F183+H183+J183+L183</f>
        <v>24000</v>
      </c>
      <c r="O183" s="74">
        <f t="shared" ref="O183:O184" si="49">+G183+I183+K183+M183</f>
        <v>0</v>
      </c>
      <c r="P183" s="293"/>
      <c r="Q183" s="293"/>
      <c r="R183" s="15"/>
      <c r="S183" s="15"/>
      <c r="T183" s="15"/>
      <c r="U183" s="15"/>
      <c r="V183" s="15"/>
      <c r="W183" s="15"/>
      <c r="X183" s="15"/>
      <c r="Y183" s="15"/>
      <c r="Z183" s="15"/>
      <c r="AA183" s="15"/>
      <c r="AB183" s="15"/>
      <c r="AC183" s="15"/>
      <c r="AD183" s="15"/>
      <c r="AE183" s="15"/>
      <c r="AF183" s="15"/>
      <c r="AG183" s="15"/>
      <c r="AH183" s="15"/>
      <c r="AI183" s="15"/>
      <c r="AJ183" s="15"/>
      <c r="AK183" s="15"/>
      <c r="AL183" s="15"/>
      <c r="AM183" s="15"/>
      <c r="AN183" s="15"/>
      <c r="AO183" s="15"/>
      <c r="AP183" s="15"/>
      <c r="AQ183" s="15"/>
      <c r="AR183" s="15"/>
      <c r="AS183" s="15"/>
      <c r="AT183" s="15"/>
      <c r="AU183" s="15"/>
      <c r="AV183" s="15"/>
      <c r="AW183" s="15"/>
      <c r="AX183" s="15"/>
      <c r="AY183" s="15"/>
      <c r="AZ183" s="15"/>
      <c r="BA183" s="15"/>
      <c r="BB183" s="15"/>
      <c r="BC183" s="15"/>
      <c r="BD183" s="15"/>
      <c r="BE183" s="15"/>
      <c r="BF183" s="15"/>
      <c r="BG183" s="15"/>
      <c r="BH183" s="15"/>
      <c r="BI183" s="15"/>
      <c r="BJ183" s="15"/>
      <c r="BK183" s="15"/>
      <c r="BL183" s="15"/>
      <c r="BM183" s="15"/>
      <c r="BN183" s="15"/>
      <c r="BO183" s="15"/>
      <c r="BP183" s="15"/>
      <c r="BQ183" s="15"/>
      <c r="BR183" s="15"/>
      <c r="BS183" s="15"/>
      <c r="BT183" s="15"/>
      <c r="BU183" s="15"/>
      <c r="BV183" s="15"/>
      <c r="BW183" s="15"/>
      <c r="BX183" s="15"/>
      <c r="BY183" s="15"/>
      <c r="BZ183" s="15"/>
    </row>
    <row r="184" spans="1:78" x14ac:dyDescent="0.25">
      <c r="A184" s="256"/>
      <c r="B184" s="246" t="s">
        <v>131</v>
      </c>
      <c r="C184" s="56" t="s">
        <v>45</v>
      </c>
      <c r="D184" s="56" t="s">
        <v>90</v>
      </c>
      <c r="E184" s="56" t="s">
        <v>135</v>
      </c>
      <c r="F184" s="72"/>
      <c r="G184" s="73"/>
      <c r="H184" s="72"/>
      <c r="I184" s="73"/>
      <c r="J184" s="72">
        <v>30000</v>
      </c>
      <c r="K184" s="73"/>
      <c r="L184" s="72"/>
      <c r="M184" s="273"/>
      <c r="N184" s="314">
        <f t="shared" si="48"/>
        <v>30000</v>
      </c>
      <c r="O184" s="74">
        <f t="shared" si="49"/>
        <v>0</v>
      </c>
      <c r="P184" s="293"/>
      <c r="Q184" s="293"/>
    </row>
    <row r="185" spans="1:78" x14ac:dyDescent="0.25">
      <c r="A185" s="255" t="s">
        <v>478</v>
      </c>
      <c r="B185" s="231" t="s">
        <v>131</v>
      </c>
      <c r="C185" s="227" t="s">
        <v>7</v>
      </c>
      <c r="D185" s="228"/>
      <c r="E185" s="229"/>
      <c r="F185" s="232"/>
      <c r="G185" s="231"/>
      <c r="H185" s="232"/>
      <c r="I185" s="231"/>
      <c r="J185" s="232"/>
      <c r="K185" s="231"/>
      <c r="L185" s="232"/>
      <c r="M185" s="231"/>
      <c r="N185" s="232"/>
      <c r="O185" s="233"/>
      <c r="P185" s="293"/>
      <c r="Q185" s="293"/>
      <c r="R185" s="15"/>
      <c r="S185" s="15"/>
      <c r="T185" s="15"/>
      <c r="U185" s="15"/>
      <c r="V185" s="15"/>
      <c r="W185" s="15"/>
      <c r="X185" s="15"/>
      <c r="Y185" s="15"/>
      <c r="Z185" s="15"/>
      <c r="AA185" s="15"/>
      <c r="AB185" s="15"/>
      <c r="AC185" s="15"/>
      <c r="AD185" s="15"/>
      <c r="AE185" s="15"/>
      <c r="AF185" s="15"/>
      <c r="AG185" s="15"/>
      <c r="AH185" s="15"/>
      <c r="AI185" s="15"/>
      <c r="AJ185" s="15"/>
      <c r="AK185" s="15"/>
      <c r="AL185" s="15"/>
      <c r="AM185" s="15"/>
      <c r="AN185" s="15"/>
      <c r="AO185" s="15"/>
      <c r="AP185" s="15"/>
      <c r="AQ185" s="15"/>
      <c r="AR185" s="15"/>
      <c r="AS185" s="15"/>
      <c r="AT185" s="15"/>
      <c r="AU185" s="15"/>
      <c r="AV185" s="15"/>
      <c r="AW185" s="15"/>
      <c r="AX185" s="15"/>
      <c r="AY185" s="15"/>
      <c r="AZ185" s="15"/>
      <c r="BA185" s="15"/>
      <c r="BB185" s="15"/>
      <c r="BC185" s="15"/>
      <c r="BD185" s="15"/>
      <c r="BE185" s="15"/>
      <c r="BF185" s="15"/>
      <c r="BG185" s="15"/>
      <c r="BH185" s="15"/>
      <c r="BI185" s="15"/>
      <c r="BJ185" s="15"/>
      <c r="BK185" s="15"/>
      <c r="BL185" s="15"/>
      <c r="BM185" s="15"/>
      <c r="BN185" s="15"/>
      <c r="BO185" s="15"/>
      <c r="BP185" s="15"/>
      <c r="BQ185" s="15"/>
      <c r="BR185" s="15"/>
      <c r="BS185" s="15"/>
      <c r="BT185" s="15"/>
      <c r="BU185" s="15"/>
      <c r="BV185" s="15"/>
      <c r="BW185" s="15"/>
      <c r="BX185" s="15"/>
      <c r="BY185" s="15"/>
      <c r="BZ185" s="15"/>
    </row>
    <row r="186" spans="1:78" ht="45" x14ac:dyDescent="0.25">
      <c r="A186" s="256"/>
      <c r="B186" s="246" t="s">
        <v>131</v>
      </c>
      <c r="C186" s="56" t="s">
        <v>11</v>
      </c>
      <c r="D186" s="75" t="s">
        <v>11</v>
      </c>
      <c r="E186" s="56" t="s">
        <v>46</v>
      </c>
      <c r="F186" s="59"/>
      <c r="G186" s="60"/>
      <c r="H186" s="59"/>
      <c r="I186" s="60"/>
      <c r="J186" s="59">
        <v>8575</v>
      </c>
      <c r="K186" s="60"/>
      <c r="L186" s="59">
        <v>8575</v>
      </c>
      <c r="M186" s="62"/>
      <c r="N186" s="315">
        <f t="shared" ref="N186:N187" si="50">+F186+H186+J186+L186</f>
        <v>17150</v>
      </c>
      <c r="O186" s="61">
        <f t="shared" ref="O186:O187" si="51">+G186+I186+K186+M186</f>
        <v>0</v>
      </c>
      <c r="P186" s="293"/>
      <c r="Q186" s="293"/>
    </row>
    <row r="187" spans="1:78" ht="45" x14ac:dyDescent="0.25">
      <c r="A187" s="256"/>
      <c r="B187" s="246" t="s">
        <v>131</v>
      </c>
      <c r="C187" s="56" t="s">
        <v>54</v>
      </c>
      <c r="D187" s="75" t="s">
        <v>54</v>
      </c>
      <c r="E187" s="56" t="s">
        <v>46</v>
      </c>
      <c r="F187" s="22"/>
      <c r="G187" s="20"/>
      <c r="H187" s="59"/>
      <c r="I187" s="60"/>
      <c r="J187" s="59">
        <v>3000</v>
      </c>
      <c r="K187" s="60"/>
      <c r="L187" s="59">
        <v>3000</v>
      </c>
      <c r="M187" s="274"/>
      <c r="N187" s="315">
        <f t="shared" si="50"/>
        <v>6000</v>
      </c>
      <c r="O187" s="24">
        <f t="shared" si="51"/>
        <v>0</v>
      </c>
      <c r="P187" s="293"/>
      <c r="Q187" s="293"/>
    </row>
    <row r="188" spans="1:78" x14ac:dyDescent="0.25">
      <c r="A188" s="255" t="s">
        <v>479</v>
      </c>
      <c r="B188" s="231" t="s">
        <v>131</v>
      </c>
      <c r="C188" s="227" t="s">
        <v>25</v>
      </c>
      <c r="D188" s="228"/>
      <c r="E188" s="229"/>
      <c r="F188" s="232"/>
      <c r="G188" s="231"/>
      <c r="H188" s="232"/>
      <c r="I188" s="231"/>
      <c r="J188" s="232"/>
      <c r="K188" s="231"/>
      <c r="L188" s="232"/>
      <c r="M188" s="231"/>
      <c r="N188" s="232"/>
      <c r="O188" s="233"/>
      <c r="P188" s="293"/>
      <c r="Q188" s="293"/>
      <c r="R188" s="15"/>
      <c r="S188" s="15"/>
      <c r="T188" s="15"/>
      <c r="U188" s="15"/>
      <c r="V188" s="15"/>
      <c r="W188" s="15"/>
      <c r="X188" s="15"/>
      <c r="Y188" s="15"/>
      <c r="Z188" s="15"/>
      <c r="AA188" s="15"/>
      <c r="AB188" s="15"/>
      <c r="AC188" s="15"/>
      <c r="AD188" s="15"/>
      <c r="AE188" s="15"/>
      <c r="AF188" s="15"/>
      <c r="AG188" s="15"/>
      <c r="AH188" s="15"/>
      <c r="AI188" s="15"/>
      <c r="AJ188" s="15"/>
      <c r="AK188" s="15"/>
      <c r="AL188" s="15"/>
      <c r="AM188" s="15"/>
      <c r="AN188" s="15"/>
      <c r="AO188" s="15"/>
      <c r="AP188" s="15"/>
      <c r="AQ188" s="15"/>
      <c r="AR188" s="15"/>
      <c r="AS188" s="15"/>
      <c r="AT188" s="15"/>
      <c r="AU188" s="15"/>
      <c r="AV188" s="15"/>
      <c r="AW188" s="15"/>
      <c r="AX188" s="15"/>
      <c r="AY188" s="15"/>
      <c r="AZ188" s="15"/>
      <c r="BA188" s="15"/>
      <c r="BB188" s="15"/>
      <c r="BC188" s="15"/>
      <c r="BD188" s="15"/>
      <c r="BE188" s="15"/>
      <c r="BF188" s="15"/>
      <c r="BG188" s="15"/>
      <c r="BH188" s="15"/>
      <c r="BI188" s="15"/>
      <c r="BJ188" s="15"/>
      <c r="BK188" s="15"/>
      <c r="BL188" s="15"/>
      <c r="BM188" s="15"/>
      <c r="BN188" s="15"/>
      <c r="BO188" s="15"/>
      <c r="BP188" s="15"/>
      <c r="BQ188" s="15"/>
      <c r="BR188" s="15"/>
      <c r="BS188" s="15"/>
      <c r="BT188" s="15"/>
      <c r="BU188" s="15"/>
      <c r="BV188" s="15"/>
      <c r="BW188" s="15"/>
      <c r="BX188" s="15"/>
      <c r="BY188" s="15"/>
      <c r="BZ188" s="15"/>
    </row>
    <row r="189" spans="1:78" ht="30" x14ac:dyDescent="0.25">
      <c r="A189" s="256"/>
      <c r="B189" s="244" t="s">
        <v>131</v>
      </c>
      <c r="C189" s="18" t="s">
        <v>26</v>
      </c>
      <c r="D189" s="18" t="s">
        <v>91</v>
      </c>
      <c r="E189" s="86" t="s">
        <v>134</v>
      </c>
      <c r="F189" s="22"/>
      <c r="G189" s="20"/>
      <c r="H189" s="22"/>
      <c r="I189" s="20"/>
      <c r="J189" s="22"/>
      <c r="K189" s="20"/>
      <c r="L189" s="22">
        <v>4857.1428571428569</v>
      </c>
      <c r="M189" s="274"/>
      <c r="N189" s="315">
        <f t="shared" ref="N189" si="52">+F189+H189+J189+L189</f>
        <v>4857.1428571428569</v>
      </c>
      <c r="O189" s="24">
        <f t="shared" ref="O189" si="53">+G189+I189+K189+M189</f>
        <v>0</v>
      </c>
      <c r="P189" s="293"/>
      <c r="Q189" s="293"/>
    </row>
    <row r="190" spans="1:78" x14ac:dyDescent="0.25">
      <c r="A190" s="255" t="s">
        <v>480</v>
      </c>
      <c r="B190" s="231" t="s">
        <v>131</v>
      </c>
      <c r="C190" s="227" t="s">
        <v>481</v>
      </c>
      <c r="D190" s="228"/>
      <c r="E190" s="229"/>
      <c r="F190" s="232"/>
      <c r="G190" s="231"/>
      <c r="H190" s="232"/>
      <c r="I190" s="231"/>
      <c r="J190" s="232"/>
      <c r="K190" s="231"/>
      <c r="L190" s="232"/>
      <c r="M190" s="231"/>
      <c r="N190" s="232"/>
      <c r="O190" s="233"/>
      <c r="P190" s="293"/>
      <c r="Q190" s="293"/>
    </row>
    <row r="191" spans="1:78" x14ac:dyDescent="0.25">
      <c r="A191" s="256"/>
      <c r="B191" s="247" t="s">
        <v>131</v>
      </c>
      <c r="C191" s="75" t="s">
        <v>43</v>
      </c>
      <c r="D191" s="75" t="s">
        <v>198</v>
      </c>
      <c r="E191" s="56" t="s">
        <v>132</v>
      </c>
      <c r="F191" s="59"/>
      <c r="G191" s="60"/>
      <c r="H191" s="59"/>
      <c r="I191" s="60"/>
      <c r="J191" s="59"/>
      <c r="K191" s="60">
        <v>18844.8</v>
      </c>
      <c r="L191" s="59"/>
      <c r="M191" s="62">
        <v>18844.8</v>
      </c>
      <c r="N191" s="59">
        <f t="shared" ref="N191:N193" si="54">+F191+H191+J191+L191</f>
        <v>0</v>
      </c>
      <c r="O191" s="61">
        <f t="shared" ref="O191:O193" si="55">+G191+I191+K191+M191</f>
        <v>37689.599999999999</v>
      </c>
      <c r="P191" s="293"/>
      <c r="Q191" s="293"/>
    </row>
    <row r="192" spans="1:78" x14ac:dyDescent="0.25">
      <c r="A192" s="256"/>
      <c r="B192" s="246" t="s">
        <v>131</v>
      </c>
      <c r="C192" s="56" t="s">
        <v>44</v>
      </c>
      <c r="D192" s="75" t="s">
        <v>104</v>
      </c>
      <c r="E192" s="56" t="s">
        <v>132</v>
      </c>
      <c r="F192" s="59"/>
      <c r="G192" s="60"/>
      <c r="H192" s="59"/>
      <c r="I192" s="60"/>
      <c r="J192" s="59"/>
      <c r="K192" s="60">
        <v>16883.36</v>
      </c>
      <c r="L192" s="59"/>
      <c r="M192" s="62">
        <v>16883.36</v>
      </c>
      <c r="N192" s="59">
        <f t="shared" si="54"/>
        <v>0</v>
      </c>
      <c r="O192" s="61">
        <f t="shared" si="55"/>
        <v>33766.720000000001</v>
      </c>
      <c r="P192" s="293"/>
      <c r="Q192" s="293"/>
    </row>
    <row r="193" spans="1:17" x14ac:dyDescent="0.25">
      <c r="A193" s="256"/>
      <c r="B193" s="248" t="s">
        <v>131</v>
      </c>
      <c r="C193" s="86" t="s">
        <v>40</v>
      </c>
      <c r="D193" s="86" t="s">
        <v>42</v>
      </c>
      <c r="E193" s="86" t="s">
        <v>133</v>
      </c>
      <c r="F193" s="88"/>
      <c r="G193" s="89"/>
      <c r="H193" s="88"/>
      <c r="I193" s="89"/>
      <c r="J193" s="88"/>
      <c r="K193" s="89"/>
      <c r="L193" s="88"/>
      <c r="M193" s="288"/>
      <c r="N193" s="88">
        <f t="shared" si="54"/>
        <v>0</v>
      </c>
      <c r="O193" s="90">
        <f t="shared" si="55"/>
        <v>0</v>
      </c>
      <c r="P193" s="293"/>
      <c r="Q193" s="293"/>
    </row>
    <row r="194" spans="1:17" x14ac:dyDescent="0.25">
      <c r="A194" s="255" t="s">
        <v>529</v>
      </c>
      <c r="B194" s="231" t="s">
        <v>131</v>
      </c>
      <c r="C194" s="227" t="s">
        <v>530</v>
      </c>
      <c r="D194" s="228"/>
      <c r="E194" s="229"/>
      <c r="F194" s="230"/>
      <c r="G194" s="231"/>
      <c r="H194" s="232"/>
      <c r="I194" s="231"/>
      <c r="J194" s="232"/>
      <c r="K194" s="231"/>
      <c r="L194" s="232"/>
      <c r="M194" s="231"/>
      <c r="N194" s="232"/>
      <c r="O194" s="233"/>
      <c r="P194" s="293"/>
      <c r="Q194" s="293"/>
    </row>
    <row r="195" spans="1:17" x14ac:dyDescent="0.25">
      <c r="A195" s="256"/>
      <c r="B195" s="248" t="s">
        <v>131</v>
      </c>
      <c r="C195" s="86" t="s">
        <v>519</v>
      </c>
      <c r="D195" s="86"/>
      <c r="E195" s="86" t="s">
        <v>134</v>
      </c>
      <c r="F195" s="21"/>
      <c r="G195" s="60"/>
      <c r="H195" s="59"/>
      <c r="I195" s="60"/>
      <c r="J195" s="59"/>
      <c r="K195" s="60"/>
      <c r="L195" s="59"/>
      <c r="M195" s="62">
        <f>45000*0.7</f>
        <v>31499.999999999996</v>
      </c>
      <c r="N195" s="88">
        <f t="shared" ref="N195" si="56">+F195+H195+J195+L195</f>
        <v>0</v>
      </c>
      <c r="O195" s="71">
        <f t="shared" ref="O195" si="57">+G195+I195+K195+M195</f>
        <v>31499.999999999996</v>
      </c>
      <c r="P195" s="293"/>
      <c r="Q195" s="293"/>
    </row>
    <row r="196" spans="1:17" x14ac:dyDescent="0.25">
      <c r="A196" s="253" t="s">
        <v>544</v>
      </c>
      <c r="B196" s="224" t="s">
        <v>131</v>
      </c>
      <c r="C196" s="221" t="s">
        <v>437</v>
      </c>
      <c r="D196" s="222"/>
      <c r="E196" s="223"/>
      <c r="F196" s="225"/>
      <c r="G196" s="224"/>
      <c r="H196" s="225"/>
      <c r="I196" s="224"/>
      <c r="J196" s="225"/>
      <c r="K196" s="224"/>
      <c r="L196" s="225"/>
      <c r="M196" s="224"/>
      <c r="N196" s="225"/>
      <c r="O196" s="226"/>
      <c r="P196" s="293"/>
      <c r="Q196" s="293"/>
    </row>
    <row r="197" spans="1:17" x14ac:dyDescent="0.25">
      <c r="A197" s="255" t="s">
        <v>545</v>
      </c>
      <c r="B197" s="231" t="s">
        <v>131</v>
      </c>
      <c r="C197" s="227" t="s">
        <v>489</v>
      </c>
      <c r="D197" s="228"/>
      <c r="E197" s="229"/>
      <c r="F197" s="232"/>
      <c r="G197" s="231"/>
      <c r="H197" s="232"/>
      <c r="I197" s="231"/>
      <c r="J197" s="232"/>
      <c r="K197" s="231"/>
      <c r="L197" s="232"/>
      <c r="M197" s="231"/>
      <c r="N197" s="232"/>
      <c r="O197" s="233"/>
      <c r="P197" s="293"/>
      <c r="Q197" s="293"/>
    </row>
    <row r="198" spans="1:17" x14ac:dyDescent="0.25">
      <c r="A198" s="255" t="s">
        <v>546</v>
      </c>
      <c r="B198" s="231" t="s">
        <v>131</v>
      </c>
      <c r="C198" s="227" t="s">
        <v>1</v>
      </c>
      <c r="D198" s="228"/>
      <c r="E198" s="229"/>
      <c r="F198" s="232"/>
      <c r="G198" s="231"/>
      <c r="H198" s="232"/>
      <c r="I198" s="231"/>
      <c r="J198" s="232"/>
      <c r="K198" s="231"/>
      <c r="L198" s="232"/>
      <c r="M198" s="231"/>
      <c r="N198" s="232"/>
      <c r="O198" s="233"/>
      <c r="P198" s="293"/>
      <c r="Q198" s="293"/>
    </row>
    <row r="199" spans="1:17" x14ac:dyDescent="0.25">
      <c r="A199" s="256"/>
      <c r="B199" s="247" t="s">
        <v>131</v>
      </c>
      <c r="C199" s="75" t="s">
        <v>85</v>
      </c>
      <c r="D199" s="75" t="s">
        <v>204</v>
      </c>
      <c r="E199" s="56" t="s">
        <v>132</v>
      </c>
      <c r="F199" s="91"/>
      <c r="G199" s="92"/>
      <c r="H199" s="91"/>
      <c r="I199" s="92">
        <v>3533.5733333333337</v>
      </c>
      <c r="J199" s="91"/>
      <c r="K199" s="92">
        <v>10600.720000000001</v>
      </c>
      <c r="L199" s="91"/>
      <c r="M199" s="290">
        <v>10600.720000000001</v>
      </c>
      <c r="N199" s="91">
        <f t="shared" ref="N199:N202" si="58">+F199+H199+J199+L199</f>
        <v>0</v>
      </c>
      <c r="O199" s="93">
        <f t="shared" ref="O199:O202" si="59">+G199+I199+K199+M199</f>
        <v>24735.013333333336</v>
      </c>
      <c r="P199" s="293"/>
      <c r="Q199" s="293"/>
    </row>
    <row r="200" spans="1:17" ht="30" x14ac:dyDescent="0.25">
      <c r="A200" s="256"/>
      <c r="B200" s="247" t="s">
        <v>131</v>
      </c>
      <c r="C200" s="75" t="s">
        <v>205</v>
      </c>
      <c r="D200" s="75" t="s">
        <v>206</v>
      </c>
      <c r="E200" s="56" t="s">
        <v>132</v>
      </c>
      <c r="F200" s="91"/>
      <c r="G200" s="92"/>
      <c r="H200" s="91"/>
      <c r="I200" s="92">
        <v>42924.26666666667</v>
      </c>
      <c r="J200" s="91"/>
      <c r="K200" s="92">
        <v>128772.8</v>
      </c>
      <c r="L200" s="91"/>
      <c r="M200" s="290">
        <v>128772.8</v>
      </c>
      <c r="N200" s="91">
        <f t="shared" si="58"/>
        <v>0</v>
      </c>
      <c r="O200" s="93">
        <f t="shared" si="59"/>
        <v>300469.8666666667</v>
      </c>
      <c r="P200" s="293"/>
      <c r="Q200" s="293"/>
    </row>
    <row r="201" spans="1:17" ht="30" x14ac:dyDescent="0.25">
      <c r="A201" s="256"/>
      <c r="B201" s="247" t="s">
        <v>131</v>
      </c>
      <c r="C201" s="75" t="s">
        <v>74</v>
      </c>
      <c r="D201" s="75" t="s">
        <v>207</v>
      </c>
      <c r="E201" s="56" t="s">
        <v>132</v>
      </c>
      <c r="F201" s="91"/>
      <c r="G201" s="92"/>
      <c r="H201" s="91"/>
      <c r="I201" s="92">
        <v>2617.5066666666667</v>
      </c>
      <c r="J201" s="91"/>
      <c r="K201" s="92">
        <v>7852.52</v>
      </c>
      <c r="L201" s="91"/>
      <c r="M201" s="290">
        <v>7852.52</v>
      </c>
      <c r="N201" s="91">
        <f t="shared" si="58"/>
        <v>0</v>
      </c>
      <c r="O201" s="93">
        <f t="shared" si="59"/>
        <v>18322.546666666669</v>
      </c>
      <c r="P201" s="293"/>
      <c r="Q201" s="293"/>
    </row>
    <row r="202" spans="1:17" ht="30" x14ac:dyDescent="0.25">
      <c r="A202" s="256"/>
      <c r="B202" s="247" t="s">
        <v>131</v>
      </c>
      <c r="C202" s="75" t="s">
        <v>6</v>
      </c>
      <c r="D202" s="75" t="s">
        <v>92</v>
      </c>
      <c r="E202" s="56" t="s">
        <v>215</v>
      </c>
      <c r="F202" s="91"/>
      <c r="G202" s="92"/>
      <c r="H202" s="91"/>
      <c r="I202" s="92">
        <v>1120</v>
      </c>
      <c r="J202" s="91"/>
      <c r="K202" s="92">
        <v>3360</v>
      </c>
      <c r="L202" s="91"/>
      <c r="M202" s="290">
        <v>3360</v>
      </c>
      <c r="N202" s="91">
        <f t="shared" si="58"/>
        <v>0</v>
      </c>
      <c r="O202" s="93">
        <f t="shared" si="59"/>
        <v>7840</v>
      </c>
      <c r="P202" s="293"/>
      <c r="Q202" s="293"/>
    </row>
    <row r="203" spans="1:17" x14ac:dyDescent="0.25">
      <c r="A203" s="255" t="s">
        <v>547</v>
      </c>
      <c r="B203" s="231" t="s">
        <v>131</v>
      </c>
      <c r="C203" s="227" t="s">
        <v>22</v>
      </c>
      <c r="D203" s="228"/>
      <c r="E203" s="229"/>
      <c r="F203" s="232"/>
      <c r="G203" s="231"/>
      <c r="H203" s="232"/>
      <c r="I203" s="231"/>
      <c r="J203" s="232"/>
      <c r="K203" s="231"/>
      <c r="L203" s="232"/>
      <c r="M203" s="231"/>
      <c r="N203" s="232"/>
      <c r="O203" s="233"/>
      <c r="P203" s="293"/>
      <c r="Q203" s="293"/>
    </row>
    <row r="204" spans="1:17" x14ac:dyDescent="0.25">
      <c r="A204" s="256"/>
      <c r="B204" s="247" t="s">
        <v>131</v>
      </c>
      <c r="C204" s="75" t="s">
        <v>23</v>
      </c>
      <c r="D204" s="75" t="s">
        <v>47</v>
      </c>
      <c r="E204" s="56" t="s">
        <v>133</v>
      </c>
      <c r="F204" s="91"/>
      <c r="G204" s="92"/>
      <c r="H204" s="91"/>
      <c r="I204" s="92"/>
      <c r="J204" s="91"/>
      <c r="K204" s="92"/>
      <c r="L204" s="91">
        <v>25728</v>
      </c>
      <c r="M204" s="290"/>
      <c r="N204" s="312">
        <f t="shared" ref="N204" si="60">+F204+H204+J204+L204</f>
        <v>25728</v>
      </c>
      <c r="O204" s="93">
        <f t="shared" ref="O204" si="61">+G204+I204+K204+M204</f>
        <v>0</v>
      </c>
      <c r="P204" s="293"/>
      <c r="Q204" s="293"/>
    </row>
    <row r="205" spans="1:17" x14ac:dyDescent="0.25">
      <c r="A205" s="255" t="s">
        <v>548</v>
      </c>
      <c r="B205" s="231" t="s">
        <v>131</v>
      </c>
      <c r="C205" s="227" t="s">
        <v>24</v>
      </c>
      <c r="D205" s="228"/>
      <c r="E205" s="229"/>
      <c r="F205" s="232"/>
      <c r="G205" s="231"/>
      <c r="H205" s="232"/>
      <c r="I205" s="231"/>
      <c r="J205" s="232"/>
      <c r="K205" s="231"/>
      <c r="L205" s="232"/>
      <c r="M205" s="231"/>
      <c r="N205" s="232"/>
      <c r="O205" s="233"/>
      <c r="P205" s="293"/>
      <c r="Q205" s="293"/>
    </row>
    <row r="206" spans="1:17" s="15" customFormat="1" ht="30" x14ac:dyDescent="0.25">
      <c r="A206" s="254"/>
      <c r="B206" s="244" t="s">
        <v>131</v>
      </c>
      <c r="C206" s="18" t="s">
        <v>14</v>
      </c>
      <c r="D206" s="18" t="s">
        <v>89</v>
      </c>
      <c r="E206" s="105" t="s">
        <v>135</v>
      </c>
      <c r="F206" s="22"/>
      <c r="G206" s="20"/>
      <c r="H206" s="22"/>
      <c r="I206" s="20"/>
      <c r="J206" s="22"/>
      <c r="K206" s="20"/>
      <c r="L206" s="22">
        <v>42000</v>
      </c>
      <c r="M206" s="274"/>
      <c r="N206" s="312">
        <f t="shared" ref="N206:N207" si="62">+F206+H206+J206+L206</f>
        <v>42000</v>
      </c>
      <c r="O206" s="24">
        <f t="shared" ref="O206:O207" si="63">+G206+I206+K206+M206</f>
        <v>0</v>
      </c>
      <c r="P206" s="293"/>
      <c r="Q206" s="293"/>
    </row>
    <row r="207" spans="1:17" s="15" customFormat="1" ht="30" x14ac:dyDescent="0.25">
      <c r="A207" s="254"/>
      <c r="B207" s="244" t="s">
        <v>131</v>
      </c>
      <c r="C207" s="18" t="s">
        <v>11</v>
      </c>
      <c r="D207" s="18" t="s">
        <v>89</v>
      </c>
      <c r="E207" s="105" t="s">
        <v>136</v>
      </c>
      <c r="F207" s="22"/>
      <c r="G207" s="20"/>
      <c r="H207" s="22"/>
      <c r="I207" s="20"/>
      <c r="J207" s="22">
        <v>13720</v>
      </c>
      <c r="K207" s="20"/>
      <c r="L207" s="22">
        <v>13720</v>
      </c>
      <c r="M207" s="274"/>
      <c r="N207" s="315">
        <f t="shared" si="62"/>
        <v>27440</v>
      </c>
      <c r="O207" s="24">
        <f t="shared" si="63"/>
        <v>0</v>
      </c>
      <c r="P207" s="293"/>
      <c r="Q207" s="293"/>
    </row>
    <row r="208" spans="1:17" x14ac:dyDescent="0.25">
      <c r="A208" s="255" t="s">
        <v>549</v>
      </c>
      <c r="B208" s="231" t="s">
        <v>131</v>
      </c>
      <c r="C208" s="227" t="s">
        <v>50</v>
      </c>
      <c r="D208" s="228"/>
      <c r="E208" s="229"/>
      <c r="F208" s="232"/>
      <c r="G208" s="231"/>
      <c r="H208" s="232"/>
      <c r="I208" s="231"/>
      <c r="J208" s="232"/>
      <c r="K208" s="231"/>
      <c r="L208" s="232"/>
      <c r="M208" s="231"/>
      <c r="N208" s="232"/>
      <c r="O208" s="233"/>
      <c r="P208" s="293"/>
      <c r="Q208" s="293"/>
    </row>
    <row r="209" spans="1:17" x14ac:dyDescent="0.25">
      <c r="A209" s="255" t="s">
        <v>550</v>
      </c>
      <c r="B209" s="231" t="s">
        <v>131</v>
      </c>
      <c r="C209" s="227" t="s">
        <v>76</v>
      </c>
      <c r="D209" s="228"/>
      <c r="E209" s="229"/>
      <c r="F209" s="232"/>
      <c r="G209" s="231"/>
      <c r="H209" s="232"/>
      <c r="I209" s="231"/>
      <c r="J209" s="232"/>
      <c r="K209" s="231"/>
      <c r="L209" s="232"/>
      <c r="M209" s="231"/>
      <c r="N209" s="232"/>
      <c r="O209" s="233"/>
      <c r="P209" s="293"/>
      <c r="Q209" s="293"/>
    </row>
    <row r="210" spans="1:17" s="15" customFormat="1" ht="30" x14ac:dyDescent="0.25">
      <c r="A210" s="254"/>
      <c r="B210" s="249" t="s">
        <v>131</v>
      </c>
      <c r="C210" s="103" t="s">
        <v>11</v>
      </c>
      <c r="D210" s="103" t="s">
        <v>77</v>
      </c>
      <c r="E210" s="105" t="s">
        <v>136</v>
      </c>
      <c r="F210" s="22"/>
      <c r="G210" s="20"/>
      <c r="H210" s="22"/>
      <c r="I210" s="20"/>
      <c r="J210" s="22">
        <v>11760</v>
      </c>
      <c r="K210" s="20"/>
      <c r="L210" s="22">
        <v>11760</v>
      </c>
      <c r="M210" s="274"/>
      <c r="N210" s="315">
        <f t="shared" ref="N210:N211" si="64">+F210+H210+J210+L210</f>
        <v>23520</v>
      </c>
      <c r="O210" s="24">
        <f t="shared" ref="O210:O211" si="65">+G210+I210+K210+M210</f>
        <v>0</v>
      </c>
      <c r="P210" s="293"/>
      <c r="Q210" s="293"/>
    </row>
    <row r="211" spans="1:17" s="15" customFormat="1" ht="30" x14ac:dyDescent="0.25">
      <c r="A211" s="254"/>
      <c r="B211" s="249" t="s">
        <v>131</v>
      </c>
      <c r="C211" s="103" t="s">
        <v>9</v>
      </c>
      <c r="D211" s="103" t="s">
        <v>109</v>
      </c>
      <c r="E211" s="86" t="s">
        <v>136</v>
      </c>
      <c r="F211" s="22"/>
      <c r="G211" s="20"/>
      <c r="H211" s="22"/>
      <c r="I211" s="20"/>
      <c r="J211" s="22">
        <v>1625</v>
      </c>
      <c r="K211" s="20"/>
      <c r="L211" s="22">
        <v>1625</v>
      </c>
      <c r="M211" s="274"/>
      <c r="N211" s="315">
        <f t="shared" si="64"/>
        <v>3250</v>
      </c>
      <c r="O211" s="24">
        <f t="shared" si="65"/>
        <v>0</v>
      </c>
      <c r="P211" s="293"/>
      <c r="Q211" s="293"/>
    </row>
    <row r="212" spans="1:17" x14ac:dyDescent="0.25">
      <c r="A212" s="255" t="s">
        <v>551</v>
      </c>
      <c r="B212" s="231" t="s">
        <v>131</v>
      </c>
      <c r="C212" s="227" t="s">
        <v>22</v>
      </c>
      <c r="D212" s="228"/>
      <c r="E212" s="229"/>
      <c r="F212" s="232"/>
      <c r="G212" s="231"/>
      <c r="H212" s="232"/>
      <c r="I212" s="231"/>
      <c r="J212" s="232"/>
      <c r="K212" s="231"/>
      <c r="L212" s="232"/>
      <c r="M212" s="231"/>
      <c r="N212" s="232"/>
      <c r="O212" s="233"/>
      <c r="P212" s="293"/>
      <c r="Q212" s="293"/>
    </row>
    <row r="213" spans="1:17" s="15" customFormat="1" x14ac:dyDescent="0.25">
      <c r="A213" s="254"/>
      <c r="B213" s="244" t="s">
        <v>131</v>
      </c>
      <c r="C213" s="18" t="s">
        <v>23</v>
      </c>
      <c r="D213" s="18" t="s">
        <v>78</v>
      </c>
      <c r="E213" s="105" t="s">
        <v>133</v>
      </c>
      <c r="F213" s="22"/>
      <c r="G213" s="20"/>
      <c r="H213" s="22"/>
      <c r="I213" s="20"/>
      <c r="J213" s="22"/>
      <c r="K213" s="20"/>
      <c r="L213" s="22">
        <v>29400</v>
      </c>
      <c r="M213" s="274"/>
      <c r="N213" s="312">
        <f t="shared" ref="N213" si="66">+F213+H213+J213+L213</f>
        <v>29400</v>
      </c>
      <c r="O213" s="24">
        <f t="shared" ref="O213" si="67">+G213+I213+K213+M213</f>
        <v>0</v>
      </c>
      <c r="P213" s="293"/>
      <c r="Q213" s="293"/>
    </row>
    <row r="214" spans="1:17" x14ac:dyDescent="0.25">
      <c r="A214" s="252" t="s">
        <v>430</v>
      </c>
      <c r="B214" s="243" t="s">
        <v>534</v>
      </c>
      <c r="C214" s="216"/>
      <c r="D214" s="217"/>
      <c r="E214" s="217"/>
      <c r="F214" s="218"/>
      <c r="G214" s="219"/>
      <c r="H214" s="218"/>
      <c r="I214" s="219"/>
      <c r="J214" s="218"/>
      <c r="K214" s="219"/>
      <c r="L214" s="218"/>
      <c r="M214" s="219"/>
      <c r="N214" s="218"/>
      <c r="O214" s="220"/>
      <c r="P214" s="293"/>
      <c r="Q214" s="293"/>
    </row>
    <row r="215" spans="1:17" x14ac:dyDescent="0.25">
      <c r="A215" s="253" t="s">
        <v>432</v>
      </c>
      <c r="B215" s="224" t="s">
        <v>131</v>
      </c>
      <c r="C215" s="221" t="s">
        <v>433</v>
      </c>
      <c r="D215" s="222"/>
      <c r="E215" s="223"/>
      <c r="F215" s="225"/>
      <c r="G215" s="224"/>
      <c r="H215" s="225"/>
      <c r="I215" s="224"/>
      <c r="J215" s="225"/>
      <c r="K215" s="224"/>
      <c r="L215" s="225"/>
      <c r="M215" s="224"/>
      <c r="N215" s="225"/>
      <c r="O215" s="226"/>
      <c r="P215" s="293"/>
      <c r="Q215" s="293"/>
    </row>
    <row r="216" spans="1:17" x14ac:dyDescent="0.25">
      <c r="A216" s="255" t="s">
        <v>482</v>
      </c>
      <c r="B216" s="231" t="s">
        <v>131</v>
      </c>
      <c r="C216" s="227" t="s">
        <v>21</v>
      </c>
      <c r="D216" s="228"/>
      <c r="E216" s="229"/>
      <c r="F216" s="232"/>
      <c r="G216" s="231"/>
      <c r="H216" s="232"/>
      <c r="I216" s="231"/>
      <c r="J216" s="232"/>
      <c r="K216" s="231"/>
      <c r="L216" s="232"/>
      <c r="M216" s="231"/>
      <c r="N216" s="232"/>
      <c r="O216" s="233"/>
      <c r="P216" s="293"/>
      <c r="Q216" s="293"/>
    </row>
    <row r="217" spans="1:17" x14ac:dyDescent="0.25">
      <c r="A217" s="256"/>
      <c r="B217" s="247" t="s">
        <v>131</v>
      </c>
      <c r="C217" s="75" t="s">
        <v>35</v>
      </c>
      <c r="D217" s="75" t="s">
        <v>87</v>
      </c>
      <c r="E217" s="56" t="s">
        <v>138</v>
      </c>
      <c r="F217" s="59"/>
      <c r="G217" s="60"/>
      <c r="H217" s="59"/>
      <c r="I217" s="60"/>
      <c r="J217" s="59"/>
      <c r="K217" s="60"/>
      <c r="L217" s="59"/>
      <c r="M217" s="62">
        <v>926445.84615384613</v>
      </c>
      <c r="N217" s="59">
        <f t="shared" ref="N217:N218" si="68">+F217+H217+J217+L217</f>
        <v>0</v>
      </c>
      <c r="O217" s="61">
        <f t="shared" ref="O217:O218" si="69">+G217+I217+K217+M217</f>
        <v>926445.84615384613</v>
      </c>
      <c r="P217" s="293"/>
      <c r="Q217" s="293"/>
    </row>
    <row r="218" spans="1:17" ht="30" x14ac:dyDescent="0.25">
      <c r="A218" s="256"/>
      <c r="B218" s="247" t="s">
        <v>131</v>
      </c>
      <c r="C218" s="75" t="s">
        <v>10</v>
      </c>
      <c r="D218" s="75" t="s">
        <v>88</v>
      </c>
      <c r="E218" s="56" t="s">
        <v>135</v>
      </c>
      <c r="F218" s="59"/>
      <c r="G218" s="60"/>
      <c r="H218" s="59"/>
      <c r="I218" s="60"/>
      <c r="J218" s="59">
        <v>40000</v>
      </c>
      <c r="K218" s="60"/>
      <c r="L218" s="59">
        <v>40000</v>
      </c>
      <c r="M218" s="62"/>
      <c r="N218" s="312">
        <f t="shared" si="68"/>
        <v>80000</v>
      </c>
      <c r="O218" s="61">
        <f t="shared" si="69"/>
        <v>0</v>
      </c>
      <c r="P218" s="293"/>
      <c r="Q218" s="293"/>
    </row>
    <row r="219" spans="1:17" x14ac:dyDescent="0.25">
      <c r="A219" s="255" t="s">
        <v>483</v>
      </c>
      <c r="B219" s="231" t="s">
        <v>131</v>
      </c>
      <c r="C219" s="227" t="s">
        <v>7</v>
      </c>
      <c r="D219" s="228"/>
      <c r="E219" s="229"/>
      <c r="F219" s="232"/>
      <c r="G219" s="231"/>
      <c r="H219" s="232"/>
      <c r="I219" s="231"/>
      <c r="J219" s="232"/>
      <c r="K219" s="231"/>
      <c r="L219" s="232"/>
      <c r="M219" s="231"/>
      <c r="N219" s="232"/>
      <c r="O219" s="233"/>
      <c r="P219" s="293"/>
      <c r="Q219" s="293"/>
    </row>
    <row r="220" spans="1:17" ht="30" x14ac:dyDescent="0.25">
      <c r="A220" s="256"/>
      <c r="B220" s="247" t="s">
        <v>131</v>
      </c>
      <c r="C220" s="75" t="s">
        <v>11</v>
      </c>
      <c r="D220" s="75" t="s">
        <v>88</v>
      </c>
      <c r="E220" s="56" t="s">
        <v>136</v>
      </c>
      <c r="F220" s="59"/>
      <c r="G220" s="60"/>
      <c r="H220" s="59"/>
      <c r="I220" s="60"/>
      <c r="J220" s="59">
        <v>4410</v>
      </c>
      <c r="K220" s="60"/>
      <c r="L220" s="59">
        <v>4410</v>
      </c>
      <c r="M220" s="62"/>
      <c r="N220" s="315">
        <f t="shared" ref="N220:N221" si="70">+F220+H220+J220+L220</f>
        <v>8820</v>
      </c>
      <c r="O220" s="61">
        <f t="shared" ref="O220:O221" si="71">+G220+I220+K220+M220</f>
        <v>0</v>
      </c>
      <c r="P220" s="293"/>
      <c r="Q220" s="293"/>
    </row>
    <row r="221" spans="1:17" ht="30" x14ac:dyDescent="0.25">
      <c r="A221" s="256"/>
      <c r="B221" s="246" t="s">
        <v>131</v>
      </c>
      <c r="C221" s="56" t="s">
        <v>175</v>
      </c>
      <c r="D221" s="75" t="s">
        <v>88</v>
      </c>
      <c r="E221" s="56" t="s">
        <v>136</v>
      </c>
      <c r="F221" s="59"/>
      <c r="G221" s="60"/>
      <c r="H221" s="59"/>
      <c r="I221" s="60"/>
      <c r="J221" s="59">
        <v>750</v>
      </c>
      <c r="K221" s="60"/>
      <c r="L221" s="59">
        <v>750</v>
      </c>
      <c r="M221" s="62"/>
      <c r="N221" s="315">
        <f t="shared" si="70"/>
        <v>1500</v>
      </c>
      <c r="O221" s="61">
        <f t="shared" si="71"/>
        <v>0</v>
      </c>
      <c r="P221" s="293"/>
      <c r="Q221" s="293"/>
    </row>
    <row r="222" spans="1:17" x14ac:dyDescent="0.25">
      <c r="A222" s="253" t="s">
        <v>435</v>
      </c>
      <c r="B222" s="224" t="s">
        <v>131</v>
      </c>
      <c r="C222" s="221" t="s">
        <v>434</v>
      </c>
      <c r="D222" s="222"/>
      <c r="E222" s="223"/>
      <c r="F222" s="225"/>
      <c r="G222" s="224"/>
      <c r="H222" s="225"/>
      <c r="I222" s="224"/>
      <c r="J222" s="225"/>
      <c r="K222" s="224"/>
      <c r="L222" s="225"/>
      <c r="M222" s="224"/>
      <c r="N222" s="225"/>
      <c r="O222" s="226"/>
      <c r="P222" s="293"/>
      <c r="Q222" s="293"/>
    </row>
    <row r="223" spans="1:17" x14ac:dyDescent="0.25">
      <c r="A223" s="255" t="s">
        <v>484</v>
      </c>
      <c r="B223" s="231" t="s">
        <v>131</v>
      </c>
      <c r="C223" s="227" t="s">
        <v>1</v>
      </c>
      <c r="D223" s="228"/>
      <c r="E223" s="229"/>
      <c r="F223" s="232"/>
      <c r="G223" s="231"/>
      <c r="H223" s="232"/>
      <c r="I223" s="231"/>
      <c r="J223" s="232"/>
      <c r="K223" s="231"/>
      <c r="L223" s="232"/>
      <c r="M223" s="231"/>
      <c r="N223" s="232"/>
      <c r="O223" s="233"/>
      <c r="P223" s="293"/>
      <c r="Q223" s="293"/>
    </row>
    <row r="224" spans="1:17" ht="30" x14ac:dyDescent="0.25">
      <c r="A224" s="256"/>
      <c r="B224" s="247" t="s">
        <v>131</v>
      </c>
      <c r="C224" s="75" t="s">
        <v>61</v>
      </c>
      <c r="D224" s="75" t="s">
        <v>188</v>
      </c>
      <c r="E224" s="56" t="s">
        <v>132</v>
      </c>
      <c r="F224" s="59"/>
      <c r="G224" s="60"/>
      <c r="H224" s="59"/>
      <c r="I224" s="60">
        <v>1308.7533333333333</v>
      </c>
      <c r="J224" s="59"/>
      <c r="K224" s="60">
        <v>3926.26</v>
      </c>
      <c r="L224" s="59"/>
      <c r="M224" s="62">
        <v>3926.26</v>
      </c>
      <c r="N224" s="59">
        <f t="shared" ref="N224:N227" si="72">+F224+H224+J224+L224</f>
        <v>0</v>
      </c>
      <c r="O224" s="61">
        <f t="shared" ref="O224:O227" si="73">+G224+I224+K224+M224</f>
        <v>9161.2733333333344</v>
      </c>
      <c r="P224" s="293"/>
      <c r="Q224" s="293"/>
    </row>
    <row r="225" spans="1:17" ht="30" x14ac:dyDescent="0.25">
      <c r="A225" s="256"/>
      <c r="B225" s="247" t="s">
        <v>131</v>
      </c>
      <c r="C225" s="75" t="s">
        <v>199</v>
      </c>
      <c r="D225" s="75" t="s">
        <v>105</v>
      </c>
      <c r="E225" s="56" t="s">
        <v>132</v>
      </c>
      <c r="F225" s="59"/>
      <c r="G225" s="60"/>
      <c r="H225" s="59"/>
      <c r="I225" s="60">
        <v>16883.36</v>
      </c>
      <c r="J225" s="59"/>
      <c r="K225" s="60">
        <v>50650.080000000002</v>
      </c>
      <c r="L225" s="59"/>
      <c r="M225" s="62">
        <v>50650.080000000002</v>
      </c>
      <c r="N225" s="59">
        <f t="shared" si="72"/>
        <v>0</v>
      </c>
      <c r="O225" s="61">
        <f t="shared" si="73"/>
        <v>118183.52</v>
      </c>
      <c r="P225" s="293"/>
      <c r="Q225" s="293"/>
    </row>
    <row r="226" spans="1:17" ht="30" x14ac:dyDescent="0.25">
      <c r="A226" s="256"/>
      <c r="B226" s="247" t="s">
        <v>131</v>
      </c>
      <c r="C226" s="75" t="s">
        <v>200</v>
      </c>
      <c r="D226" s="75" t="s">
        <v>106</v>
      </c>
      <c r="E226" s="56" t="s">
        <v>132</v>
      </c>
      <c r="F226" s="59"/>
      <c r="G226" s="60"/>
      <c r="H226" s="59"/>
      <c r="I226" s="60">
        <v>7067.1466666666674</v>
      </c>
      <c r="J226" s="59"/>
      <c r="K226" s="60">
        <v>21201.440000000002</v>
      </c>
      <c r="L226" s="59"/>
      <c r="M226" s="62">
        <v>21201.440000000002</v>
      </c>
      <c r="N226" s="59">
        <f t="shared" si="72"/>
        <v>0</v>
      </c>
      <c r="O226" s="61">
        <f t="shared" si="73"/>
        <v>49470.026666666672</v>
      </c>
      <c r="P226" s="293"/>
      <c r="Q226" s="293"/>
    </row>
    <row r="227" spans="1:17" ht="30" x14ac:dyDescent="0.25">
      <c r="A227" s="256"/>
      <c r="B227" s="247" t="s">
        <v>131</v>
      </c>
      <c r="C227" s="75" t="s">
        <v>6</v>
      </c>
      <c r="D227" s="75" t="s">
        <v>92</v>
      </c>
      <c r="E227" s="56" t="s">
        <v>215</v>
      </c>
      <c r="F227" s="59"/>
      <c r="G227" s="60"/>
      <c r="H227" s="59"/>
      <c r="I227" s="60">
        <v>3920</v>
      </c>
      <c r="J227" s="59"/>
      <c r="K227" s="60">
        <v>11760</v>
      </c>
      <c r="L227" s="59"/>
      <c r="M227" s="62">
        <v>11760</v>
      </c>
      <c r="N227" s="59">
        <f t="shared" si="72"/>
        <v>0</v>
      </c>
      <c r="O227" s="61">
        <f t="shared" si="73"/>
        <v>27440</v>
      </c>
      <c r="P227" s="293"/>
      <c r="Q227" s="293"/>
    </row>
    <row r="228" spans="1:17" x14ac:dyDescent="0.25">
      <c r="A228" s="255" t="s">
        <v>485</v>
      </c>
      <c r="B228" s="231" t="s">
        <v>131</v>
      </c>
      <c r="C228" s="227" t="s">
        <v>5</v>
      </c>
      <c r="D228" s="228"/>
      <c r="E228" s="229"/>
      <c r="F228" s="232"/>
      <c r="G228" s="231"/>
      <c r="H228" s="232"/>
      <c r="I228" s="231"/>
      <c r="J228" s="232"/>
      <c r="K228" s="231"/>
      <c r="L228" s="232"/>
      <c r="M228" s="231"/>
      <c r="N228" s="232"/>
      <c r="O228" s="233"/>
      <c r="P228" s="293"/>
      <c r="Q228" s="293"/>
    </row>
    <row r="229" spans="1:17" ht="60" x14ac:dyDescent="0.25">
      <c r="A229" s="256"/>
      <c r="B229" s="247" t="s">
        <v>131</v>
      </c>
      <c r="C229" s="75" t="s">
        <v>0</v>
      </c>
      <c r="D229" s="75" t="s">
        <v>122</v>
      </c>
      <c r="E229" s="56" t="s">
        <v>139</v>
      </c>
      <c r="F229" s="59"/>
      <c r="G229" s="60"/>
      <c r="H229" s="59"/>
      <c r="I229" s="60"/>
      <c r="J229" s="59"/>
      <c r="K229" s="60"/>
      <c r="L229" s="59"/>
      <c r="M229" s="62"/>
      <c r="N229" s="59">
        <f t="shared" ref="N229:N233" si="74">+F229+H229+J229+L229</f>
        <v>0</v>
      </c>
      <c r="O229" s="61">
        <f t="shared" ref="O229:O233" si="75">+G229+I229+K229+M229</f>
        <v>0</v>
      </c>
      <c r="P229" s="293"/>
      <c r="Q229" s="293"/>
    </row>
    <row r="230" spans="1:17" ht="30" x14ac:dyDescent="0.25">
      <c r="A230" s="256"/>
      <c r="B230" s="247" t="s">
        <v>131</v>
      </c>
      <c r="C230" s="75" t="s">
        <v>12</v>
      </c>
      <c r="D230" s="75" t="s">
        <v>201</v>
      </c>
      <c r="E230" s="56" t="s">
        <v>138</v>
      </c>
      <c r="F230" s="59"/>
      <c r="G230" s="60"/>
      <c r="H230" s="59"/>
      <c r="I230" s="60"/>
      <c r="J230" s="59"/>
      <c r="K230" s="60"/>
      <c r="L230" s="59"/>
      <c r="M230" s="62"/>
      <c r="N230" s="59">
        <f t="shared" si="74"/>
        <v>0</v>
      </c>
      <c r="O230" s="61">
        <f t="shared" si="75"/>
        <v>0</v>
      </c>
      <c r="P230" s="293"/>
      <c r="Q230" s="293"/>
    </row>
    <row r="231" spans="1:17" x14ac:dyDescent="0.25">
      <c r="A231" s="256"/>
      <c r="B231" s="247" t="s">
        <v>131</v>
      </c>
      <c r="C231" s="75" t="s">
        <v>12</v>
      </c>
      <c r="D231" s="75" t="s">
        <v>202</v>
      </c>
      <c r="E231" s="56" t="s">
        <v>138</v>
      </c>
      <c r="F231" s="59"/>
      <c r="G231" s="60"/>
      <c r="H231" s="59"/>
      <c r="I231" s="60"/>
      <c r="J231" s="59"/>
      <c r="K231" s="60">
        <v>5220</v>
      </c>
      <c r="L231" s="59"/>
      <c r="M231" s="62"/>
      <c r="N231" s="59">
        <f t="shared" si="74"/>
        <v>0</v>
      </c>
      <c r="O231" s="61">
        <f t="shared" si="75"/>
        <v>5220</v>
      </c>
      <c r="P231" s="293"/>
      <c r="Q231" s="293"/>
    </row>
    <row r="232" spans="1:17" x14ac:dyDescent="0.25">
      <c r="A232" s="256"/>
      <c r="B232" s="247" t="s">
        <v>131</v>
      </c>
      <c r="C232" s="75" t="s">
        <v>15</v>
      </c>
      <c r="D232" s="75" t="s">
        <v>72</v>
      </c>
      <c r="E232" s="56" t="s">
        <v>138</v>
      </c>
      <c r="F232" s="59"/>
      <c r="G232" s="60"/>
      <c r="H232" s="59"/>
      <c r="I232" s="60"/>
      <c r="J232" s="59"/>
      <c r="K232" s="60"/>
      <c r="L232" s="59"/>
      <c r="M232" s="62"/>
      <c r="N232" s="59">
        <f t="shared" si="74"/>
        <v>0</v>
      </c>
      <c r="O232" s="61">
        <f t="shared" si="75"/>
        <v>0</v>
      </c>
      <c r="P232" s="293"/>
      <c r="Q232" s="293"/>
    </row>
    <row r="233" spans="1:17" ht="45" x14ac:dyDescent="0.25">
      <c r="A233" s="256"/>
      <c r="B233" s="247" t="s">
        <v>131</v>
      </c>
      <c r="C233" s="75" t="s">
        <v>13</v>
      </c>
      <c r="D233" s="75" t="s">
        <v>203</v>
      </c>
      <c r="E233" s="56" t="s">
        <v>138</v>
      </c>
      <c r="F233" s="59"/>
      <c r="G233" s="60"/>
      <c r="H233" s="59"/>
      <c r="I233" s="60"/>
      <c r="J233" s="59"/>
      <c r="K233" s="60"/>
      <c r="L233" s="59"/>
      <c r="M233" s="62"/>
      <c r="N233" s="59">
        <f t="shared" si="74"/>
        <v>0</v>
      </c>
      <c r="O233" s="61">
        <f t="shared" si="75"/>
        <v>0</v>
      </c>
      <c r="P233" s="293"/>
      <c r="Q233" s="293"/>
    </row>
    <row r="234" spans="1:17" x14ac:dyDescent="0.25">
      <c r="A234" s="255" t="s">
        <v>486</v>
      </c>
      <c r="B234" s="231" t="s">
        <v>131</v>
      </c>
      <c r="C234" s="227" t="s">
        <v>10</v>
      </c>
      <c r="D234" s="228"/>
      <c r="E234" s="229"/>
      <c r="F234" s="232"/>
      <c r="G234" s="231"/>
      <c r="H234" s="232"/>
      <c r="I234" s="231"/>
      <c r="J234" s="232"/>
      <c r="K234" s="231"/>
      <c r="L234" s="232"/>
      <c r="M234" s="231"/>
      <c r="N234" s="232"/>
      <c r="O234" s="233"/>
      <c r="P234" s="293"/>
      <c r="Q234" s="293"/>
    </row>
    <row r="235" spans="1:17" s="15" customFormat="1" ht="45" x14ac:dyDescent="0.25">
      <c r="A235" s="254"/>
      <c r="B235" s="247" t="s">
        <v>131</v>
      </c>
      <c r="C235" s="75" t="s">
        <v>32</v>
      </c>
      <c r="D235" s="18" t="s">
        <v>33</v>
      </c>
      <c r="E235" s="86" t="s">
        <v>135</v>
      </c>
      <c r="F235" s="96"/>
      <c r="G235" s="97"/>
      <c r="H235" s="96"/>
      <c r="I235" s="97"/>
      <c r="J235" s="96">
        <v>51000</v>
      </c>
      <c r="K235" s="97"/>
      <c r="L235" s="96">
        <v>51000</v>
      </c>
      <c r="M235" s="289"/>
      <c r="N235" s="314">
        <f t="shared" ref="N235" si="76">+F235+H235+J235+L235</f>
        <v>102000</v>
      </c>
      <c r="O235" s="98">
        <f t="shared" ref="O235" si="77">+G235+I235+K235+M235</f>
        <v>0</v>
      </c>
      <c r="P235" s="293"/>
      <c r="Q235" s="293"/>
    </row>
    <row r="236" spans="1:17" x14ac:dyDescent="0.25">
      <c r="A236" s="255" t="s">
        <v>487</v>
      </c>
      <c r="B236" s="231" t="s">
        <v>131</v>
      </c>
      <c r="C236" s="227" t="s">
        <v>7</v>
      </c>
      <c r="D236" s="228"/>
      <c r="E236" s="229"/>
      <c r="F236" s="232"/>
      <c r="G236" s="231"/>
      <c r="H236" s="232"/>
      <c r="I236" s="231"/>
      <c r="J236" s="232"/>
      <c r="K236" s="231"/>
      <c r="L236" s="232"/>
      <c r="M236" s="231"/>
      <c r="N236" s="232"/>
      <c r="O236" s="233"/>
      <c r="P236" s="293"/>
      <c r="Q236" s="293"/>
    </row>
    <row r="237" spans="1:17" ht="30" x14ac:dyDescent="0.25">
      <c r="A237" s="256"/>
      <c r="B237" s="247" t="s">
        <v>131</v>
      </c>
      <c r="C237" s="75" t="s">
        <v>11</v>
      </c>
      <c r="D237" s="75" t="s">
        <v>31</v>
      </c>
      <c r="E237" s="56" t="s">
        <v>136</v>
      </c>
      <c r="F237" s="91"/>
      <c r="G237" s="92"/>
      <c r="H237" s="91"/>
      <c r="I237" s="92"/>
      <c r="J237" s="91">
        <v>8575</v>
      </c>
      <c r="K237" s="92"/>
      <c r="L237" s="91">
        <v>8575</v>
      </c>
      <c r="M237" s="290"/>
      <c r="N237" s="315">
        <f t="shared" ref="N237:N240" si="78">+F237+H237+J237+L237</f>
        <v>17150</v>
      </c>
      <c r="O237" s="93">
        <f t="shared" ref="O237:O240" si="79">+G237+I237+K237+M237</f>
        <v>0</v>
      </c>
      <c r="P237" s="293"/>
      <c r="Q237" s="293"/>
    </row>
    <row r="238" spans="1:17" ht="30" x14ac:dyDescent="0.25">
      <c r="A238" s="256"/>
      <c r="B238" s="247" t="s">
        <v>131</v>
      </c>
      <c r="C238" s="75" t="s">
        <v>54</v>
      </c>
      <c r="D238" s="75" t="s">
        <v>31</v>
      </c>
      <c r="E238" s="56" t="s">
        <v>136</v>
      </c>
      <c r="F238" s="91"/>
      <c r="G238" s="92"/>
      <c r="H238" s="91"/>
      <c r="I238" s="92"/>
      <c r="J238" s="91">
        <v>3000</v>
      </c>
      <c r="K238" s="92"/>
      <c r="L238" s="91">
        <v>3000</v>
      </c>
      <c r="M238" s="290"/>
      <c r="N238" s="315">
        <f t="shared" si="78"/>
        <v>6000</v>
      </c>
      <c r="O238" s="93">
        <f t="shared" si="79"/>
        <v>0</v>
      </c>
      <c r="P238" s="293"/>
      <c r="Q238" s="293"/>
    </row>
    <row r="239" spans="1:17" ht="45" x14ac:dyDescent="0.25">
      <c r="A239" s="256"/>
      <c r="B239" s="247" t="s">
        <v>131</v>
      </c>
      <c r="C239" s="75" t="s">
        <v>9</v>
      </c>
      <c r="D239" s="75" t="s">
        <v>112</v>
      </c>
      <c r="E239" s="56" t="s">
        <v>136</v>
      </c>
      <c r="F239" s="91"/>
      <c r="G239" s="92"/>
      <c r="H239" s="91"/>
      <c r="I239" s="92"/>
      <c r="J239" s="91">
        <v>1462.5</v>
      </c>
      <c r="K239" s="92"/>
      <c r="L239" s="91">
        <v>1462.5</v>
      </c>
      <c r="M239" s="290"/>
      <c r="N239" s="315">
        <f t="shared" si="78"/>
        <v>2925</v>
      </c>
      <c r="O239" s="93">
        <f t="shared" si="79"/>
        <v>0</v>
      </c>
      <c r="P239" s="293"/>
      <c r="Q239" s="293"/>
    </row>
    <row r="240" spans="1:17" ht="30" x14ac:dyDescent="0.25">
      <c r="A240" s="256"/>
      <c r="B240" s="247" t="s">
        <v>131</v>
      </c>
      <c r="C240" s="75" t="s">
        <v>175</v>
      </c>
      <c r="D240" s="75" t="s">
        <v>31</v>
      </c>
      <c r="E240" s="56" t="s">
        <v>136</v>
      </c>
      <c r="F240" s="91"/>
      <c r="G240" s="92"/>
      <c r="H240" s="91"/>
      <c r="I240" s="92"/>
      <c r="J240" s="91">
        <v>750</v>
      </c>
      <c r="K240" s="92"/>
      <c r="L240" s="91">
        <v>750</v>
      </c>
      <c r="M240" s="290"/>
      <c r="N240" s="315">
        <f t="shared" si="78"/>
        <v>1500</v>
      </c>
      <c r="O240" s="93">
        <f t="shared" si="79"/>
        <v>0</v>
      </c>
      <c r="P240" s="293"/>
      <c r="Q240" s="293"/>
    </row>
    <row r="241" spans="1:17" x14ac:dyDescent="0.25">
      <c r="A241" s="253" t="s">
        <v>436</v>
      </c>
      <c r="B241" s="224" t="s">
        <v>131</v>
      </c>
      <c r="C241" s="221" t="s">
        <v>439</v>
      </c>
      <c r="D241" s="222"/>
      <c r="E241" s="223"/>
      <c r="F241" s="225"/>
      <c r="G241" s="224"/>
      <c r="H241" s="225"/>
      <c r="I241" s="224"/>
      <c r="J241" s="225"/>
      <c r="K241" s="224"/>
      <c r="L241" s="225"/>
      <c r="M241" s="224"/>
      <c r="N241" s="225"/>
      <c r="O241" s="226"/>
      <c r="P241" s="293"/>
      <c r="Q241" s="293"/>
    </row>
    <row r="242" spans="1:17" x14ac:dyDescent="0.25">
      <c r="A242" s="255" t="s">
        <v>488</v>
      </c>
      <c r="B242" s="231" t="s">
        <v>131</v>
      </c>
      <c r="C242" s="227" t="s">
        <v>497</v>
      </c>
      <c r="D242" s="228"/>
      <c r="E242" s="229"/>
      <c r="F242" s="232"/>
      <c r="G242" s="231"/>
      <c r="H242" s="232"/>
      <c r="I242" s="231"/>
      <c r="J242" s="232"/>
      <c r="K242" s="231"/>
      <c r="L242" s="232"/>
      <c r="M242" s="231"/>
      <c r="N242" s="232"/>
      <c r="O242" s="233"/>
      <c r="P242" s="293"/>
      <c r="Q242" s="293"/>
    </row>
    <row r="243" spans="1:17" s="15" customFormat="1" ht="30" x14ac:dyDescent="0.25">
      <c r="A243" s="254"/>
      <c r="B243" s="249" t="s">
        <v>131</v>
      </c>
      <c r="C243" s="103" t="s">
        <v>11</v>
      </c>
      <c r="D243" s="103" t="s">
        <v>80</v>
      </c>
      <c r="E243" s="103" t="s">
        <v>136</v>
      </c>
      <c r="F243" s="22"/>
      <c r="G243" s="20"/>
      <c r="H243" s="22"/>
      <c r="I243" s="20"/>
      <c r="J243" s="22">
        <v>44100</v>
      </c>
      <c r="K243" s="20"/>
      <c r="L243" s="22">
        <v>44100</v>
      </c>
      <c r="M243" s="274"/>
      <c r="N243" s="315">
        <f t="shared" ref="N243:N249" si="80">+F243+H243+J243+L243</f>
        <v>88200</v>
      </c>
      <c r="O243" s="24">
        <f t="shared" ref="O243:O249" si="81">+G243+I243+K243+M243</f>
        <v>0</v>
      </c>
      <c r="P243" s="293"/>
      <c r="Q243" s="293"/>
    </row>
    <row r="244" spans="1:17" s="15" customFormat="1" ht="30" x14ac:dyDescent="0.25">
      <c r="A244" s="254"/>
      <c r="B244" s="249" t="s">
        <v>131</v>
      </c>
      <c r="C244" s="103" t="s">
        <v>14</v>
      </c>
      <c r="D244" s="103" t="s">
        <v>80</v>
      </c>
      <c r="E244" s="86" t="s">
        <v>135</v>
      </c>
      <c r="F244" s="22"/>
      <c r="G244" s="20"/>
      <c r="H244" s="22"/>
      <c r="I244" s="20"/>
      <c r="J244" s="22">
        <v>44000</v>
      </c>
      <c r="K244" s="20"/>
      <c r="L244" s="22">
        <v>44000</v>
      </c>
      <c r="M244" s="274"/>
      <c r="N244" s="312">
        <f t="shared" si="80"/>
        <v>88000</v>
      </c>
      <c r="O244" s="24">
        <f t="shared" si="81"/>
        <v>0</v>
      </c>
      <c r="P244" s="293"/>
      <c r="Q244" s="293"/>
    </row>
    <row r="245" spans="1:17" s="15" customFormat="1" ht="45" x14ac:dyDescent="0.25">
      <c r="A245" s="254"/>
      <c r="B245" s="249" t="s">
        <v>131</v>
      </c>
      <c r="C245" s="103" t="s">
        <v>9</v>
      </c>
      <c r="D245" s="103" t="s">
        <v>108</v>
      </c>
      <c r="E245" s="103" t="s">
        <v>136</v>
      </c>
      <c r="F245" s="22"/>
      <c r="G245" s="20"/>
      <c r="H245" s="22"/>
      <c r="I245" s="20"/>
      <c r="J245" s="22">
        <v>4150</v>
      </c>
      <c r="K245" s="20"/>
      <c r="L245" s="22">
        <v>4150</v>
      </c>
      <c r="M245" s="274"/>
      <c r="N245" s="315">
        <f t="shared" si="80"/>
        <v>8300</v>
      </c>
      <c r="O245" s="24">
        <f t="shared" si="81"/>
        <v>0</v>
      </c>
      <c r="P245" s="293"/>
      <c r="Q245" s="293"/>
    </row>
    <row r="246" spans="1:17" s="15" customFormat="1" ht="30" x14ac:dyDescent="0.25">
      <c r="A246" s="254"/>
      <c r="B246" s="244" t="s">
        <v>131</v>
      </c>
      <c r="C246" s="18" t="s">
        <v>79</v>
      </c>
      <c r="D246" s="103" t="s">
        <v>80</v>
      </c>
      <c r="E246" s="86" t="s">
        <v>135</v>
      </c>
      <c r="F246" s="22"/>
      <c r="G246" s="20"/>
      <c r="H246" s="22"/>
      <c r="I246" s="20"/>
      <c r="J246" s="22"/>
      <c r="K246" s="20"/>
      <c r="L246" s="22">
        <v>30000</v>
      </c>
      <c r="M246" s="274"/>
      <c r="N246" s="312">
        <f t="shared" si="80"/>
        <v>30000</v>
      </c>
      <c r="O246" s="24">
        <f t="shared" si="81"/>
        <v>0</v>
      </c>
      <c r="P246" s="293"/>
      <c r="Q246" s="293"/>
    </row>
    <row r="247" spans="1:17" s="15" customFormat="1" ht="30" x14ac:dyDescent="0.25">
      <c r="A247" s="254"/>
      <c r="B247" s="244" t="s">
        <v>131</v>
      </c>
      <c r="C247" s="18" t="s">
        <v>81</v>
      </c>
      <c r="D247" s="103" t="s">
        <v>208</v>
      </c>
      <c r="E247" s="86" t="s">
        <v>136</v>
      </c>
      <c r="F247" s="22"/>
      <c r="G247" s="20"/>
      <c r="H247" s="22"/>
      <c r="I247" s="20"/>
      <c r="J247" s="22">
        <v>5000</v>
      </c>
      <c r="K247" s="20"/>
      <c r="L247" s="22">
        <v>5000</v>
      </c>
      <c r="M247" s="274"/>
      <c r="N247" s="315">
        <f t="shared" si="80"/>
        <v>10000</v>
      </c>
      <c r="O247" s="24">
        <f t="shared" si="81"/>
        <v>0</v>
      </c>
      <c r="P247" s="293"/>
      <c r="Q247" s="293"/>
    </row>
    <row r="248" spans="1:17" s="15" customFormat="1" ht="30" x14ac:dyDescent="0.25">
      <c r="A248" s="254"/>
      <c r="B248" s="244" t="s">
        <v>131</v>
      </c>
      <c r="C248" s="18" t="s">
        <v>82</v>
      </c>
      <c r="D248" s="103" t="s">
        <v>113</v>
      </c>
      <c r="E248" s="86" t="s">
        <v>132</v>
      </c>
      <c r="F248" s="22"/>
      <c r="G248" s="20"/>
      <c r="H248" s="22"/>
      <c r="I248" s="20">
        <v>2813.8933333333334</v>
      </c>
      <c r="J248" s="22"/>
      <c r="K248" s="20">
        <v>8441.68</v>
      </c>
      <c r="L248" s="22"/>
      <c r="M248" s="274">
        <v>8441.68</v>
      </c>
      <c r="N248" s="22">
        <f t="shared" si="80"/>
        <v>0</v>
      </c>
      <c r="O248" s="24">
        <f t="shared" si="81"/>
        <v>19697.253333333334</v>
      </c>
      <c r="P248" s="293"/>
      <c r="Q248" s="293"/>
    </row>
    <row r="249" spans="1:17" s="15" customFormat="1" ht="30" x14ac:dyDescent="0.25">
      <c r="A249" s="254"/>
      <c r="B249" s="244" t="s">
        <v>131</v>
      </c>
      <c r="C249" s="18" t="s">
        <v>83</v>
      </c>
      <c r="D249" s="103" t="s">
        <v>92</v>
      </c>
      <c r="E249" s="86" t="s">
        <v>215</v>
      </c>
      <c r="F249" s="22"/>
      <c r="G249" s="20"/>
      <c r="H249" s="22"/>
      <c r="I249" s="20">
        <v>373.33333333333331</v>
      </c>
      <c r="J249" s="22"/>
      <c r="K249" s="20">
        <v>1120</v>
      </c>
      <c r="L249" s="22"/>
      <c r="M249" s="274">
        <v>1120</v>
      </c>
      <c r="N249" s="22">
        <f t="shared" si="80"/>
        <v>0</v>
      </c>
      <c r="O249" s="24">
        <f t="shared" si="81"/>
        <v>2613.333333333333</v>
      </c>
      <c r="P249" s="293"/>
      <c r="Q249" s="293"/>
    </row>
    <row r="250" spans="1:17" ht="30" x14ac:dyDescent="0.25">
      <c r="A250" s="255" t="s">
        <v>493</v>
      </c>
      <c r="B250" s="231" t="s">
        <v>131</v>
      </c>
      <c r="C250" s="227" t="s">
        <v>216</v>
      </c>
      <c r="D250" s="228"/>
      <c r="E250" s="229"/>
      <c r="F250" s="232"/>
      <c r="G250" s="231"/>
      <c r="H250" s="232"/>
      <c r="I250" s="231"/>
      <c r="J250" s="232"/>
      <c r="K250" s="231"/>
      <c r="L250" s="232"/>
      <c r="M250" s="231"/>
      <c r="N250" s="232"/>
      <c r="O250" s="233"/>
      <c r="P250" s="293"/>
      <c r="Q250" s="293"/>
    </row>
    <row r="251" spans="1:17" s="15" customFormat="1" ht="30" x14ac:dyDescent="0.25">
      <c r="A251" s="254"/>
      <c r="B251" s="244" t="s">
        <v>131</v>
      </c>
      <c r="C251" s="18" t="s">
        <v>94</v>
      </c>
      <c r="D251" s="103" t="s">
        <v>209</v>
      </c>
      <c r="E251" s="86" t="s">
        <v>132</v>
      </c>
      <c r="F251" s="22"/>
      <c r="G251" s="20"/>
      <c r="H251" s="22"/>
      <c r="I251" s="20"/>
      <c r="J251" s="22"/>
      <c r="K251" s="20">
        <v>3500</v>
      </c>
      <c r="L251" s="22"/>
      <c r="M251" s="274">
        <v>3500</v>
      </c>
      <c r="N251" s="22">
        <f t="shared" ref="N251" si="82">+F251+H251+J251+L251</f>
        <v>0</v>
      </c>
      <c r="O251" s="24">
        <f t="shared" ref="O251" si="83">+G251+I251+K251+M251</f>
        <v>7000</v>
      </c>
      <c r="P251" s="293"/>
      <c r="Q251" s="293"/>
    </row>
    <row r="252" spans="1:17" x14ac:dyDescent="0.25">
      <c r="A252" s="253" t="s">
        <v>438</v>
      </c>
      <c r="B252" s="224" t="s">
        <v>131</v>
      </c>
      <c r="C252" s="221" t="s">
        <v>441</v>
      </c>
      <c r="D252" s="222"/>
      <c r="E252" s="223"/>
      <c r="F252" s="225"/>
      <c r="G252" s="224"/>
      <c r="H252" s="225"/>
      <c r="I252" s="224"/>
      <c r="J252" s="225"/>
      <c r="K252" s="224"/>
      <c r="L252" s="225"/>
      <c r="M252" s="224"/>
      <c r="N252" s="225"/>
      <c r="O252" s="226"/>
      <c r="P252" s="293"/>
      <c r="Q252" s="293"/>
    </row>
    <row r="253" spans="1:17" x14ac:dyDescent="0.25">
      <c r="A253" s="255" t="s">
        <v>496</v>
      </c>
      <c r="B253" s="231" t="s">
        <v>131</v>
      </c>
      <c r="C253" s="227" t="s">
        <v>1</v>
      </c>
      <c r="D253" s="228"/>
      <c r="E253" s="229"/>
      <c r="F253" s="232"/>
      <c r="G253" s="231"/>
      <c r="H253" s="232"/>
      <c r="I253" s="231"/>
      <c r="J253" s="232"/>
      <c r="K253" s="231"/>
      <c r="L253" s="232"/>
      <c r="M253" s="231"/>
      <c r="N253" s="232"/>
      <c r="O253" s="233"/>
      <c r="P253" s="293"/>
      <c r="Q253" s="293"/>
    </row>
    <row r="254" spans="1:17" s="15" customFormat="1" ht="30" x14ac:dyDescent="0.25">
      <c r="A254" s="254"/>
      <c r="B254" s="244" t="s">
        <v>131</v>
      </c>
      <c r="C254" s="18" t="s">
        <v>210</v>
      </c>
      <c r="D254" s="103" t="s">
        <v>30</v>
      </c>
      <c r="E254" s="86" t="s">
        <v>132</v>
      </c>
      <c r="F254" s="22"/>
      <c r="G254" s="20"/>
      <c r="H254" s="22"/>
      <c r="I254" s="20">
        <v>1406.9466666666667</v>
      </c>
      <c r="J254" s="22"/>
      <c r="K254" s="20">
        <v>4220.84</v>
      </c>
      <c r="L254" s="22"/>
      <c r="M254" s="274">
        <v>4220.84</v>
      </c>
      <c r="N254" s="22">
        <f t="shared" ref="N254:N256" si="84">+F254+H254+J254+L254</f>
        <v>0</v>
      </c>
      <c r="O254" s="24">
        <f t="shared" ref="O254:O256" si="85">+G254+I254+K254+M254</f>
        <v>9848.626666666667</v>
      </c>
      <c r="P254" s="293"/>
      <c r="Q254" s="293"/>
    </row>
    <row r="255" spans="1:17" s="15" customFormat="1" x14ac:dyDescent="0.25">
      <c r="A255" s="254"/>
      <c r="B255" s="244" t="s">
        <v>131</v>
      </c>
      <c r="C255" s="18" t="s">
        <v>211</v>
      </c>
      <c r="D255" s="103" t="s">
        <v>30</v>
      </c>
      <c r="E255" s="86" t="s">
        <v>132</v>
      </c>
      <c r="F255" s="22"/>
      <c r="G255" s="20"/>
      <c r="H255" s="22"/>
      <c r="I255" s="20">
        <v>1406.9466666666667</v>
      </c>
      <c r="J255" s="22"/>
      <c r="K255" s="20">
        <v>4220.84</v>
      </c>
      <c r="L255" s="22"/>
      <c r="M255" s="274">
        <v>4220.84</v>
      </c>
      <c r="N255" s="22">
        <f t="shared" si="84"/>
        <v>0</v>
      </c>
      <c r="O255" s="24">
        <f t="shared" si="85"/>
        <v>9848.626666666667</v>
      </c>
      <c r="P255" s="293"/>
      <c r="Q255" s="293"/>
    </row>
    <row r="256" spans="1:17" s="15" customFormat="1" ht="30" x14ac:dyDescent="0.25">
      <c r="A256" s="254"/>
      <c r="B256" s="244" t="s">
        <v>131</v>
      </c>
      <c r="C256" s="18" t="s">
        <v>83</v>
      </c>
      <c r="D256" s="103" t="s">
        <v>92</v>
      </c>
      <c r="E256" s="86" t="s">
        <v>215</v>
      </c>
      <c r="F256" s="22"/>
      <c r="G256" s="20"/>
      <c r="H256" s="22"/>
      <c r="I256" s="20">
        <v>373.33333333333331</v>
      </c>
      <c r="J256" s="22"/>
      <c r="K256" s="20">
        <v>1120</v>
      </c>
      <c r="L256" s="22"/>
      <c r="M256" s="274">
        <v>1120</v>
      </c>
      <c r="N256" s="22">
        <f t="shared" si="84"/>
        <v>0</v>
      </c>
      <c r="O256" s="24">
        <f t="shared" si="85"/>
        <v>2613.333333333333</v>
      </c>
      <c r="P256" s="293"/>
      <c r="Q256" s="293"/>
    </row>
    <row r="257" spans="1:17" x14ac:dyDescent="0.25">
      <c r="A257" s="255" t="s">
        <v>498</v>
      </c>
      <c r="B257" s="231" t="s">
        <v>131</v>
      </c>
      <c r="C257" s="227" t="s">
        <v>27</v>
      </c>
      <c r="D257" s="228"/>
      <c r="E257" s="229"/>
      <c r="F257" s="232"/>
      <c r="G257" s="231"/>
      <c r="H257" s="232"/>
      <c r="I257" s="231"/>
      <c r="J257" s="232"/>
      <c r="K257" s="231"/>
      <c r="L257" s="232"/>
      <c r="M257" s="231"/>
      <c r="N257" s="232"/>
      <c r="O257" s="233"/>
      <c r="P257" s="293"/>
      <c r="Q257" s="293"/>
    </row>
    <row r="258" spans="1:17" s="15" customFormat="1" ht="45" x14ac:dyDescent="0.25">
      <c r="A258" s="254"/>
      <c r="B258" s="244" t="s">
        <v>131</v>
      </c>
      <c r="C258" s="18" t="s">
        <v>212</v>
      </c>
      <c r="D258" s="103" t="s">
        <v>123</v>
      </c>
      <c r="E258" s="86" t="s">
        <v>132</v>
      </c>
      <c r="F258" s="22"/>
      <c r="G258" s="20"/>
      <c r="H258" s="22"/>
      <c r="I258" s="20">
        <v>1406.9466666666667</v>
      </c>
      <c r="J258" s="22"/>
      <c r="K258" s="20">
        <v>4220.84</v>
      </c>
      <c r="L258" s="22"/>
      <c r="M258" s="274">
        <v>4220.84</v>
      </c>
      <c r="N258" s="22">
        <f t="shared" ref="N258:N261" si="86">+F258+H258+J258+L258</f>
        <v>0</v>
      </c>
      <c r="O258" s="24">
        <f t="shared" ref="O258:O261" si="87">+G258+I258+K258+M258</f>
        <v>9848.626666666667</v>
      </c>
      <c r="P258" s="293"/>
      <c r="Q258" s="293"/>
    </row>
    <row r="259" spans="1:17" s="15" customFormat="1" ht="60" x14ac:dyDescent="0.25">
      <c r="A259" s="254"/>
      <c r="B259" s="244" t="s">
        <v>131</v>
      </c>
      <c r="C259" s="18" t="s">
        <v>213</v>
      </c>
      <c r="D259" s="103" t="s">
        <v>118</v>
      </c>
      <c r="E259" s="86" t="s">
        <v>132</v>
      </c>
      <c r="F259" s="22"/>
      <c r="G259" s="20"/>
      <c r="H259" s="22"/>
      <c r="I259" s="20">
        <v>5627.7866666666669</v>
      </c>
      <c r="J259" s="22"/>
      <c r="K259" s="20">
        <v>16883.36</v>
      </c>
      <c r="L259" s="22"/>
      <c r="M259" s="274">
        <v>16883.36</v>
      </c>
      <c r="N259" s="22">
        <f t="shared" si="86"/>
        <v>0</v>
      </c>
      <c r="O259" s="24">
        <f t="shared" si="87"/>
        <v>39394.506666666668</v>
      </c>
      <c r="P259" s="293"/>
      <c r="Q259" s="293"/>
    </row>
    <row r="260" spans="1:17" s="15" customFormat="1" ht="60" x14ac:dyDescent="0.25">
      <c r="A260" s="254"/>
      <c r="B260" s="244" t="s">
        <v>131</v>
      </c>
      <c r="C260" s="18" t="s">
        <v>214</v>
      </c>
      <c r="D260" s="103" t="s">
        <v>117</v>
      </c>
      <c r="E260" s="86" t="s">
        <v>132</v>
      </c>
      <c r="F260" s="22"/>
      <c r="G260" s="20"/>
      <c r="H260" s="22"/>
      <c r="I260" s="20">
        <v>5627.7866666666669</v>
      </c>
      <c r="J260" s="22"/>
      <c r="K260" s="20">
        <v>16883.36</v>
      </c>
      <c r="L260" s="22"/>
      <c r="M260" s="274">
        <v>16883.36</v>
      </c>
      <c r="N260" s="22">
        <f t="shared" si="86"/>
        <v>0</v>
      </c>
      <c r="O260" s="24">
        <f t="shared" si="87"/>
        <v>39394.506666666668</v>
      </c>
      <c r="P260" s="293"/>
      <c r="Q260" s="293"/>
    </row>
    <row r="261" spans="1:17" s="15" customFormat="1" ht="30" x14ac:dyDescent="0.25">
      <c r="A261" s="254"/>
      <c r="B261" s="244" t="s">
        <v>131</v>
      </c>
      <c r="C261" s="18" t="s">
        <v>83</v>
      </c>
      <c r="D261" s="103" t="s">
        <v>92</v>
      </c>
      <c r="E261" s="86" t="s">
        <v>215</v>
      </c>
      <c r="F261" s="22"/>
      <c r="G261" s="20"/>
      <c r="H261" s="22"/>
      <c r="I261" s="20">
        <v>1493.3333333333333</v>
      </c>
      <c r="J261" s="22"/>
      <c r="K261" s="20">
        <v>4480</v>
      </c>
      <c r="L261" s="22"/>
      <c r="M261" s="274">
        <v>4480</v>
      </c>
      <c r="N261" s="22">
        <f t="shared" si="86"/>
        <v>0</v>
      </c>
      <c r="O261" s="24">
        <f t="shared" si="87"/>
        <v>10453.333333333332</v>
      </c>
      <c r="P261" s="293"/>
      <c r="Q261" s="293"/>
    </row>
    <row r="262" spans="1:17" x14ac:dyDescent="0.25">
      <c r="A262" s="255" t="s">
        <v>541</v>
      </c>
      <c r="B262" s="231" t="s">
        <v>131</v>
      </c>
      <c r="C262" s="227" t="s">
        <v>22</v>
      </c>
      <c r="D262" s="228"/>
      <c r="E262" s="229"/>
      <c r="F262" s="232"/>
      <c r="G262" s="231"/>
      <c r="H262" s="232"/>
      <c r="I262" s="231"/>
      <c r="J262" s="232"/>
      <c r="K262" s="231"/>
      <c r="L262" s="232"/>
      <c r="M262" s="231"/>
      <c r="N262" s="232"/>
      <c r="O262" s="233"/>
      <c r="P262" s="293"/>
      <c r="Q262" s="293"/>
    </row>
    <row r="263" spans="1:17" ht="30" x14ac:dyDescent="0.25">
      <c r="A263" s="256"/>
      <c r="B263" s="250" t="s">
        <v>131</v>
      </c>
      <c r="C263" s="75" t="s">
        <v>115</v>
      </c>
      <c r="D263" s="75" t="s">
        <v>116</v>
      </c>
      <c r="E263" s="75" t="s">
        <v>133</v>
      </c>
      <c r="F263" s="91"/>
      <c r="G263" s="92"/>
      <c r="H263" s="91"/>
      <c r="I263" s="92"/>
      <c r="J263" s="91"/>
      <c r="K263" s="92"/>
      <c r="L263" s="91">
        <v>7200</v>
      </c>
      <c r="M263" s="290"/>
      <c r="N263" s="312">
        <f t="shared" ref="N263" si="88">+F263+H263+J263+L263</f>
        <v>7200</v>
      </c>
      <c r="O263" s="93">
        <f t="shared" ref="O263" si="89">+G263+I263+K263+M263</f>
        <v>0</v>
      </c>
      <c r="P263" s="293"/>
      <c r="Q263" s="293"/>
    </row>
    <row r="264" spans="1:17" x14ac:dyDescent="0.25">
      <c r="A264" s="255" t="s">
        <v>542</v>
      </c>
      <c r="B264" s="231" t="s">
        <v>131</v>
      </c>
      <c r="C264" s="227" t="s">
        <v>7</v>
      </c>
      <c r="D264" s="228"/>
      <c r="E264" s="229"/>
      <c r="F264" s="232"/>
      <c r="G264" s="231"/>
      <c r="H264" s="232"/>
      <c r="I264" s="231"/>
      <c r="J264" s="232"/>
      <c r="K264" s="231"/>
      <c r="L264" s="232"/>
      <c r="M264" s="231"/>
      <c r="N264" s="232"/>
      <c r="O264" s="233"/>
      <c r="P264" s="293"/>
      <c r="Q264" s="293"/>
    </row>
    <row r="265" spans="1:17" s="15" customFormat="1" ht="60" x14ac:dyDescent="0.25">
      <c r="A265" s="254"/>
      <c r="B265" s="244" t="s">
        <v>131</v>
      </c>
      <c r="C265" s="18" t="s">
        <v>11</v>
      </c>
      <c r="D265" s="18" t="s">
        <v>114</v>
      </c>
      <c r="E265" s="18" t="s">
        <v>136</v>
      </c>
      <c r="F265" s="22"/>
      <c r="G265" s="20"/>
      <c r="H265" s="22"/>
      <c r="I265" s="20"/>
      <c r="J265" s="22">
        <v>8575</v>
      </c>
      <c r="K265" s="20"/>
      <c r="L265" s="22">
        <v>8575</v>
      </c>
      <c r="M265" s="274"/>
      <c r="N265" s="315">
        <f t="shared" ref="N265:N266" si="90">+F265+H265+J265+L265</f>
        <v>17150</v>
      </c>
      <c r="O265" s="24">
        <f t="shared" ref="O265:O266" si="91">+G265+I265+K265+M265</f>
        <v>0</v>
      </c>
      <c r="P265" s="293"/>
      <c r="Q265" s="293"/>
    </row>
    <row r="266" spans="1:17" ht="45" x14ac:dyDescent="0.25">
      <c r="A266" s="256"/>
      <c r="B266" s="247" t="s">
        <v>131</v>
      </c>
      <c r="C266" s="75" t="s">
        <v>9</v>
      </c>
      <c r="D266" s="75" t="s">
        <v>107</v>
      </c>
      <c r="E266" s="75" t="s">
        <v>136</v>
      </c>
      <c r="F266" s="91"/>
      <c r="G266" s="92"/>
      <c r="H266" s="91"/>
      <c r="I266" s="92"/>
      <c r="J266" s="22">
        <v>975</v>
      </c>
      <c r="K266" s="20"/>
      <c r="L266" s="22">
        <v>975</v>
      </c>
      <c r="M266" s="290"/>
      <c r="N266" s="315">
        <f t="shared" si="90"/>
        <v>1950</v>
      </c>
      <c r="O266" s="93">
        <f t="shared" si="91"/>
        <v>0</v>
      </c>
      <c r="P266" s="293"/>
      <c r="Q266" s="293"/>
    </row>
    <row r="267" spans="1:17" x14ac:dyDescent="0.25">
      <c r="A267" s="255" t="s">
        <v>543</v>
      </c>
      <c r="B267" s="231" t="s">
        <v>131</v>
      </c>
      <c r="C267" s="227" t="s">
        <v>10</v>
      </c>
      <c r="D267" s="228"/>
      <c r="E267" s="229"/>
      <c r="F267" s="232"/>
      <c r="G267" s="231"/>
      <c r="H267" s="232"/>
      <c r="I267" s="231"/>
      <c r="J267" s="232"/>
      <c r="K267" s="231"/>
      <c r="L267" s="232"/>
      <c r="M267" s="231"/>
      <c r="N267" s="232"/>
      <c r="O267" s="233"/>
      <c r="P267" s="293"/>
      <c r="Q267" s="293"/>
    </row>
    <row r="268" spans="1:17" x14ac:dyDescent="0.25">
      <c r="A268" s="256"/>
      <c r="B268" s="247" t="s">
        <v>131</v>
      </c>
      <c r="C268" s="75" t="s">
        <v>75</v>
      </c>
      <c r="D268" s="75"/>
      <c r="E268" s="105" t="s">
        <v>135</v>
      </c>
      <c r="F268" s="91"/>
      <c r="G268" s="92"/>
      <c r="H268" s="91"/>
      <c r="I268" s="92"/>
      <c r="J268" s="91"/>
      <c r="K268" s="92"/>
      <c r="L268" s="91">
        <v>20000</v>
      </c>
      <c r="M268" s="290"/>
      <c r="N268" s="312">
        <f t="shared" ref="N268" si="92">+F268+H268+J268+L268</f>
        <v>20000</v>
      </c>
      <c r="O268" s="93">
        <f t="shared" ref="O268" si="93">+G268+I268+K268+M268</f>
        <v>0</v>
      </c>
      <c r="P268" s="293"/>
      <c r="Q268" s="293"/>
    </row>
    <row r="269" spans="1:17" x14ac:dyDescent="0.25">
      <c r="A269" s="253" t="s">
        <v>440</v>
      </c>
      <c r="B269" s="224" t="s">
        <v>131</v>
      </c>
      <c r="C269" s="221" t="s">
        <v>518</v>
      </c>
      <c r="D269" s="222"/>
      <c r="E269" s="223"/>
      <c r="F269" s="204"/>
      <c r="G269" s="224"/>
      <c r="H269" s="225"/>
      <c r="I269" s="224"/>
      <c r="J269" s="225"/>
      <c r="K269" s="224"/>
      <c r="L269" s="225"/>
      <c r="M269" s="224"/>
      <c r="N269" s="225"/>
      <c r="O269" s="226"/>
      <c r="P269" s="293"/>
      <c r="Q269" s="293"/>
    </row>
    <row r="270" spans="1:17" ht="30" x14ac:dyDescent="0.25">
      <c r="A270" s="256"/>
      <c r="B270" s="247" t="s">
        <v>131</v>
      </c>
      <c r="C270" s="75" t="s">
        <v>520</v>
      </c>
      <c r="D270" s="75"/>
      <c r="E270" s="105" t="s">
        <v>248</v>
      </c>
      <c r="F270" s="91"/>
      <c r="G270" s="92"/>
      <c r="H270" s="91"/>
      <c r="I270" s="92"/>
      <c r="J270" s="91"/>
      <c r="K270" s="92"/>
      <c r="L270" s="91"/>
      <c r="M270" s="290">
        <f>45000*0.6</f>
        <v>27000</v>
      </c>
      <c r="N270" s="91">
        <f t="shared" ref="N270" si="94">+F270+H270+J270+L270</f>
        <v>0</v>
      </c>
      <c r="O270" s="93">
        <f t="shared" ref="O270" si="95">+G270+I270+K270+M270</f>
        <v>27000</v>
      </c>
      <c r="P270" s="293"/>
      <c r="Q270" s="293"/>
    </row>
    <row r="271" spans="1:17" x14ac:dyDescent="0.25">
      <c r="A271" s="251">
        <v>3</v>
      </c>
      <c r="B271" s="242" t="s">
        <v>363</v>
      </c>
      <c r="C271" s="211"/>
      <c r="D271" s="212"/>
      <c r="E271" s="212"/>
      <c r="F271" s="213"/>
      <c r="G271" s="214"/>
      <c r="H271" s="213"/>
      <c r="I271" s="214"/>
      <c r="J271" s="213"/>
      <c r="K271" s="214"/>
      <c r="L271" s="213"/>
      <c r="M271" s="214"/>
      <c r="N271" s="213"/>
      <c r="O271" s="215"/>
      <c r="P271" s="293"/>
      <c r="Q271" s="293"/>
    </row>
    <row r="272" spans="1:17" s="15" customFormat="1" x14ac:dyDescent="0.25">
      <c r="A272" s="254"/>
      <c r="B272" s="244" t="s">
        <v>364</v>
      </c>
      <c r="C272" s="18" t="s">
        <v>365</v>
      </c>
      <c r="D272" s="103" t="s">
        <v>248</v>
      </c>
      <c r="E272" s="86" t="s">
        <v>248</v>
      </c>
      <c r="F272" s="22"/>
      <c r="G272" s="20"/>
      <c r="H272" s="22"/>
      <c r="I272" s="20"/>
      <c r="J272" s="22"/>
      <c r="K272" s="20"/>
      <c r="L272" s="22"/>
      <c r="M272" s="274"/>
      <c r="N272" s="22">
        <f t="shared" ref="N272:N277" si="96">+F272+H272+J272+L272</f>
        <v>0</v>
      </c>
      <c r="O272" s="24">
        <f t="shared" ref="O272:O277" si="97">+G272+I272+K272+M272</f>
        <v>0</v>
      </c>
      <c r="P272" s="293"/>
      <c r="Q272" s="293"/>
    </row>
    <row r="273" spans="1:17" s="15" customFormat="1" x14ac:dyDescent="0.25">
      <c r="A273" s="254"/>
      <c r="B273" s="244" t="s">
        <v>364</v>
      </c>
      <c r="C273" s="18" t="s">
        <v>366</v>
      </c>
      <c r="D273" s="103" t="s">
        <v>380</v>
      </c>
      <c r="E273" s="86" t="s">
        <v>380</v>
      </c>
      <c r="F273" s="22"/>
      <c r="G273" s="20"/>
      <c r="H273" s="22">
        <v>67409.737777777787</v>
      </c>
      <c r="I273" s="20"/>
      <c r="J273" s="22">
        <v>67409.737777777787</v>
      </c>
      <c r="K273" s="20"/>
      <c r="L273" s="22">
        <v>67409.737777777787</v>
      </c>
      <c r="M273" s="274"/>
      <c r="N273" s="312">
        <f t="shared" si="96"/>
        <v>202229.21333333338</v>
      </c>
      <c r="O273" s="24">
        <f t="shared" si="97"/>
        <v>0</v>
      </c>
      <c r="P273" s="293"/>
      <c r="Q273" s="293"/>
    </row>
    <row r="274" spans="1:17" s="15" customFormat="1" x14ac:dyDescent="0.25">
      <c r="A274" s="254"/>
      <c r="B274" s="244" t="s">
        <v>364</v>
      </c>
      <c r="C274" s="18" t="s">
        <v>367</v>
      </c>
      <c r="D274" s="103" t="s">
        <v>380</v>
      </c>
      <c r="E274" s="86" t="s">
        <v>380</v>
      </c>
      <c r="F274" s="22"/>
      <c r="G274" s="20"/>
      <c r="H274" s="22">
        <v>5004.5338337731955</v>
      </c>
      <c r="I274" s="20">
        <v>2666.6666666666665</v>
      </c>
      <c r="J274" s="22">
        <v>23333.333333333332</v>
      </c>
      <c r="K274" s="20">
        <v>2666.6666666666665</v>
      </c>
      <c r="L274" s="22">
        <v>23333.333333333332</v>
      </c>
      <c r="M274" s="274">
        <v>2666.6666666666665</v>
      </c>
      <c r="N274" s="312">
        <f t="shared" si="96"/>
        <v>51671.20050043986</v>
      </c>
      <c r="O274" s="24">
        <f t="shared" si="97"/>
        <v>8000</v>
      </c>
      <c r="P274" s="293"/>
      <c r="Q274" s="293"/>
    </row>
    <row r="275" spans="1:17" s="15" customFormat="1" x14ac:dyDescent="0.25">
      <c r="A275" s="254"/>
      <c r="B275" s="244" t="s">
        <v>364</v>
      </c>
      <c r="C275" s="18" t="s">
        <v>368</v>
      </c>
      <c r="D275" s="103" t="s">
        <v>380</v>
      </c>
      <c r="E275" s="86" t="s">
        <v>380</v>
      </c>
      <c r="F275" s="22"/>
      <c r="G275" s="20"/>
      <c r="H275" s="22">
        <v>0</v>
      </c>
      <c r="I275" s="20">
        <v>11666.666666666666</v>
      </c>
      <c r="J275" s="22">
        <v>0</v>
      </c>
      <c r="K275" s="20">
        <v>11666.666666666666</v>
      </c>
      <c r="L275" s="22">
        <v>0</v>
      </c>
      <c r="M275" s="274">
        <v>11666.666666666666</v>
      </c>
      <c r="N275" s="22">
        <f t="shared" si="96"/>
        <v>0</v>
      </c>
      <c r="O275" s="24">
        <f t="shared" si="97"/>
        <v>35000</v>
      </c>
      <c r="P275" s="293"/>
      <c r="Q275" s="293"/>
    </row>
    <row r="276" spans="1:17" s="15" customFormat="1" x14ac:dyDescent="0.25">
      <c r="A276" s="254"/>
      <c r="B276" s="244" t="s">
        <v>364</v>
      </c>
      <c r="C276" s="18" t="s">
        <v>382</v>
      </c>
      <c r="D276" s="103" t="s">
        <v>310</v>
      </c>
      <c r="E276" s="86" t="s">
        <v>310</v>
      </c>
      <c r="F276" s="22"/>
      <c r="G276" s="20"/>
      <c r="H276" s="22"/>
      <c r="I276" s="20"/>
      <c r="J276" s="22"/>
      <c r="K276" s="20"/>
      <c r="L276" s="22">
        <v>0</v>
      </c>
      <c r="M276" s="274"/>
      <c r="N276" s="22">
        <f t="shared" si="96"/>
        <v>0</v>
      </c>
      <c r="O276" s="24">
        <f t="shared" si="97"/>
        <v>0</v>
      </c>
      <c r="P276" s="293"/>
      <c r="Q276" s="293"/>
    </row>
    <row r="277" spans="1:17" s="15" customFormat="1" ht="15.75" thickBot="1" x14ac:dyDescent="0.3">
      <c r="A277" s="254"/>
      <c r="B277" s="257" t="s">
        <v>364</v>
      </c>
      <c r="C277" s="258" t="s">
        <v>380</v>
      </c>
      <c r="D277" s="259" t="s">
        <v>380</v>
      </c>
      <c r="E277" s="260" t="s">
        <v>380</v>
      </c>
      <c r="F277" s="263"/>
      <c r="G277" s="264"/>
      <c r="H277" s="22">
        <v>0</v>
      </c>
      <c r="I277" s="20">
        <v>254600</v>
      </c>
      <c r="J277" s="22">
        <v>0</v>
      </c>
      <c r="K277" s="20">
        <v>254600</v>
      </c>
      <c r="L277" s="22">
        <v>0</v>
      </c>
      <c r="M277" s="274">
        <v>254600</v>
      </c>
      <c r="N277" s="263">
        <f t="shared" si="96"/>
        <v>0</v>
      </c>
      <c r="O277" s="265">
        <f t="shared" si="97"/>
        <v>763800</v>
      </c>
      <c r="P277" s="293"/>
      <c r="Q277" s="293"/>
    </row>
    <row r="278" spans="1:17" s="115" customFormat="1" ht="15.75" thickBot="1" x14ac:dyDescent="0.3">
      <c r="A278" s="135" t="s">
        <v>352</v>
      </c>
      <c r="B278" s="136"/>
      <c r="C278" s="150"/>
      <c r="D278" s="150"/>
      <c r="E278" s="150"/>
      <c r="F278" s="285">
        <f t="shared" ref="F278:O278" si="98">SUM(F8:F277)</f>
        <v>0</v>
      </c>
      <c r="G278" s="286">
        <f t="shared" si="98"/>
        <v>0</v>
      </c>
      <c r="H278" s="285">
        <f t="shared" si="98"/>
        <v>391401.77161155094</v>
      </c>
      <c r="I278" s="286">
        <f t="shared" si="98"/>
        <v>544731.58000000007</v>
      </c>
      <c r="J278" s="285">
        <f t="shared" si="98"/>
        <v>8619682.3531757463</v>
      </c>
      <c r="K278" s="286">
        <f t="shared" si="98"/>
        <v>2636265.2068652478</v>
      </c>
      <c r="L278" s="285">
        <f t="shared" si="98"/>
        <v>5586168.3874266772</v>
      </c>
      <c r="M278" s="291">
        <f t="shared" si="98"/>
        <v>3676766.4530190937</v>
      </c>
      <c r="N278" s="285">
        <f t="shared" si="98"/>
        <v>14597252.512213977</v>
      </c>
      <c r="O278" s="292">
        <f t="shared" si="98"/>
        <v>6857763.2398843421</v>
      </c>
      <c r="P278" s="293"/>
      <c r="Q278" s="293"/>
    </row>
    <row r="280" spans="1:17" x14ac:dyDescent="0.25">
      <c r="A280" s="287"/>
      <c r="N280" s="172"/>
      <c r="O280" s="172"/>
    </row>
    <row r="282" spans="1:17" x14ac:dyDescent="0.25">
      <c r="N282" s="172"/>
      <c r="O282" s="172"/>
    </row>
    <row r="283" spans="1:17" x14ac:dyDescent="0.25">
      <c r="N283" s="172"/>
    </row>
  </sheetData>
  <mergeCells count="10">
    <mergeCell ref="A3:A4"/>
    <mergeCell ref="B3:B4"/>
    <mergeCell ref="C3:C4"/>
    <mergeCell ref="D3:D4"/>
    <mergeCell ref="E3:E4"/>
    <mergeCell ref="F3:G3"/>
    <mergeCell ref="H3:I3"/>
    <mergeCell ref="J3:K3"/>
    <mergeCell ref="L3:M3"/>
    <mergeCell ref="N3:O3"/>
  </mergeCells>
  <pageMargins left="0.23622047244094491" right="0.23622047244094491" top="0.74803149606299213" bottom="0.74803149606299213" header="0.31496062992125984" footer="0.31496062992125984"/>
  <pageSetup paperSize="5" fitToHeight="13" orientation="landscape" horizontalDpi="4294967295" verticalDpi="4294967295"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CP274"/>
  <sheetViews>
    <sheetView topLeftCell="A235" zoomScale="90" zoomScaleNormal="90" workbookViewId="0">
      <selection activeCell="Z279" sqref="Z279"/>
    </sheetView>
  </sheetViews>
  <sheetFormatPr defaultColWidth="11.42578125" defaultRowHeight="15" x14ac:dyDescent="0.25"/>
  <cols>
    <col min="1" max="1" width="11.42578125" style="14"/>
    <col min="2" max="2" width="17.140625" style="29" customWidth="1"/>
    <col min="3" max="3" width="66.140625" style="142" customWidth="1"/>
    <col min="4" max="4" width="39.7109375" style="142" customWidth="1"/>
    <col min="5" max="5" width="28" style="142" customWidth="1"/>
    <col min="6" max="6" width="10.28515625" style="34" bestFit="1" customWidth="1"/>
    <col min="7" max="8" width="13.85546875" style="14" hidden="1" customWidth="1"/>
    <col min="9" max="9" width="17.5703125" style="29" bestFit="1" customWidth="1"/>
    <col min="10" max="10" width="13.42578125" style="29" bestFit="1" customWidth="1"/>
    <col min="11" max="12" width="13.42578125" style="29" customWidth="1"/>
    <col min="13" max="13" width="13.42578125" style="29" bestFit="1" customWidth="1"/>
    <col min="14" max="15" width="13.42578125" style="29" customWidth="1"/>
    <col min="16" max="16" width="13.42578125" style="29" bestFit="1" customWidth="1"/>
    <col min="17" max="17" width="13.42578125" style="29" customWidth="1"/>
    <col min="18" max="18" width="15.7109375" style="29" bestFit="1" customWidth="1"/>
    <col min="19" max="19" width="13.42578125" style="29" bestFit="1" customWidth="1"/>
    <col min="20" max="20" width="13.42578125" style="29" customWidth="1"/>
    <col min="21" max="21" width="13.85546875" style="14" customWidth="1"/>
    <col min="22" max="16384" width="11.42578125" style="29"/>
  </cols>
  <sheetData>
    <row r="1" spans="1:21" x14ac:dyDescent="0.25">
      <c r="D1" s="142" t="s">
        <v>129</v>
      </c>
      <c r="E1" s="142" t="s">
        <v>130</v>
      </c>
    </row>
    <row r="2" spans="1:21" ht="15.75" thickBot="1" x14ac:dyDescent="0.3"/>
    <row r="3" spans="1:21" x14ac:dyDescent="0.25">
      <c r="A3" s="330" t="s">
        <v>408</v>
      </c>
      <c r="B3" s="332" t="s">
        <v>355</v>
      </c>
      <c r="C3" s="320" t="s">
        <v>353</v>
      </c>
      <c r="D3" s="320" t="s">
        <v>354</v>
      </c>
      <c r="E3" s="320" t="s">
        <v>356</v>
      </c>
      <c r="F3" s="320" t="s">
        <v>357</v>
      </c>
      <c r="G3" s="320" t="s">
        <v>127</v>
      </c>
      <c r="H3" s="322" t="s">
        <v>128</v>
      </c>
      <c r="I3" s="326" t="s">
        <v>2</v>
      </c>
      <c r="J3" s="325"/>
      <c r="K3" s="327"/>
      <c r="L3" s="326" t="s">
        <v>3</v>
      </c>
      <c r="M3" s="325"/>
      <c r="N3" s="327"/>
      <c r="O3" s="326" t="s">
        <v>4</v>
      </c>
      <c r="P3" s="325"/>
      <c r="Q3" s="327"/>
      <c r="R3" s="326" t="s">
        <v>154</v>
      </c>
      <c r="S3" s="325"/>
      <c r="T3" s="327"/>
      <c r="U3" s="334" t="s">
        <v>352</v>
      </c>
    </row>
    <row r="4" spans="1:21" x14ac:dyDescent="0.25">
      <c r="A4" s="331"/>
      <c r="B4" s="333"/>
      <c r="C4" s="321"/>
      <c r="D4" s="321"/>
      <c r="E4" s="321"/>
      <c r="F4" s="321"/>
      <c r="G4" s="321"/>
      <c r="H4" s="323"/>
      <c r="I4" s="207" t="s">
        <v>124</v>
      </c>
      <c r="J4" s="208" t="s">
        <v>125</v>
      </c>
      <c r="K4" s="209" t="s">
        <v>126</v>
      </c>
      <c r="L4" s="207" t="s">
        <v>124</v>
      </c>
      <c r="M4" s="208" t="s">
        <v>125</v>
      </c>
      <c r="N4" s="209" t="s">
        <v>126</v>
      </c>
      <c r="O4" s="207" t="s">
        <v>124</v>
      </c>
      <c r="P4" s="208" t="s">
        <v>125</v>
      </c>
      <c r="Q4" s="210" t="s">
        <v>126</v>
      </c>
      <c r="R4" s="207" t="s">
        <v>124</v>
      </c>
      <c r="S4" s="208" t="s">
        <v>125</v>
      </c>
      <c r="T4" s="209" t="s">
        <v>126</v>
      </c>
      <c r="U4" s="335"/>
    </row>
    <row r="5" spans="1:21" x14ac:dyDescent="0.25">
      <c r="A5" s="251">
        <v>1</v>
      </c>
      <c r="B5" s="242" t="s">
        <v>403</v>
      </c>
      <c r="C5" s="211"/>
      <c r="D5" s="212"/>
      <c r="E5" s="212"/>
      <c r="F5" s="212"/>
      <c r="G5" s="212"/>
      <c r="H5" s="212"/>
      <c r="I5" s="213"/>
      <c r="J5" s="214"/>
      <c r="K5" s="215"/>
      <c r="L5" s="213"/>
      <c r="M5" s="214"/>
      <c r="N5" s="215"/>
      <c r="O5" s="213"/>
      <c r="P5" s="214"/>
      <c r="Q5" s="214"/>
      <c r="R5" s="213"/>
      <c r="S5" s="214"/>
      <c r="T5" s="215"/>
      <c r="U5" s="276"/>
    </row>
    <row r="6" spans="1:21" x14ac:dyDescent="0.25">
      <c r="A6" s="252" t="s">
        <v>406</v>
      </c>
      <c r="B6" s="243" t="s">
        <v>404</v>
      </c>
      <c r="C6" s="216"/>
      <c r="D6" s="217"/>
      <c r="E6" s="217"/>
      <c r="F6" s="217"/>
      <c r="G6" s="217"/>
      <c r="H6" s="217"/>
      <c r="I6" s="218"/>
      <c r="J6" s="219"/>
      <c r="K6" s="220"/>
      <c r="L6" s="218"/>
      <c r="M6" s="219"/>
      <c r="N6" s="220"/>
      <c r="O6" s="218"/>
      <c r="P6" s="219"/>
      <c r="Q6" s="219"/>
      <c r="R6" s="218"/>
      <c r="S6" s="219"/>
      <c r="T6" s="220"/>
      <c r="U6" s="277"/>
    </row>
    <row r="7" spans="1:21" x14ac:dyDescent="0.25">
      <c r="A7" s="253" t="s">
        <v>407</v>
      </c>
      <c r="B7" s="224"/>
      <c r="C7" s="221" t="s">
        <v>405</v>
      </c>
      <c r="D7" s="222"/>
      <c r="E7" s="223"/>
      <c r="F7" s="204"/>
      <c r="G7" s="204"/>
      <c r="H7" s="224"/>
      <c r="I7" s="225"/>
      <c r="J7" s="224"/>
      <c r="K7" s="226"/>
      <c r="L7" s="225"/>
      <c r="M7" s="224"/>
      <c r="N7" s="226"/>
      <c r="O7" s="225"/>
      <c r="P7" s="224"/>
      <c r="Q7" s="224"/>
      <c r="R7" s="225"/>
      <c r="S7" s="224"/>
      <c r="T7" s="226"/>
      <c r="U7" s="226"/>
    </row>
    <row r="8" spans="1:21" s="15" customFormat="1" ht="45" x14ac:dyDescent="0.25">
      <c r="A8" s="254"/>
      <c r="B8" s="244" t="s">
        <v>218</v>
      </c>
      <c r="C8" s="18" t="s">
        <v>220</v>
      </c>
      <c r="D8" s="103">
        <v>0.15</v>
      </c>
      <c r="E8" s="86" t="s">
        <v>221</v>
      </c>
      <c r="F8" s="27"/>
      <c r="G8" s="27"/>
      <c r="H8" s="28"/>
      <c r="I8" s="22">
        <v>6808801.3513782118</v>
      </c>
      <c r="J8" s="20"/>
      <c r="K8" s="24"/>
      <c r="L8" s="22"/>
      <c r="M8" s="20"/>
      <c r="N8" s="24"/>
      <c r="O8" s="22"/>
      <c r="P8" s="20"/>
      <c r="Q8" s="24"/>
      <c r="R8" s="59">
        <f>+O8+L8+I8</f>
        <v>6808801.3513782118</v>
      </c>
      <c r="S8" s="60">
        <f t="shared" ref="S8:S18" si="0">+P8+M8+J8</f>
        <v>0</v>
      </c>
      <c r="T8" s="61">
        <f t="shared" ref="T8:T18" si="1">+Q8+N8+K8</f>
        <v>0</v>
      </c>
      <c r="U8" s="278">
        <f t="shared" ref="U8:U48" si="2">+R8+S8+T8</f>
        <v>6808801.3513782118</v>
      </c>
    </row>
    <row r="9" spans="1:21" s="15" customFormat="1" ht="30" x14ac:dyDescent="0.25">
      <c r="A9" s="254"/>
      <c r="B9" s="244" t="s">
        <v>218</v>
      </c>
      <c r="C9" s="18" t="s">
        <v>222</v>
      </c>
      <c r="D9" s="103">
        <v>0.05</v>
      </c>
      <c r="E9" s="86" t="s">
        <v>221</v>
      </c>
      <c r="F9" s="27"/>
      <c r="G9" s="27"/>
      <c r="H9" s="28"/>
      <c r="I9" s="22"/>
      <c r="J9" s="20"/>
      <c r="K9" s="24"/>
      <c r="L9" s="22">
        <v>2269600.4504594039</v>
      </c>
      <c r="M9" s="20"/>
      <c r="N9" s="24"/>
      <c r="O9" s="22"/>
      <c r="P9" s="20"/>
      <c r="Q9" s="24"/>
      <c r="R9" s="59">
        <f t="shared" ref="R9:R18" si="3">+O9+L9+I9</f>
        <v>2269600.4504594039</v>
      </c>
      <c r="S9" s="60">
        <f t="shared" si="0"/>
        <v>0</v>
      </c>
      <c r="T9" s="61">
        <f t="shared" si="1"/>
        <v>0</v>
      </c>
      <c r="U9" s="278">
        <f t="shared" si="2"/>
        <v>2269600.4504594039</v>
      </c>
    </row>
    <row r="10" spans="1:21" s="15" customFormat="1" ht="30" x14ac:dyDescent="0.25">
      <c r="A10" s="254"/>
      <c r="B10" s="244" t="s">
        <v>218</v>
      </c>
      <c r="C10" s="18" t="s">
        <v>223</v>
      </c>
      <c r="D10" s="103">
        <v>0.05</v>
      </c>
      <c r="E10" s="86" t="s">
        <v>221</v>
      </c>
      <c r="F10" s="27"/>
      <c r="G10" s="27"/>
      <c r="H10" s="28"/>
      <c r="I10" s="22"/>
      <c r="J10" s="20"/>
      <c r="K10" s="24"/>
      <c r="L10" s="22">
        <v>2269600.4504594039</v>
      </c>
      <c r="M10" s="20"/>
      <c r="N10" s="24"/>
      <c r="O10" s="22"/>
      <c r="P10" s="20"/>
      <c r="Q10" s="24"/>
      <c r="R10" s="59">
        <f t="shared" ref="R10:R11" si="4">+O10+L10+I10</f>
        <v>2269600.4504594039</v>
      </c>
      <c r="S10" s="60">
        <f t="shared" ref="S10:S11" si="5">+P10+M10+J10</f>
        <v>0</v>
      </c>
      <c r="T10" s="61">
        <f t="shared" ref="T10:T11" si="6">+Q10+N10+K10</f>
        <v>0</v>
      </c>
      <c r="U10" s="278">
        <f t="shared" ref="U10:U11" si="7">+R10+S10+T10</f>
        <v>2269600.4504594039</v>
      </c>
    </row>
    <row r="11" spans="1:21" s="15" customFormat="1" x14ac:dyDescent="0.25">
      <c r="A11" s="254"/>
      <c r="B11" s="244" t="s">
        <v>218</v>
      </c>
      <c r="C11" s="18" t="s">
        <v>224</v>
      </c>
      <c r="D11" s="103">
        <v>0.1</v>
      </c>
      <c r="E11" s="86" t="s">
        <v>221</v>
      </c>
      <c r="F11" s="27"/>
      <c r="G11" s="27"/>
      <c r="H11" s="28"/>
      <c r="I11" s="22"/>
      <c r="J11" s="20"/>
      <c r="K11" s="24"/>
      <c r="L11" s="22">
        <v>4539200.9009188078</v>
      </c>
      <c r="M11" s="20"/>
      <c r="N11" s="24"/>
      <c r="O11" s="22"/>
      <c r="P11" s="20"/>
      <c r="Q11" s="24"/>
      <c r="R11" s="59">
        <f t="shared" si="4"/>
        <v>4539200.9009188078</v>
      </c>
      <c r="S11" s="60">
        <f t="shared" si="5"/>
        <v>0</v>
      </c>
      <c r="T11" s="61">
        <f t="shared" si="6"/>
        <v>0</v>
      </c>
      <c r="U11" s="278">
        <f t="shared" si="7"/>
        <v>4539200.9009188078</v>
      </c>
    </row>
    <row r="12" spans="1:21" s="15" customFormat="1" ht="30" x14ac:dyDescent="0.25">
      <c r="A12" s="254"/>
      <c r="B12" s="244" t="s">
        <v>218</v>
      </c>
      <c r="C12" s="18" t="s">
        <v>225</v>
      </c>
      <c r="D12" s="103">
        <v>0.1</v>
      </c>
      <c r="E12" s="86" t="s">
        <v>221</v>
      </c>
      <c r="F12" s="27"/>
      <c r="G12" s="27"/>
      <c r="H12" s="28"/>
      <c r="I12" s="22"/>
      <c r="J12" s="20"/>
      <c r="K12" s="24"/>
      <c r="L12" s="22"/>
      <c r="M12" s="20"/>
      <c r="N12" s="24"/>
      <c r="O12" s="22">
        <v>4539200.9009188078</v>
      </c>
      <c r="P12" s="20"/>
      <c r="Q12" s="24"/>
      <c r="R12" s="59">
        <f t="shared" si="3"/>
        <v>4539200.9009188078</v>
      </c>
      <c r="S12" s="60">
        <f t="shared" si="0"/>
        <v>0</v>
      </c>
      <c r="T12" s="61">
        <f t="shared" si="1"/>
        <v>0</v>
      </c>
      <c r="U12" s="278">
        <f t="shared" si="2"/>
        <v>4539200.9009188078</v>
      </c>
    </row>
    <row r="13" spans="1:21" s="15" customFormat="1" ht="45" x14ac:dyDescent="0.25">
      <c r="A13" s="254"/>
      <c r="B13" s="244" t="s">
        <v>218</v>
      </c>
      <c r="C13" s="18" t="s">
        <v>226</v>
      </c>
      <c r="D13" s="103">
        <v>0.1</v>
      </c>
      <c r="E13" s="86" t="s">
        <v>221</v>
      </c>
      <c r="F13" s="27"/>
      <c r="G13" s="27"/>
      <c r="H13" s="28"/>
      <c r="I13" s="22">
        <v>4539200.9009188078</v>
      </c>
      <c r="J13" s="20"/>
      <c r="K13" s="24"/>
      <c r="L13" s="22"/>
      <c r="M13" s="20"/>
      <c r="N13" s="24"/>
      <c r="O13" s="22"/>
      <c r="P13" s="20"/>
      <c r="Q13" s="24"/>
      <c r="R13" s="59">
        <f t="shared" si="3"/>
        <v>4539200.9009188078</v>
      </c>
      <c r="S13" s="60">
        <f t="shared" si="0"/>
        <v>0</v>
      </c>
      <c r="T13" s="61">
        <f t="shared" si="1"/>
        <v>0</v>
      </c>
      <c r="U13" s="278">
        <f t="shared" si="2"/>
        <v>4539200.9009188078</v>
      </c>
    </row>
    <row r="14" spans="1:21" s="15" customFormat="1" ht="45" x14ac:dyDescent="0.25">
      <c r="A14" s="254"/>
      <c r="B14" s="244" t="s">
        <v>218</v>
      </c>
      <c r="C14" s="18" t="s">
        <v>227</v>
      </c>
      <c r="D14" s="103">
        <v>0.1</v>
      </c>
      <c r="E14" s="86" t="s">
        <v>221</v>
      </c>
      <c r="F14" s="27"/>
      <c r="G14" s="27"/>
      <c r="H14" s="28"/>
      <c r="I14" s="22"/>
      <c r="J14" s="20"/>
      <c r="K14" s="24"/>
      <c r="L14" s="22">
        <v>4539200.9009188078</v>
      </c>
      <c r="M14" s="20"/>
      <c r="N14" s="24"/>
      <c r="O14" s="22"/>
      <c r="P14" s="20"/>
      <c r="Q14" s="24"/>
      <c r="R14" s="59">
        <f t="shared" si="3"/>
        <v>4539200.9009188078</v>
      </c>
      <c r="S14" s="60">
        <f t="shared" si="0"/>
        <v>0</v>
      </c>
      <c r="T14" s="61">
        <f t="shared" si="1"/>
        <v>0</v>
      </c>
      <c r="U14" s="278">
        <f t="shared" si="2"/>
        <v>4539200.9009188078</v>
      </c>
    </row>
    <row r="15" spans="1:21" s="15" customFormat="1" ht="30" x14ac:dyDescent="0.25">
      <c r="A15" s="254"/>
      <c r="B15" s="244" t="s">
        <v>218</v>
      </c>
      <c r="C15" s="18" t="s">
        <v>228</v>
      </c>
      <c r="D15" s="103">
        <v>0.1</v>
      </c>
      <c r="E15" s="86" t="s">
        <v>221</v>
      </c>
      <c r="F15" s="27"/>
      <c r="G15" s="27"/>
      <c r="H15" s="28"/>
      <c r="I15" s="22">
        <v>4539200.9009188078</v>
      </c>
      <c r="J15" s="20"/>
      <c r="K15" s="24"/>
      <c r="L15" s="22"/>
      <c r="M15" s="20"/>
      <c r="N15" s="24"/>
      <c r="O15" s="22"/>
      <c r="P15" s="20"/>
      <c r="Q15" s="24"/>
      <c r="R15" s="59">
        <f t="shared" si="3"/>
        <v>4539200.9009188078</v>
      </c>
      <c r="S15" s="60">
        <f t="shared" si="0"/>
        <v>0</v>
      </c>
      <c r="T15" s="61">
        <f t="shared" si="1"/>
        <v>0</v>
      </c>
      <c r="U15" s="278">
        <f t="shared" si="2"/>
        <v>4539200.9009188078</v>
      </c>
    </row>
    <row r="16" spans="1:21" s="15" customFormat="1" ht="30" x14ac:dyDescent="0.25">
      <c r="A16" s="254"/>
      <c r="B16" s="244" t="s">
        <v>218</v>
      </c>
      <c r="C16" s="18" t="s">
        <v>229</v>
      </c>
      <c r="D16" s="103">
        <v>0.05</v>
      </c>
      <c r="E16" s="86" t="s">
        <v>221</v>
      </c>
      <c r="F16" s="27"/>
      <c r="G16" s="27"/>
      <c r="H16" s="28"/>
      <c r="I16" s="22"/>
      <c r="J16" s="20"/>
      <c r="K16" s="24"/>
      <c r="L16" s="22">
        <v>2269600.4504594039</v>
      </c>
      <c r="M16" s="20"/>
      <c r="N16" s="24"/>
      <c r="O16" s="22"/>
      <c r="P16" s="20"/>
      <c r="Q16" s="24"/>
      <c r="R16" s="59">
        <f t="shared" si="3"/>
        <v>2269600.4504594039</v>
      </c>
      <c r="S16" s="60">
        <f t="shared" si="0"/>
        <v>0</v>
      </c>
      <c r="T16" s="61">
        <f t="shared" si="1"/>
        <v>0</v>
      </c>
      <c r="U16" s="278">
        <f t="shared" si="2"/>
        <v>2269600.4504594039</v>
      </c>
    </row>
    <row r="17" spans="1:21" s="15" customFormat="1" ht="45" x14ac:dyDescent="0.25">
      <c r="A17" s="254"/>
      <c r="B17" s="244" t="s">
        <v>218</v>
      </c>
      <c r="C17" s="18" t="s">
        <v>230</v>
      </c>
      <c r="D17" s="103">
        <v>0.1</v>
      </c>
      <c r="E17" s="86" t="s">
        <v>221</v>
      </c>
      <c r="F17" s="27"/>
      <c r="G17" s="27"/>
      <c r="H17" s="28"/>
      <c r="I17" s="22"/>
      <c r="J17" s="20"/>
      <c r="K17" s="24"/>
      <c r="L17" s="22">
        <v>4539200.9009188078</v>
      </c>
      <c r="M17" s="20"/>
      <c r="N17" s="24"/>
      <c r="O17" s="22"/>
      <c r="P17" s="20"/>
      <c r="Q17" s="24"/>
      <c r="R17" s="59">
        <f t="shared" si="3"/>
        <v>4539200.9009188078</v>
      </c>
      <c r="S17" s="60">
        <f t="shared" si="0"/>
        <v>0</v>
      </c>
      <c r="T17" s="61">
        <f t="shared" si="1"/>
        <v>0</v>
      </c>
      <c r="U17" s="278">
        <f t="shared" si="2"/>
        <v>4539200.9009188078</v>
      </c>
    </row>
    <row r="18" spans="1:21" s="15" customFormat="1" ht="45" x14ac:dyDescent="0.25">
      <c r="A18" s="254"/>
      <c r="B18" s="244" t="s">
        <v>218</v>
      </c>
      <c r="C18" s="18" t="s">
        <v>231</v>
      </c>
      <c r="D18" s="103">
        <v>0.1</v>
      </c>
      <c r="E18" s="86" t="s">
        <v>221</v>
      </c>
      <c r="F18" s="27"/>
      <c r="G18" s="27"/>
      <c r="H18" s="28"/>
      <c r="I18" s="22"/>
      <c r="J18" s="20"/>
      <c r="K18" s="24"/>
      <c r="L18" s="22"/>
      <c r="M18" s="20"/>
      <c r="N18" s="24"/>
      <c r="O18" s="22">
        <v>4539200.9009188078</v>
      </c>
      <c r="P18" s="20"/>
      <c r="Q18" s="24"/>
      <c r="R18" s="59">
        <f t="shared" si="3"/>
        <v>4539200.9009188078</v>
      </c>
      <c r="S18" s="60">
        <f t="shared" si="0"/>
        <v>0</v>
      </c>
      <c r="T18" s="61">
        <f t="shared" si="1"/>
        <v>0</v>
      </c>
      <c r="U18" s="278">
        <f t="shared" si="2"/>
        <v>4539200.9009188078</v>
      </c>
    </row>
    <row r="19" spans="1:21" x14ac:dyDescent="0.25">
      <c r="A19" s="253" t="s">
        <v>442</v>
      </c>
      <c r="B19" s="224" t="s">
        <v>218</v>
      </c>
      <c r="C19" s="221" t="s">
        <v>362</v>
      </c>
      <c r="D19" s="222"/>
      <c r="E19" s="223"/>
      <c r="F19" s="204"/>
      <c r="G19" s="204"/>
      <c r="H19" s="224"/>
      <c r="I19" s="225"/>
      <c r="J19" s="224"/>
      <c r="K19" s="226"/>
      <c r="L19" s="225"/>
      <c r="M19" s="224"/>
      <c r="N19" s="226"/>
      <c r="O19" s="225"/>
      <c r="P19" s="224"/>
      <c r="Q19" s="224"/>
      <c r="R19" s="225"/>
      <c r="S19" s="224"/>
      <c r="T19" s="226"/>
      <c r="U19" s="226"/>
    </row>
    <row r="20" spans="1:21" s="15" customFormat="1" ht="45" x14ac:dyDescent="0.25">
      <c r="A20" s="254"/>
      <c r="B20" s="244" t="s">
        <v>218</v>
      </c>
      <c r="C20" s="18" t="s">
        <v>233</v>
      </c>
      <c r="D20" s="103" t="s">
        <v>234</v>
      </c>
      <c r="E20" s="86" t="s">
        <v>221</v>
      </c>
      <c r="F20" s="27">
        <v>60</v>
      </c>
      <c r="G20" s="27" t="s">
        <v>235</v>
      </c>
      <c r="H20" s="28">
        <v>10000</v>
      </c>
      <c r="I20" s="22">
        <v>200000</v>
      </c>
      <c r="J20" s="20"/>
      <c r="K20" s="24"/>
      <c r="L20" s="22">
        <v>200000</v>
      </c>
      <c r="M20" s="67"/>
      <c r="N20" s="68"/>
      <c r="O20" s="22">
        <v>200000</v>
      </c>
      <c r="P20" s="67"/>
      <c r="Q20" s="270"/>
      <c r="R20" s="59">
        <f t="shared" ref="R20:R22" si="8">+O20+L20+I20</f>
        <v>600000</v>
      </c>
      <c r="S20" s="60">
        <f t="shared" ref="S20:S22" si="9">+P20+M20+J20</f>
        <v>0</v>
      </c>
      <c r="T20" s="61">
        <f t="shared" ref="T20:T22" si="10">+Q20+N20+K20</f>
        <v>0</v>
      </c>
      <c r="U20" s="278">
        <f t="shared" si="2"/>
        <v>600000</v>
      </c>
    </row>
    <row r="21" spans="1:21" s="15" customFormat="1" x14ac:dyDescent="0.25">
      <c r="A21" s="254"/>
      <c r="B21" s="244" t="s">
        <v>218</v>
      </c>
      <c r="C21" s="18" t="s">
        <v>236</v>
      </c>
      <c r="D21" s="103" t="s">
        <v>237</v>
      </c>
      <c r="E21" s="86" t="s">
        <v>238</v>
      </c>
      <c r="F21" s="27">
        <v>3</v>
      </c>
      <c r="G21" s="27" t="s">
        <v>235</v>
      </c>
      <c r="H21" s="28">
        <f>6500/15</f>
        <v>433.33333333333331</v>
      </c>
      <c r="I21" s="22"/>
      <c r="J21" s="20">
        <v>1300</v>
      </c>
      <c r="K21" s="24"/>
      <c r="L21" s="22"/>
      <c r="M21" s="67">
        <v>1300</v>
      </c>
      <c r="N21" s="68"/>
      <c r="O21" s="22"/>
      <c r="P21" s="67">
        <v>1300</v>
      </c>
      <c r="Q21" s="270"/>
      <c r="R21" s="59">
        <f t="shared" si="8"/>
        <v>0</v>
      </c>
      <c r="S21" s="60">
        <f t="shared" si="9"/>
        <v>3900</v>
      </c>
      <c r="T21" s="61">
        <f t="shared" si="10"/>
        <v>0</v>
      </c>
      <c r="U21" s="278">
        <f t="shared" si="2"/>
        <v>3900</v>
      </c>
    </row>
    <row r="22" spans="1:21" s="15" customFormat="1" x14ac:dyDescent="0.25">
      <c r="A22" s="254"/>
      <c r="B22" s="244" t="s">
        <v>218</v>
      </c>
      <c r="C22" s="18" t="s">
        <v>34</v>
      </c>
      <c r="D22" s="103" t="s">
        <v>239</v>
      </c>
      <c r="E22" s="86" t="s">
        <v>240</v>
      </c>
      <c r="F22" s="27"/>
      <c r="G22" s="27"/>
      <c r="H22" s="28"/>
      <c r="I22" s="22">
        <f>6333.33333333333*0.6</f>
        <v>3799.9999999999982</v>
      </c>
      <c r="J22" s="20">
        <f>6333*0.4</f>
        <v>2533.2000000000003</v>
      </c>
      <c r="K22" s="24"/>
      <c r="L22" s="22">
        <f>6333.33333333333*0.6</f>
        <v>3799.9999999999982</v>
      </c>
      <c r="M22" s="67">
        <f>6333*0.4</f>
        <v>2533.2000000000003</v>
      </c>
      <c r="N22" s="68"/>
      <c r="O22" s="22">
        <f>6333.33333333333*0.6</f>
        <v>3799.9999999999982</v>
      </c>
      <c r="P22" s="67">
        <f>6333*0.4</f>
        <v>2533.2000000000003</v>
      </c>
      <c r="Q22" s="270"/>
      <c r="R22" s="59">
        <f t="shared" si="8"/>
        <v>11399.999999999995</v>
      </c>
      <c r="S22" s="60">
        <f t="shared" si="9"/>
        <v>7599.6</v>
      </c>
      <c r="T22" s="61">
        <f t="shared" si="10"/>
        <v>0</v>
      </c>
      <c r="U22" s="278">
        <f t="shared" si="2"/>
        <v>18999.599999999995</v>
      </c>
    </row>
    <row r="23" spans="1:21" x14ac:dyDescent="0.25">
      <c r="A23" s="253" t="s">
        <v>443</v>
      </c>
      <c r="B23" s="224" t="s">
        <v>218</v>
      </c>
      <c r="C23" s="221" t="s">
        <v>400</v>
      </c>
      <c r="D23" s="222"/>
      <c r="E23" s="223"/>
      <c r="F23" s="204"/>
      <c r="G23" s="204"/>
      <c r="H23" s="224"/>
      <c r="I23" s="225"/>
      <c r="J23" s="224"/>
      <c r="K23" s="226"/>
      <c r="L23" s="225"/>
      <c r="M23" s="224"/>
      <c r="N23" s="226"/>
      <c r="O23" s="225"/>
      <c r="P23" s="224"/>
      <c r="Q23" s="224"/>
      <c r="R23" s="225"/>
      <c r="S23" s="224"/>
      <c r="T23" s="226"/>
      <c r="U23" s="226"/>
    </row>
    <row r="24" spans="1:21" s="15" customFormat="1" x14ac:dyDescent="0.25">
      <c r="A24" s="254"/>
      <c r="B24" s="244" t="s">
        <v>218</v>
      </c>
      <c r="C24" s="18" t="s">
        <v>242</v>
      </c>
      <c r="D24" s="103" t="s">
        <v>243</v>
      </c>
      <c r="E24" s="86" t="s">
        <v>221</v>
      </c>
      <c r="F24" s="27"/>
      <c r="G24" s="27"/>
      <c r="H24" s="28"/>
      <c r="I24" s="22">
        <v>0</v>
      </c>
      <c r="J24" s="20"/>
      <c r="K24" s="24"/>
      <c r="L24" s="22">
        <f>110000*0.45</f>
        <v>49500</v>
      </c>
      <c r="M24" s="67"/>
      <c r="N24" s="68"/>
      <c r="O24" s="22">
        <f>110000*0.55</f>
        <v>60500.000000000007</v>
      </c>
      <c r="P24" s="67"/>
      <c r="Q24" s="270"/>
      <c r="R24" s="59">
        <f t="shared" ref="R24" si="11">+O24+L24+I24</f>
        <v>110000</v>
      </c>
      <c r="S24" s="60">
        <f t="shared" ref="S24" si="12">+P24+M24+J24</f>
        <v>0</v>
      </c>
      <c r="T24" s="61">
        <f t="shared" ref="T24" si="13">+Q24+N24+K24</f>
        <v>0</v>
      </c>
      <c r="U24" s="278">
        <f t="shared" si="2"/>
        <v>110000</v>
      </c>
    </row>
    <row r="25" spans="1:21" x14ac:dyDescent="0.25">
      <c r="A25" s="253" t="s">
        <v>444</v>
      </c>
      <c r="B25" s="224" t="s">
        <v>218</v>
      </c>
      <c r="C25" s="221" t="s">
        <v>401</v>
      </c>
      <c r="D25" s="222"/>
      <c r="E25" s="223"/>
      <c r="F25" s="204"/>
      <c r="G25" s="204"/>
      <c r="H25" s="224"/>
      <c r="I25" s="225"/>
      <c r="J25" s="224"/>
      <c r="K25" s="226"/>
      <c r="L25" s="225"/>
      <c r="M25" s="224"/>
      <c r="N25" s="226"/>
      <c r="O25" s="225"/>
      <c r="P25" s="224"/>
      <c r="Q25" s="224"/>
      <c r="R25" s="225"/>
      <c r="S25" s="224"/>
      <c r="T25" s="226"/>
      <c r="U25" s="226"/>
    </row>
    <row r="26" spans="1:21" s="15" customFormat="1" x14ac:dyDescent="0.25">
      <c r="A26" s="254"/>
      <c r="B26" s="244" t="s">
        <v>218</v>
      </c>
      <c r="C26" s="18" t="s">
        <v>245</v>
      </c>
      <c r="D26" s="103" t="s">
        <v>246</v>
      </c>
      <c r="E26" s="86" t="s">
        <v>248</v>
      </c>
      <c r="F26" s="27"/>
      <c r="G26" s="27"/>
      <c r="H26" s="28"/>
      <c r="I26" s="22">
        <f>1900000*0.2*0.75</f>
        <v>285000</v>
      </c>
      <c r="J26" s="20">
        <v>1900000</v>
      </c>
      <c r="K26" s="24"/>
      <c r="L26" s="22">
        <f>1900000*0.2*0.25</f>
        <v>95000</v>
      </c>
      <c r="M26" s="67"/>
      <c r="N26" s="68"/>
      <c r="O26" s="22">
        <v>0</v>
      </c>
      <c r="P26" s="67"/>
      <c r="Q26" s="270"/>
      <c r="R26" s="59">
        <f t="shared" ref="R26:R28" si="14">+O26+L26+I26</f>
        <v>380000</v>
      </c>
      <c r="S26" s="60">
        <f t="shared" ref="S26:S28" si="15">+P26+M26+J26</f>
        <v>1900000</v>
      </c>
      <c r="T26" s="61">
        <f t="shared" ref="T26:T28" si="16">+Q26+N26+K26</f>
        <v>0</v>
      </c>
      <c r="U26" s="278">
        <f t="shared" si="2"/>
        <v>2280000</v>
      </c>
    </row>
    <row r="27" spans="1:21" s="15" customFormat="1" x14ac:dyDescent="0.25">
      <c r="A27" s="254"/>
      <c r="B27" s="244" t="s">
        <v>218</v>
      </c>
      <c r="C27" s="18" t="s">
        <v>247</v>
      </c>
      <c r="D27" s="103"/>
      <c r="E27" s="86" t="s">
        <v>248</v>
      </c>
      <c r="F27" s="27"/>
      <c r="G27" s="27"/>
      <c r="H27" s="28"/>
      <c r="I27" s="22">
        <v>0</v>
      </c>
      <c r="J27" s="20"/>
      <c r="K27" s="24"/>
      <c r="L27" s="22">
        <v>230546</v>
      </c>
      <c r="M27" s="67"/>
      <c r="N27" s="68"/>
      <c r="O27" s="22"/>
      <c r="P27" s="67"/>
      <c r="Q27" s="270"/>
      <c r="R27" s="59">
        <f t="shared" si="14"/>
        <v>230546</v>
      </c>
      <c r="S27" s="60">
        <f t="shared" si="15"/>
        <v>0</v>
      </c>
      <c r="T27" s="61">
        <f t="shared" si="16"/>
        <v>0</v>
      </c>
      <c r="U27" s="278">
        <f t="shared" si="2"/>
        <v>230546</v>
      </c>
    </row>
    <row r="28" spans="1:21" s="15" customFormat="1" x14ac:dyDescent="0.25">
      <c r="A28" s="254"/>
      <c r="B28" s="244" t="s">
        <v>218</v>
      </c>
      <c r="C28" s="18" t="s">
        <v>249</v>
      </c>
      <c r="D28" s="103"/>
      <c r="E28" s="86" t="s">
        <v>248</v>
      </c>
      <c r="F28" s="27"/>
      <c r="G28" s="27"/>
      <c r="H28" s="28"/>
      <c r="I28" s="22">
        <v>0</v>
      </c>
      <c r="J28" s="20"/>
      <c r="K28" s="24"/>
      <c r="L28" s="22">
        <v>0</v>
      </c>
      <c r="M28" s="67"/>
      <c r="N28" s="68"/>
      <c r="O28" s="22">
        <v>208000</v>
      </c>
      <c r="P28" s="67"/>
      <c r="Q28" s="270"/>
      <c r="R28" s="59">
        <f t="shared" si="14"/>
        <v>208000</v>
      </c>
      <c r="S28" s="60">
        <f t="shared" si="15"/>
        <v>0</v>
      </c>
      <c r="T28" s="61">
        <f t="shared" si="16"/>
        <v>0</v>
      </c>
      <c r="U28" s="278">
        <f t="shared" si="2"/>
        <v>208000</v>
      </c>
    </row>
    <row r="29" spans="1:21" x14ac:dyDescent="0.25">
      <c r="A29" s="253" t="s">
        <v>445</v>
      </c>
      <c r="B29" s="224" t="s">
        <v>218</v>
      </c>
      <c r="C29" s="221" t="s">
        <v>446</v>
      </c>
      <c r="D29" s="222"/>
      <c r="E29" s="223"/>
      <c r="F29" s="204"/>
      <c r="G29" s="204"/>
      <c r="H29" s="224"/>
      <c r="I29" s="225"/>
      <c r="J29" s="224"/>
      <c r="K29" s="226"/>
      <c r="L29" s="225"/>
      <c r="M29" s="224"/>
      <c r="N29" s="226"/>
      <c r="O29" s="225"/>
      <c r="P29" s="224"/>
      <c r="Q29" s="224"/>
      <c r="R29" s="225"/>
      <c r="S29" s="224"/>
      <c r="T29" s="226"/>
      <c r="U29" s="226"/>
    </row>
    <row r="30" spans="1:21" s="15" customFormat="1" x14ac:dyDescent="0.25">
      <c r="A30" s="254"/>
      <c r="B30" s="244" t="s">
        <v>218</v>
      </c>
      <c r="C30" s="18" t="s">
        <v>253</v>
      </c>
      <c r="D30" s="103" t="s">
        <v>254</v>
      </c>
      <c r="E30" s="86" t="s">
        <v>132</v>
      </c>
      <c r="F30" s="27">
        <v>1</v>
      </c>
      <c r="G30" s="27">
        <v>12</v>
      </c>
      <c r="H30" s="28">
        <v>27748</v>
      </c>
      <c r="I30" s="22"/>
      <c r="J30" s="20" t="e">
        <f>+#REF!</f>
        <v>#REF!</v>
      </c>
      <c r="K30" s="24" t="e">
        <f>+#REF!</f>
        <v>#REF!</v>
      </c>
      <c r="L30" s="22"/>
      <c r="M30" s="67" t="e">
        <f>+#REF!</f>
        <v>#REF!</v>
      </c>
      <c r="N30" s="68" t="e">
        <f>+#REF!</f>
        <v>#REF!</v>
      </c>
      <c r="O30" s="22"/>
      <c r="P30" s="67" t="e">
        <f>+#REF!</f>
        <v>#REF!</v>
      </c>
      <c r="Q30" s="270" t="e">
        <f>+#REF!</f>
        <v>#REF!</v>
      </c>
      <c r="R30" s="59">
        <f t="shared" ref="R30:R64" si="17">+O30+L30+I30</f>
        <v>0</v>
      </c>
      <c r="S30" s="60" t="e">
        <f t="shared" ref="S30:S64" si="18">+P30+M30+J30</f>
        <v>#REF!</v>
      </c>
      <c r="T30" s="61" t="e">
        <f t="shared" ref="T30:T64" si="19">+Q30+N30+K30</f>
        <v>#REF!</v>
      </c>
      <c r="U30" s="278" t="e">
        <f t="shared" si="2"/>
        <v>#REF!</v>
      </c>
    </row>
    <row r="31" spans="1:21" s="15" customFormat="1" ht="30" x14ac:dyDescent="0.25">
      <c r="A31" s="254"/>
      <c r="B31" s="244" t="s">
        <v>218</v>
      </c>
      <c r="C31" s="18" t="s">
        <v>255</v>
      </c>
      <c r="D31" s="103" t="s">
        <v>256</v>
      </c>
      <c r="E31" s="86" t="s">
        <v>132</v>
      </c>
      <c r="F31" s="27">
        <v>2</v>
      </c>
      <c r="G31" s="27">
        <v>12</v>
      </c>
      <c r="H31" s="28">
        <v>13025</v>
      </c>
      <c r="I31" s="22"/>
      <c r="J31" s="20" t="e">
        <f>+#REF!</f>
        <v>#REF!</v>
      </c>
      <c r="K31" s="24" t="e">
        <f>+#REF!</f>
        <v>#REF!</v>
      </c>
      <c r="L31" s="22"/>
      <c r="M31" s="67" t="e">
        <f>+#REF!</f>
        <v>#REF!</v>
      </c>
      <c r="N31" s="68" t="e">
        <f>+#REF!</f>
        <v>#REF!</v>
      </c>
      <c r="O31" s="22"/>
      <c r="P31" s="67" t="e">
        <f>+#REF!</f>
        <v>#REF!</v>
      </c>
      <c r="Q31" s="270" t="e">
        <f>+#REF!</f>
        <v>#REF!</v>
      </c>
      <c r="R31" s="59">
        <f t="shared" si="17"/>
        <v>0</v>
      </c>
      <c r="S31" s="60" t="e">
        <f t="shared" si="18"/>
        <v>#REF!</v>
      </c>
      <c r="T31" s="61" t="e">
        <f t="shared" si="19"/>
        <v>#REF!</v>
      </c>
      <c r="U31" s="278" t="e">
        <f t="shared" si="2"/>
        <v>#REF!</v>
      </c>
    </row>
    <row r="32" spans="1:21" s="15" customFormat="1" x14ac:dyDescent="0.25">
      <c r="A32" s="254"/>
      <c r="B32" s="244" t="s">
        <v>218</v>
      </c>
      <c r="C32" s="18" t="s">
        <v>257</v>
      </c>
      <c r="D32" s="103" t="s">
        <v>258</v>
      </c>
      <c r="E32" s="86" t="s">
        <v>132</v>
      </c>
      <c r="F32" s="27">
        <v>2</v>
      </c>
      <c r="G32" s="27">
        <v>12</v>
      </c>
      <c r="H32" s="28">
        <v>13025</v>
      </c>
      <c r="I32" s="22"/>
      <c r="J32" s="20" t="e">
        <f>+#REF!</f>
        <v>#REF!</v>
      </c>
      <c r="K32" s="24" t="e">
        <f>+#REF!</f>
        <v>#REF!</v>
      </c>
      <c r="L32" s="22"/>
      <c r="M32" s="67" t="e">
        <f>+#REF!</f>
        <v>#REF!</v>
      </c>
      <c r="N32" s="68" t="e">
        <f>+#REF!</f>
        <v>#REF!</v>
      </c>
      <c r="O32" s="22"/>
      <c r="P32" s="67" t="e">
        <f>+#REF!</f>
        <v>#REF!</v>
      </c>
      <c r="Q32" s="270" t="e">
        <f>+#REF!</f>
        <v>#REF!</v>
      </c>
      <c r="R32" s="59">
        <f t="shared" si="17"/>
        <v>0</v>
      </c>
      <c r="S32" s="60" t="e">
        <f t="shared" si="18"/>
        <v>#REF!</v>
      </c>
      <c r="T32" s="61" t="e">
        <f t="shared" si="19"/>
        <v>#REF!</v>
      </c>
      <c r="U32" s="278" t="e">
        <f t="shared" si="2"/>
        <v>#REF!</v>
      </c>
    </row>
    <row r="33" spans="1:21" s="15" customFormat="1" ht="30" x14ac:dyDescent="0.25">
      <c r="A33" s="254"/>
      <c r="B33" s="244" t="s">
        <v>218</v>
      </c>
      <c r="C33" s="18" t="s">
        <v>259</v>
      </c>
      <c r="D33" s="103" t="s">
        <v>260</v>
      </c>
      <c r="E33" s="86" t="s">
        <v>132</v>
      </c>
      <c r="F33" s="27">
        <v>1</v>
      </c>
      <c r="G33" s="27">
        <v>12</v>
      </c>
      <c r="H33" s="28">
        <v>26238</v>
      </c>
      <c r="I33" s="22"/>
      <c r="J33" s="20" t="e">
        <f>+#REF!</f>
        <v>#REF!</v>
      </c>
      <c r="K33" s="24" t="e">
        <f>+#REF!</f>
        <v>#REF!</v>
      </c>
      <c r="L33" s="22"/>
      <c r="M33" s="67" t="e">
        <f>+#REF!</f>
        <v>#REF!</v>
      </c>
      <c r="N33" s="68" t="e">
        <f>+#REF!</f>
        <v>#REF!</v>
      </c>
      <c r="O33" s="22"/>
      <c r="P33" s="67" t="e">
        <f>+#REF!</f>
        <v>#REF!</v>
      </c>
      <c r="Q33" s="270" t="e">
        <f>+#REF!</f>
        <v>#REF!</v>
      </c>
      <c r="R33" s="59">
        <f t="shared" si="17"/>
        <v>0</v>
      </c>
      <c r="S33" s="60" t="e">
        <f t="shared" si="18"/>
        <v>#REF!</v>
      </c>
      <c r="T33" s="61" t="e">
        <f t="shared" si="19"/>
        <v>#REF!</v>
      </c>
      <c r="U33" s="278" t="e">
        <f t="shared" si="2"/>
        <v>#REF!</v>
      </c>
    </row>
    <row r="34" spans="1:21" s="15" customFormat="1" ht="30" x14ac:dyDescent="0.25">
      <c r="A34" s="254"/>
      <c r="B34" s="244" t="s">
        <v>218</v>
      </c>
      <c r="C34" s="18" t="s">
        <v>261</v>
      </c>
      <c r="D34" s="103" t="s">
        <v>260</v>
      </c>
      <c r="E34" s="86" t="s">
        <v>132</v>
      </c>
      <c r="F34" s="27">
        <v>1</v>
      </c>
      <c r="G34" s="27">
        <v>12</v>
      </c>
      <c r="H34" s="28">
        <v>26238</v>
      </c>
      <c r="I34" s="22"/>
      <c r="J34" s="20" t="e">
        <f>+#REF!</f>
        <v>#REF!</v>
      </c>
      <c r="K34" s="24" t="e">
        <f>+#REF!</f>
        <v>#REF!</v>
      </c>
      <c r="L34" s="22"/>
      <c r="M34" s="67" t="e">
        <f>+#REF!</f>
        <v>#REF!</v>
      </c>
      <c r="N34" s="68" t="e">
        <f>+#REF!</f>
        <v>#REF!</v>
      </c>
      <c r="O34" s="22"/>
      <c r="P34" s="67" t="e">
        <f>+#REF!</f>
        <v>#REF!</v>
      </c>
      <c r="Q34" s="270" t="e">
        <f>+#REF!</f>
        <v>#REF!</v>
      </c>
      <c r="R34" s="59">
        <f t="shared" si="17"/>
        <v>0</v>
      </c>
      <c r="S34" s="60" t="e">
        <f t="shared" si="18"/>
        <v>#REF!</v>
      </c>
      <c r="T34" s="61" t="e">
        <f t="shared" si="19"/>
        <v>#REF!</v>
      </c>
      <c r="U34" s="278" t="e">
        <f t="shared" si="2"/>
        <v>#REF!</v>
      </c>
    </row>
    <row r="35" spans="1:21" s="15" customFormat="1" x14ac:dyDescent="0.25">
      <c r="A35" s="254"/>
      <c r="B35" s="244" t="s">
        <v>218</v>
      </c>
      <c r="C35" s="18" t="s">
        <v>262</v>
      </c>
      <c r="D35" s="103" t="s">
        <v>263</v>
      </c>
      <c r="E35" s="86" t="s">
        <v>132</v>
      </c>
      <c r="F35" s="27">
        <v>1</v>
      </c>
      <c r="G35" s="27">
        <v>12</v>
      </c>
      <c r="H35" s="28">
        <v>12080</v>
      </c>
      <c r="I35" s="22"/>
      <c r="J35" s="20" t="e">
        <f>+#REF!</f>
        <v>#REF!</v>
      </c>
      <c r="K35" s="24" t="e">
        <f>+#REF!</f>
        <v>#REF!</v>
      </c>
      <c r="L35" s="22"/>
      <c r="M35" s="67" t="e">
        <f>+#REF!</f>
        <v>#REF!</v>
      </c>
      <c r="N35" s="68" t="e">
        <f>+#REF!</f>
        <v>#REF!</v>
      </c>
      <c r="O35" s="22"/>
      <c r="P35" s="67" t="e">
        <f>+#REF!</f>
        <v>#REF!</v>
      </c>
      <c r="Q35" s="270" t="e">
        <f>+#REF!</f>
        <v>#REF!</v>
      </c>
      <c r="R35" s="59">
        <f t="shared" si="17"/>
        <v>0</v>
      </c>
      <c r="S35" s="60" t="e">
        <f t="shared" si="18"/>
        <v>#REF!</v>
      </c>
      <c r="T35" s="61" t="e">
        <f t="shared" si="19"/>
        <v>#REF!</v>
      </c>
      <c r="U35" s="278" t="e">
        <f t="shared" si="2"/>
        <v>#REF!</v>
      </c>
    </row>
    <row r="36" spans="1:21" s="15" customFormat="1" x14ac:dyDescent="0.25">
      <c r="A36" s="254"/>
      <c r="B36" s="244" t="s">
        <v>218</v>
      </c>
      <c r="C36" s="18" t="s">
        <v>264</v>
      </c>
      <c r="D36" s="103" t="s">
        <v>265</v>
      </c>
      <c r="E36" s="86" t="s">
        <v>132</v>
      </c>
      <c r="F36" s="27">
        <v>3</v>
      </c>
      <c r="G36" s="27">
        <v>12</v>
      </c>
      <c r="H36" s="28">
        <v>18876</v>
      </c>
      <c r="I36" s="22"/>
      <c r="J36" s="20" t="e">
        <f>+#REF!</f>
        <v>#REF!</v>
      </c>
      <c r="K36" s="24" t="e">
        <f>+#REF!</f>
        <v>#REF!</v>
      </c>
      <c r="L36" s="22"/>
      <c r="M36" s="67" t="e">
        <f>+#REF!</f>
        <v>#REF!</v>
      </c>
      <c r="N36" s="68" t="e">
        <f>+#REF!</f>
        <v>#REF!</v>
      </c>
      <c r="O36" s="22"/>
      <c r="P36" s="67" t="e">
        <f>+#REF!</f>
        <v>#REF!</v>
      </c>
      <c r="Q36" s="270" t="e">
        <f>+#REF!</f>
        <v>#REF!</v>
      </c>
      <c r="R36" s="59">
        <f t="shared" si="17"/>
        <v>0</v>
      </c>
      <c r="S36" s="60" t="e">
        <f t="shared" si="18"/>
        <v>#REF!</v>
      </c>
      <c r="T36" s="61" t="e">
        <f t="shared" si="19"/>
        <v>#REF!</v>
      </c>
      <c r="U36" s="278" t="e">
        <f t="shared" si="2"/>
        <v>#REF!</v>
      </c>
    </row>
    <row r="37" spans="1:21" s="15" customFormat="1" x14ac:dyDescent="0.25">
      <c r="A37" s="254"/>
      <c r="B37" s="244" t="s">
        <v>218</v>
      </c>
      <c r="C37" s="18" t="s">
        <v>266</v>
      </c>
      <c r="D37" s="103" t="s">
        <v>267</v>
      </c>
      <c r="E37" s="86" t="s">
        <v>132</v>
      </c>
      <c r="F37" s="27">
        <v>17</v>
      </c>
      <c r="G37" s="27">
        <v>12</v>
      </c>
      <c r="H37" s="28">
        <v>16234</v>
      </c>
      <c r="I37" s="22"/>
      <c r="J37" s="20" t="e">
        <f>+#REF!</f>
        <v>#REF!</v>
      </c>
      <c r="K37" s="24" t="e">
        <f>+#REF!</f>
        <v>#REF!</v>
      </c>
      <c r="L37" s="22"/>
      <c r="M37" s="67" t="e">
        <f>+#REF!</f>
        <v>#REF!</v>
      </c>
      <c r="N37" s="68" t="e">
        <f>+#REF!</f>
        <v>#REF!</v>
      </c>
      <c r="O37" s="22"/>
      <c r="P37" s="67" t="e">
        <f>+#REF!</f>
        <v>#REF!</v>
      </c>
      <c r="Q37" s="270" t="e">
        <f>+#REF!</f>
        <v>#REF!</v>
      </c>
      <c r="R37" s="59">
        <f t="shared" si="17"/>
        <v>0</v>
      </c>
      <c r="S37" s="60" t="e">
        <f t="shared" si="18"/>
        <v>#REF!</v>
      </c>
      <c r="T37" s="61" t="e">
        <f t="shared" si="19"/>
        <v>#REF!</v>
      </c>
      <c r="U37" s="278" t="e">
        <f t="shared" si="2"/>
        <v>#REF!</v>
      </c>
    </row>
    <row r="38" spans="1:21" s="15" customFormat="1" x14ac:dyDescent="0.25">
      <c r="A38" s="254"/>
      <c r="B38" s="244" t="s">
        <v>218</v>
      </c>
      <c r="C38" s="18" t="s">
        <v>268</v>
      </c>
      <c r="D38" s="103" t="s">
        <v>256</v>
      </c>
      <c r="E38" s="86" t="s">
        <v>132</v>
      </c>
      <c r="F38" s="27">
        <v>1</v>
      </c>
      <c r="G38" s="27">
        <v>12</v>
      </c>
      <c r="H38" s="28">
        <v>11137</v>
      </c>
      <c r="I38" s="22"/>
      <c r="J38" s="20" t="e">
        <f>+#REF!</f>
        <v>#REF!</v>
      </c>
      <c r="K38" s="24" t="e">
        <f>+#REF!</f>
        <v>#REF!</v>
      </c>
      <c r="L38" s="22"/>
      <c r="M38" s="67" t="e">
        <f>+#REF!</f>
        <v>#REF!</v>
      </c>
      <c r="N38" s="68" t="e">
        <f>+#REF!</f>
        <v>#REF!</v>
      </c>
      <c r="O38" s="22"/>
      <c r="P38" s="67" t="e">
        <f>+#REF!</f>
        <v>#REF!</v>
      </c>
      <c r="Q38" s="270" t="e">
        <f>+#REF!</f>
        <v>#REF!</v>
      </c>
      <c r="R38" s="59">
        <f t="shared" si="17"/>
        <v>0</v>
      </c>
      <c r="S38" s="60" t="e">
        <f t="shared" si="18"/>
        <v>#REF!</v>
      </c>
      <c r="T38" s="61" t="e">
        <f t="shared" si="19"/>
        <v>#REF!</v>
      </c>
      <c r="U38" s="278" t="e">
        <f t="shared" si="2"/>
        <v>#REF!</v>
      </c>
    </row>
    <row r="39" spans="1:21" s="15" customFormat="1" x14ac:dyDescent="0.25">
      <c r="A39" s="254"/>
      <c r="B39" s="244" t="s">
        <v>218</v>
      </c>
      <c r="C39" s="18" t="s">
        <v>269</v>
      </c>
      <c r="D39" s="103" t="s">
        <v>270</v>
      </c>
      <c r="E39" s="86" t="s">
        <v>132</v>
      </c>
      <c r="F39" s="27">
        <v>1</v>
      </c>
      <c r="G39" s="27">
        <v>12</v>
      </c>
      <c r="H39" s="28">
        <v>16234</v>
      </c>
      <c r="I39" s="22"/>
      <c r="J39" s="20" t="e">
        <f>+#REF!</f>
        <v>#REF!</v>
      </c>
      <c r="K39" s="24" t="e">
        <f>+#REF!</f>
        <v>#REF!</v>
      </c>
      <c r="L39" s="22"/>
      <c r="M39" s="67" t="e">
        <f>+#REF!</f>
        <v>#REF!</v>
      </c>
      <c r="N39" s="68" t="e">
        <f>+#REF!</f>
        <v>#REF!</v>
      </c>
      <c r="O39" s="22"/>
      <c r="P39" s="67" t="e">
        <f>+#REF!</f>
        <v>#REF!</v>
      </c>
      <c r="Q39" s="270" t="e">
        <f>+#REF!</f>
        <v>#REF!</v>
      </c>
      <c r="R39" s="59">
        <f t="shared" si="17"/>
        <v>0</v>
      </c>
      <c r="S39" s="60" t="e">
        <f t="shared" si="18"/>
        <v>#REF!</v>
      </c>
      <c r="T39" s="61" t="e">
        <f t="shared" si="19"/>
        <v>#REF!</v>
      </c>
      <c r="U39" s="278" t="e">
        <f t="shared" si="2"/>
        <v>#REF!</v>
      </c>
    </row>
    <row r="40" spans="1:21" s="15" customFormat="1" x14ac:dyDescent="0.25">
      <c r="A40" s="254"/>
      <c r="B40" s="244" t="s">
        <v>218</v>
      </c>
      <c r="C40" s="18" t="s">
        <v>271</v>
      </c>
      <c r="D40" s="103" t="s">
        <v>272</v>
      </c>
      <c r="E40" s="86" t="s">
        <v>132</v>
      </c>
      <c r="F40" s="27">
        <v>1</v>
      </c>
      <c r="G40" s="27">
        <v>12</v>
      </c>
      <c r="H40" s="28">
        <v>15101</v>
      </c>
      <c r="I40" s="22"/>
      <c r="J40" s="20" t="e">
        <f>+#REF!</f>
        <v>#REF!</v>
      </c>
      <c r="K40" s="24" t="e">
        <f>+#REF!</f>
        <v>#REF!</v>
      </c>
      <c r="L40" s="22"/>
      <c r="M40" s="67" t="e">
        <f>+#REF!</f>
        <v>#REF!</v>
      </c>
      <c r="N40" s="68" t="e">
        <f>+#REF!</f>
        <v>#REF!</v>
      </c>
      <c r="O40" s="22"/>
      <c r="P40" s="67" t="e">
        <f>+#REF!</f>
        <v>#REF!</v>
      </c>
      <c r="Q40" s="270" t="e">
        <f>+#REF!</f>
        <v>#REF!</v>
      </c>
      <c r="R40" s="59">
        <f t="shared" si="17"/>
        <v>0</v>
      </c>
      <c r="S40" s="60" t="e">
        <f t="shared" si="18"/>
        <v>#REF!</v>
      </c>
      <c r="T40" s="61" t="e">
        <f t="shared" si="19"/>
        <v>#REF!</v>
      </c>
      <c r="U40" s="278" t="e">
        <f t="shared" si="2"/>
        <v>#REF!</v>
      </c>
    </row>
    <row r="41" spans="1:21" s="15" customFormat="1" x14ac:dyDescent="0.25">
      <c r="A41" s="254"/>
      <c r="B41" s="244" t="s">
        <v>218</v>
      </c>
      <c r="C41" s="18" t="s">
        <v>273</v>
      </c>
      <c r="D41" s="103" t="s">
        <v>274</v>
      </c>
      <c r="E41" s="86" t="s">
        <v>132</v>
      </c>
      <c r="F41" s="27">
        <v>24</v>
      </c>
      <c r="G41" s="27">
        <v>12</v>
      </c>
      <c r="H41" s="28">
        <v>21896</v>
      </c>
      <c r="I41" s="22"/>
      <c r="J41" s="20" t="e">
        <f>+#REF!</f>
        <v>#REF!</v>
      </c>
      <c r="K41" s="24" t="e">
        <f>+#REF!</f>
        <v>#REF!</v>
      </c>
      <c r="L41" s="22"/>
      <c r="M41" s="67" t="e">
        <f>+#REF!</f>
        <v>#REF!</v>
      </c>
      <c r="N41" s="68" t="e">
        <f>+#REF!</f>
        <v>#REF!</v>
      </c>
      <c r="O41" s="22"/>
      <c r="P41" s="67" t="e">
        <f>+#REF!</f>
        <v>#REF!</v>
      </c>
      <c r="Q41" s="270" t="e">
        <f>+#REF!</f>
        <v>#REF!</v>
      </c>
      <c r="R41" s="59">
        <f t="shared" si="17"/>
        <v>0</v>
      </c>
      <c r="S41" s="60" t="e">
        <f t="shared" si="18"/>
        <v>#REF!</v>
      </c>
      <c r="T41" s="61" t="e">
        <f t="shared" si="19"/>
        <v>#REF!</v>
      </c>
      <c r="U41" s="278" t="e">
        <f t="shared" si="2"/>
        <v>#REF!</v>
      </c>
    </row>
    <row r="42" spans="1:21" s="15" customFormat="1" x14ac:dyDescent="0.25">
      <c r="A42" s="254"/>
      <c r="B42" s="244" t="s">
        <v>218</v>
      </c>
      <c r="C42" s="18" t="s">
        <v>275</v>
      </c>
      <c r="D42" s="103" t="s">
        <v>276</v>
      </c>
      <c r="E42" s="86" t="s">
        <v>132</v>
      </c>
      <c r="F42" s="27">
        <v>1</v>
      </c>
      <c r="G42" s="27">
        <v>12</v>
      </c>
      <c r="H42" s="28">
        <v>23406</v>
      </c>
      <c r="I42" s="22"/>
      <c r="J42" s="20" t="e">
        <f>+#REF!</f>
        <v>#REF!</v>
      </c>
      <c r="K42" s="24" t="e">
        <f>+#REF!</f>
        <v>#REF!</v>
      </c>
      <c r="L42" s="22"/>
      <c r="M42" s="67" t="e">
        <f>+#REF!</f>
        <v>#REF!</v>
      </c>
      <c r="N42" s="68" t="e">
        <f>+#REF!</f>
        <v>#REF!</v>
      </c>
      <c r="O42" s="22"/>
      <c r="P42" s="67" t="e">
        <f>+#REF!</f>
        <v>#REF!</v>
      </c>
      <c r="Q42" s="270" t="e">
        <f>+#REF!</f>
        <v>#REF!</v>
      </c>
      <c r="R42" s="59">
        <f t="shared" si="17"/>
        <v>0</v>
      </c>
      <c r="S42" s="60" t="e">
        <f t="shared" si="18"/>
        <v>#REF!</v>
      </c>
      <c r="T42" s="61" t="e">
        <f t="shared" si="19"/>
        <v>#REF!</v>
      </c>
      <c r="U42" s="278" t="e">
        <f t="shared" si="2"/>
        <v>#REF!</v>
      </c>
    </row>
    <row r="43" spans="1:21" s="15" customFormat="1" x14ac:dyDescent="0.25">
      <c r="A43" s="254"/>
      <c r="B43" s="244" t="s">
        <v>218</v>
      </c>
      <c r="C43" s="18" t="s">
        <v>277</v>
      </c>
      <c r="D43" s="103" t="s">
        <v>278</v>
      </c>
      <c r="E43" s="86" t="s">
        <v>132</v>
      </c>
      <c r="F43" s="27">
        <v>4</v>
      </c>
      <c r="G43" s="27">
        <v>12</v>
      </c>
      <c r="H43" s="28">
        <v>13968</v>
      </c>
      <c r="I43" s="22"/>
      <c r="J43" s="20" t="e">
        <f>+#REF!</f>
        <v>#REF!</v>
      </c>
      <c r="K43" s="24" t="e">
        <f>+#REF!</f>
        <v>#REF!</v>
      </c>
      <c r="L43" s="22"/>
      <c r="M43" s="67" t="e">
        <f>+#REF!</f>
        <v>#REF!</v>
      </c>
      <c r="N43" s="68" t="e">
        <f>+#REF!</f>
        <v>#REF!</v>
      </c>
      <c r="O43" s="22"/>
      <c r="P43" s="67" t="e">
        <f>+#REF!</f>
        <v>#REF!</v>
      </c>
      <c r="Q43" s="270" t="e">
        <f>+#REF!</f>
        <v>#REF!</v>
      </c>
      <c r="R43" s="59">
        <f t="shared" si="17"/>
        <v>0</v>
      </c>
      <c r="S43" s="60" t="e">
        <f t="shared" si="18"/>
        <v>#REF!</v>
      </c>
      <c r="T43" s="61" t="e">
        <f t="shared" si="19"/>
        <v>#REF!</v>
      </c>
      <c r="U43" s="278" t="e">
        <f t="shared" si="2"/>
        <v>#REF!</v>
      </c>
    </row>
    <row r="44" spans="1:21" s="15" customFormat="1" x14ac:dyDescent="0.25">
      <c r="A44" s="254"/>
      <c r="B44" s="244" t="s">
        <v>218</v>
      </c>
      <c r="C44" s="18" t="s">
        <v>279</v>
      </c>
      <c r="D44" s="103" t="s">
        <v>280</v>
      </c>
      <c r="E44" s="86" t="s">
        <v>132</v>
      </c>
      <c r="F44" s="27">
        <v>1</v>
      </c>
      <c r="G44" s="27">
        <v>12</v>
      </c>
      <c r="H44" s="28">
        <v>10193</v>
      </c>
      <c r="I44" s="22"/>
      <c r="J44" s="20" t="e">
        <f>+#REF!</f>
        <v>#REF!</v>
      </c>
      <c r="K44" s="24" t="e">
        <f>+#REF!</f>
        <v>#REF!</v>
      </c>
      <c r="L44" s="22"/>
      <c r="M44" s="67" t="e">
        <f>+#REF!</f>
        <v>#REF!</v>
      </c>
      <c r="N44" s="68" t="e">
        <f>+#REF!</f>
        <v>#REF!</v>
      </c>
      <c r="O44" s="22"/>
      <c r="P44" s="67" t="e">
        <f>+#REF!</f>
        <v>#REF!</v>
      </c>
      <c r="Q44" s="270" t="e">
        <f>+#REF!</f>
        <v>#REF!</v>
      </c>
      <c r="R44" s="59">
        <f t="shared" si="17"/>
        <v>0</v>
      </c>
      <c r="S44" s="60" t="e">
        <f t="shared" si="18"/>
        <v>#REF!</v>
      </c>
      <c r="T44" s="61" t="e">
        <f t="shared" si="19"/>
        <v>#REF!</v>
      </c>
      <c r="U44" s="278" t="e">
        <f t="shared" si="2"/>
        <v>#REF!</v>
      </c>
    </row>
    <row r="45" spans="1:21" s="15" customFormat="1" x14ac:dyDescent="0.25">
      <c r="A45" s="254"/>
      <c r="B45" s="244" t="s">
        <v>218</v>
      </c>
      <c r="C45" s="18" t="s">
        <v>281</v>
      </c>
      <c r="D45" s="103" t="s">
        <v>278</v>
      </c>
      <c r="E45" s="86" t="s">
        <v>132</v>
      </c>
      <c r="F45" s="27">
        <v>27</v>
      </c>
      <c r="G45" s="27">
        <v>12</v>
      </c>
      <c r="H45" s="28">
        <v>12080</v>
      </c>
      <c r="I45" s="22"/>
      <c r="J45" s="20" t="e">
        <f>+#REF!</f>
        <v>#REF!</v>
      </c>
      <c r="K45" s="24" t="e">
        <f>+#REF!</f>
        <v>#REF!</v>
      </c>
      <c r="L45" s="22"/>
      <c r="M45" s="67" t="e">
        <f>+#REF!</f>
        <v>#REF!</v>
      </c>
      <c r="N45" s="68" t="e">
        <f>+#REF!</f>
        <v>#REF!</v>
      </c>
      <c r="O45" s="22"/>
      <c r="P45" s="67" t="e">
        <f>+#REF!</f>
        <v>#REF!</v>
      </c>
      <c r="Q45" s="270" t="e">
        <f>+#REF!</f>
        <v>#REF!</v>
      </c>
      <c r="R45" s="59">
        <f t="shared" si="17"/>
        <v>0</v>
      </c>
      <c r="S45" s="60" t="e">
        <f t="shared" si="18"/>
        <v>#REF!</v>
      </c>
      <c r="T45" s="61" t="e">
        <f t="shared" si="19"/>
        <v>#REF!</v>
      </c>
      <c r="U45" s="278" t="e">
        <f t="shared" si="2"/>
        <v>#REF!</v>
      </c>
    </row>
    <row r="46" spans="1:21" s="15" customFormat="1" x14ac:dyDescent="0.25">
      <c r="A46" s="254"/>
      <c r="B46" s="244" t="s">
        <v>218</v>
      </c>
      <c r="C46" s="18" t="s">
        <v>282</v>
      </c>
      <c r="D46" s="103" t="s">
        <v>283</v>
      </c>
      <c r="E46" s="86" t="s">
        <v>132</v>
      </c>
      <c r="F46" s="27">
        <v>24</v>
      </c>
      <c r="G46" s="27">
        <v>12</v>
      </c>
      <c r="H46" s="28">
        <v>15101</v>
      </c>
      <c r="I46" s="22"/>
      <c r="J46" s="20" t="e">
        <f>+#REF!</f>
        <v>#REF!</v>
      </c>
      <c r="K46" s="24" t="e">
        <f>+#REF!</f>
        <v>#REF!</v>
      </c>
      <c r="L46" s="22"/>
      <c r="M46" s="67" t="e">
        <f>+#REF!</f>
        <v>#REF!</v>
      </c>
      <c r="N46" s="68" t="e">
        <f>+#REF!</f>
        <v>#REF!</v>
      </c>
      <c r="O46" s="22"/>
      <c r="P46" s="67" t="e">
        <f>+#REF!</f>
        <v>#REF!</v>
      </c>
      <c r="Q46" s="270" t="e">
        <f>+#REF!</f>
        <v>#REF!</v>
      </c>
      <c r="R46" s="59">
        <f t="shared" si="17"/>
        <v>0</v>
      </c>
      <c r="S46" s="60" t="e">
        <f t="shared" si="18"/>
        <v>#REF!</v>
      </c>
      <c r="T46" s="61" t="e">
        <f t="shared" si="19"/>
        <v>#REF!</v>
      </c>
      <c r="U46" s="278" t="e">
        <f t="shared" si="2"/>
        <v>#REF!</v>
      </c>
    </row>
    <row r="47" spans="1:21" s="15" customFormat="1" x14ac:dyDescent="0.25">
      <c r="A47" s="254"/>
      <c r="B47" s="244" t="s">
        <v>218</v>
      </c>
      <c r="C47" s="18" t="s">
        <v>284</v>
      </c>
      <c r="D47" s="103" t="s">
        <v>280</v>
      </c>
      <c r="E47" s="86" t="s">
        <v>132</v>
      </c>
      <c r="F47" s="27">
        <v>25</v>
      </c>
      <c r="G47" s="27">
        <v>12</v>
      </c>
      <c r="H47" s="28">
        <v>11137</v>
      </c>
      <c r="I47" s="22"/>
      <c r="J47" s="20" t="e">
        <f>+#REF!</f>
        <v>#REF!</v>
      </c>
      <c r="K47" s="24" t="e">
        <f>+#REF!</f>
        <v>#REF!</v>
      </c>
      <c r="L47" s="22"/>
      <c r="M47" s="67" t="e">
        <f>+#REF!</f>
        <v>#REF!</v>
      </c>
      <c r="N47" s="68" t="e">
        <f>+#REF!</f>
        <v>#REF!</v>
      </c>
      <c r="O47" s="22"/>
      <c r="P47" s="67" t="e">
        <f>+#REF!</f>
        <v>#REF!</v>
      </c>
      <c r="Q47" s="270" t="e">
        <f>+#REF!</f>
        <v>#REF!</v>
      </c>
      <c r="R47" s="59">
        <f t="shared" si="17"/>
        <v>0</v>
      </c>
      <c r="S47" s="60" t="e">
        <f t="shared" si="18"/>
        <v>#REF!</v>
      </c>
      <c r="T47" s="61" t="e">
        <f t="shared" si="19"/>
        <v>#REF!</v>
      </c>
      <c r="U47" s="278" t="e">
        <f t="shared" si="2"/>
        <v>#REF!</v>
      </c>
    </row>
    <row r="48" spans="1:21" s="15" customFormat="1" ht="30" x14ac:dyDescent="0.25">
      <c r="A48" s="254"/>
      <c r="B48" s="244" t="s">
        <v>218</v>
      </c>
      <c r="C48" s="18" t="s">
        <v>285</v>
      </c>
      <c r="D48" s="103" t="s">
        <v>260</v>
      </c>
      <c r="E48" s="86" t="s">
        <v>132</v>
      </c>
      <c r="F48" s="27">
        <v>1</v>
      </c>
      <c r="G48" s="27">
        <v>12</v>
      </c>
      <c r="H48" s="28">
        <v>26238</v>
      </c>
      <c r="I48" s="22"/>
      <c r="J48" s="20" t="e">
        <f>+#REF!</f>
        <v>#REF!</v>
      </c>
      <c r="K48" s="24" t="e">
        <f>+#REF!</f>
        <v>#REF!</v>
      </c>
      <c r="L48" s="22"/>
      <c r="M48" s="67" t="e">
        <f>+#REF!</f>
        <v>#REF!</v>
      </c>
      <c r="N48" s="68" t="e">
        <f>+#REF!</f>
        <v>#REF!</v>
      </c>
      <c r="O48" s="22"/>
      <c r="P48" s="67" t="e">
        <f>+#REF!</f>
        <v>#REF!</v>
      </c>
      <c r="Q48" s="270" t="e">
        <f>+#REF!</f>
        <v>#REF!</v>
      </c>
      <c r="R48" s="59">
        <f t="shared" si="17"/>
        <v>0</v>
      </c>
      <c r="S48" s="60" t="e">
        <f t="shared" si="18"/>
        <v>#REF!</v>
      </c>
      <c r="T48" s="61" t="e">
        <f t="shared" si="19"/>
        <v>#REF!</v>
      </c>
      <c r="U48" s="278" t="e">
        <f t="shared" si="2"/>
        <v>#REF!</v>
      </c>
    </row>
    <row r="49" spans="1:21" s="15" customFormat="1" ht="30" x14ac:dyDescent="0.25">
      <c r="A49" s="254"/>
      <c r="B49" s="244" t="s">
        <v>218</v>
      </c>
      <c r="C49" s="18" t="s">
        <v>286</v>
      </c>
      <c r="D49" s="103" t="s">
        <v>278</v>
      </c>
      <c r="E49" s="86" t="s">
        <v>132</v>
      </c>
      <c r="F49" s="27">
        <v>6</v>
      </c>
      <c r="G49" s="27">
        <v>12</v>
      </c>
      <c r="H49" s="28">
        <v>13025</v>
      </c>
      <c r="I49" s="22"/>
      <c r="J49" s="20" t="e">
        <f>+#REF!</f>
        <v>#REF!</v>
      </c>
      <c r="K49" s="24" t="e">
        <f>+#REF!</f>
        <v>#REF!</v>
      </c>
      <c r="L49" s="22"/>
      <c r="M49" s="67" t="e">
        <f>+#REF!</f>
        <v>#REF!</v>
      </c>
      <c r="N49" s="68" t="e">
        <f>+#REF!</f>
        <v>#REF!</v>
      </c>
      <c r="O49" s="22"/>
      <c r="P49" s="67" t="e">
        <f>+#REF!</f>
        <v>#REF!</v>
      </c>
      <c r="Q49" s="270" t="e">
        <f>+#REF!</f>
        <v>#REF!</v>
      </c>
      <c r="R49" s="59">
        <f t="shared" si="17"/>
        <v>0</v>
      </c>
      <c r="S49" s="60" t="e">
        <f t="shared" si="18"/>
        <v>#REF!</v>
      </c>
      <c r="T49" s="61" t="e">
        <f t="shared" si="19"/>
        <v>#REF!</v>
      </c>
      <c r="U49" s="278" t="e">
        <f t="shared" ref="U49:U90" si="20">+R49+S49+T49</f>
        <v>#REF!</v>
      </c>
    </row>
    <row r="50" spans="1:21" s="15" customFormat="1" x14ac:dyDescent="0.25">
      <c r="A50" s="254"/>
      <c r="B50" s="244" t="s">
        <v>218</v>
      </c>
      <c r="C50" s="18" t="s">
        <v>287</v>
      </c>
      <c r="D50" s="103" t="s">
        <v>288</v>
      </c>
      <c r="E50" s="86" t="s">
        <v>132</v>
      </c>
      <c r="F50" s="27">
        <v>3</v>
      </c>
      <c r="G50" s="27">
        <v>12</v>
      </c>
      <c r="H50" s="28">
        <v>13025</v>
      </c>
      <c r="I50" s="22"/>
      <c r="J50" s="20" t="e">
        <f>+#REF!</f>
        <v>#REF!</v>
      </c>
      <c r="K50" s="24" t="e">
        <f>+#REF!</f>
        <v>#REF!</v>
      </c>
      <c r="L50" s="22"/>
      <c r="M50" s="67" t="e">
        <f>+#REF!</f>
        <v>#REF!</v>
      </c>
      <c r="N50" s="68" t="e">
        <f>+#REF!</f>
        <v>#REF!</v>
      </c>
      <c r="O50" s="22"/>
      <c r="P50" s="67" t="e">
        <f>+#REF!</f>
        <v>#REF!</v>
      </c>
      <c r="Q50" s="270" t="e">
        <f>+#REF!</f>
        <v>#REF!</v>
      </c>
      <c r="R50" s="59">
        <f t="shared" si="17"/>
        <v>0</v>
      </c>
      <c r="S50" s="60" t="e">
        <f t="shared" si="18"/>
        <v>#REF!</v>
      </c>
      <c r="T50" s="61" t="e">
        <f t="shared" si="19"/>
        <v>#REF!</v>
      </c>
      <c r="U50" s="278" t="e">
        <f t="shared" si="20"/>
        <v>#REF!</v>
      </c>
    </row>
    <row r="51" spans="1:21" s="15" customFormat="1" x14ac:dyDescent="0.25">
      <c r="A51" s="254"/>
      <c r="B51" s="244" t="s">
        <v>218</v>
      </c>
      <c r="C51" s="18" t="s">
        <v>289</v>
      </c>
      <c r="D51" s="103" t="s">
        <v>290</v>
      </c>
      <c r="E51" s="86" t="s">
        <v>132</v>
      </c>
      <c r="F51" s="27">
        <v>1</v>
      </c>
      <c r="G51" s="27">
        <v>12</v>
      </c>
      <c r="H51" s="28">
        <v>20386</v>
      </c>
      <c r="I51" s="22"/>
      <c r="J51" s="20" t="e">
        <f>+#REF!</f>
        <v>#REF!</v>
      </c>
      <c r="K51" s="24" t="e">
        <f>+#REF!</f>
        <v>#REF!</v>
      </c>
      <c r="L51" s="22"/>
      <c r="M51" s="67" t="e">
        <f>+#REF!</f>
        <v>#REF!</v>
      </c>
      <c r="N51" s="68" t="e">
        <f>+#REF!</f>
        <v>#REF!</v>
      </c>
      <c r="O51" s="22"/>
      <c r="P51" s="67" t="e">
        <f>+#REF!</f>
        <v>#REF!</v>
      </c>
      <c r="Q51" s="270" t="e">
        <f>+#REF!</f>
        <v>#REF!</v>
      </c>
      <c r="R51" s="59">
        <f t="shared" si="17"/>
        <v>0</v>
      </c>
      <c r="S51" s="60" t="e">
        <f t="shared" si="18"/>
        <v>#REF!</v>
      </c>
      <c r="T51" s="61" t="e">
        <f t="shared" si="19"/>
        <v>#REF!</v>
      </c>
      <c r="U51" s="278" t="e">
        <f t="shared" si="20"/>
        <v>#REF!</v>
      </c>
    </row>
    <row r="52" spans="1:21" s="15" customFormat="1" x14ac:dyDescent="0.25">
      <c r="A52" s="254"/>
      <c r="B52" s="244" t="s">
        <v>218</v>
      </c>
      <c r="C52" s="18" t="s">
        <v>291</v>
      </c>
      <c r="D52" s="103" t="s">
        <v>292</v>
      </c>
      <c r="E52" s="86" t="s">
        <v>132</v>
      </c>
      <c r="F52" s="27">
        <v>3</v>
      </c>
      <c r="G52" s="27">
        <v>12</v>
      </c>
      <c r="H52" s="28">
        <v>15101</v>
      </c>
      <c r="I52" s="22"/>
      <c r="J52" s="20" t="e">
        <f>+#REF!</f>
        <v>#REF!</v>
      </c>
      <c r="K52" s="24" t="e">
        <f>+#REF!</f>
        <v>#REF!</v>
      </c>
      <c r="L52" s="22"/>
      <c r="M52" s="67" t="e">
        <f>+#REF!</f>
        <v>#REF!</v>
      </c>
      <c r="N52" s="68" t="e">
        <f>+#REF!</f>
        <v>#REF!</v>
      </c>
      <c r="O52" s="22"/>
      <c r="P52" s="67" t="e">
        <f>+#REF!</f>
        <v>#REF!</v>
      </c>
      <c r="Q52" s="270" t="e">
        <f>+#REF!</f>
        <v>#REF!</v>
      </c>
      <c r="R52" s="59">
        <f t="shared" si="17"/>
        <v>0</v>
      </c>
      <c r="S52" s="60" t="e">
        <f t="shared" si="18"/>
        <v>#REF!</v>
      </c>
      <c r="T52" s="61" t="e">
        <f t="shared" si="19"/>
        <v>#REF!</v>
      </c>
      <c r="U52" s="278" t="e">
        <f t="shared" si="20"/>
        <v>#REF!</v>
      </c>
    </row>
    <row r="53" spans="1:21" s="15" customFormat="1" ht="30" x14ac:dyDescent="0.25">
      <c r="A53" s="254"/>
      <c r="B53" s="244" t="s">
        <v>218</v>
      </c>
      <c r="C53" s="18" t="s">
        <v>293</v>
      </c>
      <c r="D53" s="103" t="s">
        <v>260</v>
      </c>
      <c r="E53" s="86" t="s">
        <v>132</v>
      </c>
      <c r="F53" s="27">
        <v>1</v>
      </c>
      <c r="G53" s="27">
        <v>12</v>
      </c>
      <c r="H53" s="28">
        <v>26238</v>
      </c>
      <c r="I53" s="22"/>
      <c r="J53" s="20" t="e">
        <f>+#REF!</f>
        <v>#REF!</v>
      </c>
      <c r="K53" s="24" t="e">
        <f>+#REF!</f>
        <v>#REF!</v>
      </c>
      <c r="L53" s="22"/>
      <c r="M53" s="67" t="e">
        <f>+#REF!</f>
        <v>#REF!</v>
      </c>
      <c r="N53" s="68" t="e">
        <f>+#REF!</f>
        <v>#REF!</v>
      </c>
      <c r="O53" s="22"/>
      <c r="P53" s="67" t="e">
        <f>+#REF!</f>
        <v>#REF!</v>
      </c>
      <c r="Q53" s="270" t="e">
        <f>+#REF!</f>
        <v>#REF!</v>
      </c>
      <c r="R53" s="59">
        <f t="shared" si="17"/>
        <v>0</v>
      </c>
      <c r="S53" s="60" t="e">
        <f t="shared" si="18"/>
        <v>#REF!</v>
      </c>
      <c r="T53" s="61" t="e">
        <f t="shared" si="19"/>
        <v>#REF!</v>
      </c>
      <c r="U53" s="278" t="e">
        <f t="shared" si="20"/>
        <v>#REF!</v>
      </c>
    </row>
    <row r="54" spans="1:21" s="15" customFormat="1" x14ac:dyDescent="0.25">
      <c r="A54" s="254"/>
      <c r="B54" s="244" t="s">
        <v>218</v>
      </c>
      <c r="C54" s="18" t="s">
        <v>294</v>
      </c>
      <c r="D54" s="103" t="s">
        <v>295</v>
      </c>
      <c r="E54" s="86" t="s">
        <v>132</v>
      </c>
      <c r="F54" s="27">
        <v>1</v>
      </c>
      <c r="G54" s="27">
        <v>12</v>
      </c>
      <c r="H54" s="28">
        <v>20386</v>
      </c>
      <c r="I54" s="22"/>
      <c r="J54" s="20" t="e">
        <f>+#REF!</f>
        <v>#REF!</v>
      </c>
      <c r="K54" s="24" t="e">
        <f>+#REF!</f>
        <v>#REF!</v>
      </c>
      <c r="L54" s="22"/>
      <c r="M54" s="67" t="e">
        <f>+#REF!</f>
        <v>#REF!</v>
      </c>
      <c r="N54" s="68" t="e">
        <f>+#REF!</f>
        <v>#REF!</v>
      </c>
      <c r="O54" s="22"/>
      <c r="P54" s="67" t="e">
        <f>+#REF!</f>
        <v>#REF!</v>
      </c>
      <c r="Q54" s="270" t="e">
        <f>+#REF!</f>
        <v>#REF!</v>
      </c>
      <c r="R54" s="59">
        <f t="shared" si="17"/>
        <v>0</v>
      </c>
      <c r="S54" s="60" t="e">
        <f t="shared" si="18"/>
        <v>#REF!</v>
      </c>
      <c r="T54" s="61" t="e">
        <f t="shared" si="19"/>
        <v>#REF!</v>
      </c>
      <c r="U54" s="278" t="e">
        <f t="shared" si="20"/>
        <v>#REF!</v>
      </c>
    </row>
    <row r="55" spans="1:21" s="15" customFormat="1" x14ac:dyDescent="0.25">
      <c r="A55" s="254"/>
      <c r="B55" s="244" t="s">
        <v>218</v>
      </c>
      <c r="C55" s="18" t="s">
        <v>296</v>
      </c>
      <c r="D55" s="103" t="s">
        <v>297</v>
      </c>
      <c r="E55" s="86" t="s">
        <v>132</v>
      </c>
      <c r="F55" s="27">
        <v>5</v>
      </c>
      <c r="G55" s="27">
        <v>12</v>
      </c>
      <c r="H55" s="28">
        <v>13025</v>
      </c>
      <c r="I55" s="22"/>
      <c r="J55" s="20" t="e">
        <f>+#REF!</f>
        <v>#REF!</v>
      </c>
      <c r="K55" s="24" t="e">
        <f>+#REF!</f>
        <v>#REF!</v>
      </c>
      <c r="L55" s="22"/>
      <c r="M55" s="67" t="e">
        <f>+#REF!</f>
        <v>#REF!</v>
      </c>
      <c r="N55" s="68" t="e">
        <f>+#REF!</f>
        <v>#REF!</v>
      </c>
      <c r="O55" s="22"/>
      <c r="P55" s="67" t="e">
        <f>+#REF!</f>
        <v>#REF!</v>
      </c>
      <c r="Q55" s="270" t="e">
        <f>+#REF!</f>
        <v>#REF!</v>
      </c>
      <c r="R55" s="59">
        <f t="shared" si="17"/>
        <v>0</v>
      </c>
      <c r="S55" s="60" t="e">
        <f t="shared" si="18"/>
        <v>#REF!</v>
      </c>
      <c r="T55" s="61" t="e">
        <f t="shared" si="19"/>
        <v>#REF!</v>
      </c>
      <c r="U55" s="278" t="e">
        <f t="shared" si="20"/>
        <v>#REF!</v>
      </c>
    </row>
    <row r="56" spans="1:21" s="15" customFormat="1" x14ac:dyDescent="0.25">
      <c r="A56" s="254"/>
      <c r="B56" s="244" t="s">
        <v>218</v>
      </c>
      <c r="C56" s="18" t="s">
        <v>298</v>
      </c>
      <c r="D56" s="103" t="s">
        <v>299</v>
      </c>
      <c r="E56" s="86" t="s">
        <v>132</v>
      </c>
      <c r="F56" s="27">
        <v>1</v>
      </c>
      <c r="G56" s="27">
        <v>12</v>
      </c>
      <c r="H56" s="28">
        <v>18876</v>
      </c>
      <c r="I56" s="22"/>
      <c r="J56" s="20" t="e">
        <f>+#REF!</f>
        <v>#REF!</v>
      </c>
      <c r="K56" s="24" t="e">
        <f>+#REF!</f>
        <v>#REF!</v>
      </c>
      <c r="L56" s="22"/>
      <c r="M56" s="67" t="e">
        <f>+#REF!</f>
        <v>#REF!</v>
      </c>
      <c r="N56" s="68" t="e">
        <f>+#REF!</f>
        <v>#REF!</v>
      </c>
      <c r="O56" s="22"/>
      <c r="P56" s="67" t="e">
        <f>+#REF!</f>
        <v>#REF!</v>
      </c>
      <c r="Q56" s="270" t="e">
        <f>+#REF!</f>
        <v>#REF!</v>
      </c>
      <c r="R56" s="59">
        <f t="shared" si="17"/>
        <v>0</v>
      </c>
      <c r="S56" s="60" t="e">
        <f t="shared" si="18"/>
        <v>#REF!</v>
      </c>
      <c r="T56" s="61" t="e">
        <f t="shared" si="19"/>
        <v>#REF!</v>
      </c>
      <c r="U56" s="278" t="e">
        <f t="shared" si="20"/>
        <v>#REF!</v>
      </c>
    </row>
    <row r="57" spans="1:21" s="15" customFormat="1" x14ac:dyDescent="0.25">
      <c r="A57" s="254"/>
      <c r="B57" s="244" t="s">
        <v>218</v>
      </c>
      <c r="C57" s="18" t="s">
        <v>300</v>
      </c>
      <c r="D57" s="103" t="s">
        <v>292</v>
      </c>
      <c r="E57" s="86" t="s">
        <v>132</v>
      </c>
      <c r="F57" s="27">
        <v>2</v>
      </c>
      <c r="G57" s="27">
        <v>12</v>
      </c>
      <c r="H57" s="28">
        <v>17366</v>
      </c>
      <c r="I57" s="22"/>
      <c r="J57" s="20" t="e">
        <f>+#REF!</f>
        <v>#REF!</v>
      </c>
      <c r="K57" s="24" t="e">
        <f>+#REF!</f>
        <v>#REF!</v>
      </c>
      <c r="L57" s="22"/>
      <c r="M57" s="67" t="e">
        <f>+#REF!</f>
        <v>#REF!</v>
      </c>
      <c r="N57" s="68" t="e">
        <f>+#REF!</f>
        <v>#REF!</v>
      </c>
      <c r="O57" s="22"/>
      <c r="P57" s="67" t="e">
        <f>+#REF!</f>
        <v>#REF!</v>
      </c>
      <c r="Q57" s="270" t="e">
        <f>+#REF!</f>
        <v>#REF!</v>
      </c>
      <c r="R57" s="59">
        <f t="shared" si="17"/>
        <v>0</v>
      </c>
      <c r="S57" s="60" t="e">
        <f t="shared" si="18"/>
        <v>#REF!</v>
      </c>
      <c r="T57" s="61" t="e">
        <f t="shared" si="19"/>
        <v>#REF!</v>
      </c>
      <c r="U57" s="278" t="e">
        <f t="shared" si="20"/>
        <v>#REF!</v>
      </c>
    </row>
    <row r="58" spans="1:21" s="15" customFormat="1" x14ac:dyDescent="0.25">
      <c r="A58" s="254"/>
      <c r="B58" s="244" t="s">
        <v>218</v>
      </c>
      <c r="C58" s="18" t="s">
        <v>301</v>
      </c>
      <c r="D58" s="103" t="s">
        <v>302</v>
      </c>
      <c r="E58" s="86" t="s">
        <v>132</v>
      </c>
      <c r="F58" s="27">
        <v>1</v>
      </c>
      <c r="G58" s="27">
        <v>12</v>
      </c>
      <c r="H58" s="28">
        <v>17366</v>
      </c>
      <c r="I58" s="22"/>
      <c r="J58" s="20" t="e">
        <f>+#REF!</f>
        <v>#REF!</v>
      </c>
      <c r="K58" s="24" t="e">
        <f>+#REF!</f>
        <v>#REF!</v>
      </c>
      <c r="L58" s="22"/>
      <c r="M58" s="67" t="e">
        <f>+#REF!</f>
        <v>#REF!</v>
      </c>
      <c r="N58" s="68" t="e">
        <f>+#REF!</f>
        <v>#REF!</v>
      </c>
      <c r="O58" s="22"/>
      <c r="P58" s="67" t="e">
        <f>+#REF!</f>
        <v>#REF!</v>
      </c>
      <c r="Q58" s="270" t="e">
        <f>+#REF!</f>
        <v>#REF!</v>
      </c>
      <c r="R58" s="59">
        <f t="shared" si="17"/>
        <v>0</v>
      </c>
      <c r="S58" s="60" t="e">
        <f t="shared" si="18"/>
        <v>#REF!</v>
      </c>
      <c r="T58" s="61" t="e">
        <f t="shared" si="19"/>
        <v>#REF!</v>
      </c>
      <c r="U58" s="278" t="e">
        <f t="shared" si="20"/>
        <v>#REF!</v>
      </c>
    </row>
    <row r="59" spans="1:21" s="15" customFormat="1" x14ac:dyDescent="0.25">
      <c r="A59" s="254"/>
      <c r="B59" s="244" t="s">
        <v>218</v>
      </c>
      <c r="C59" s="18" t="s">
        <v>303</v>
      </c>
      <c r="D59" s="103" t="s">
        <v>304</v>
      </c>
      <c r="E59" s="86" t="s">
        <v>132</v>
      </c>
      <c r="F59" s="27">
        <v>3</v>
      </c>
      <c r="G59" s="27">
        <v>12</v>
      </c>
      <c r="H59" s="28">
        <v>13968</v>
      </c>
      <c r="I59" s="22"/>
      <c r="J59" s="20" t="e">
        <f>+#REF!</f>
        <v>#REF!</v>
      </c>
      <c r="K59" s="24" t="e">
        <f>+#REF!</f>
        <v>#REF!</v>
      </c>
      <c r="L59" s="22"/>
      <c r="M59" s="67" t="e">
        <f>+#REF!</f>
        <v>#REF!</v>
      </c>
      <c r="N59" s="68" t="e">
        <f>+#REF!</f>
        <v>#REF!</v>
      </c>
      <c r="O59" s="22"/>
      <c r="P59" s="67" t="e">
        <f>+#REF!</f>
        <v>#REF!</v>
      </c>
      <c r="Q59" s="270" t="e">
        <f>+#REF!</f>
        <v>#REF!</v>
      </c>
      <c r="R59" s="59">
        <f t="shared" si="17"/>
        <v>0</v>
      </c>
      <c r="S59" s="60" t="e">
        <f t="shared" si="18"/>
        <v>#REF!</v>
      </c>
      <c r="T59" s="61" t="e">
        <f t="shared" si="19"/>
        <v>#REF!</v>
      </c>
      <c r="U59" s="278" t="e">
        <f t="shared" si="20"/>
        <v>#REF!</v>
      </c>
    </row>
    <row r="60" spans="1:21" s="15" customFormat="1" ht="30" x14ac:dyDescent="0.25">
      <c r="A60" s="254"/>
      <c r="B60" s="244" t="s">
        <v>218</v>
      </c>
      <c r="C60" s="18" t="s">
        <v>305</v>
      </c>
      <c r="D60" s="103" t="s">
        <v>260</v>
      </c>
      <c r="E60" s="86" t="s">
        <v>132</v>
      </c>
      <c r="F60" s="27">
        <v>1</v>
      </c>
      <c r="G60" s="27">
        <v>12</v>
      </c>
      <c r="H60" s="28">
        <v>26238</v>
      </c>
      <c r="I60" s="22"/>
      <c r="J60" s="20" t="e">
        <f>+#REF!</f>
        <v>#REF!</v>
      </c>
      <c r="K60" s="24" t="e">
        <f>+#REF!</f>
        <v>#REF!</v>
      </c>
      <c r="L60" s="22"/>
      <c r="M60" s="67" t="e">
        <f>+#REF!</f>
        <v>#REF!</v>
      </c>
      <c r="N60" s="68" t="e">
        <f>+#REF!</f>
        <v>#REF!</v>
      </c>
      <c r="O60" s="22"/>
      <c r="P60" s="67" t="e">
        <f>+#REF!</f>
        <v>#REF!</v>
      </c>
      <c r="Q60" s="270" t="e">
        <f>+#REF!</f>
        <v>#REF!</v>
      </c>
      <c r="R60" s="59">
        <f t="shared" si="17"/>
        <v>0</v>
      </c>
      <c r="S60" s="60" t="e">
        <f t="shared" si="18"/>
        <v>#REF!</v>
      </c>
      <c r="T60" s="61" t="e">
        <f t="shared" si="19"/>
        <v>#REF!</v>
      </c>
      <c r="U60" s="278" t="e">
        <f t="shared" si="20"/>
        <v>#REF!</v>
      </c>
    </row>
    <row r="61" spans="1:21" s="15" customFormat="1" x14ac:dyDescent="0.25">
      <c r="A61" s="254"/>
      <c r="B61" s="244" t="s">
        <v>218</v>
      </c>
      <c r="C61" s="18" t="s">
        <v>306</v>
      </c>
      <c r="D61" s="103" t="s">
        <v>307</v>
      </c>
      <c r="E61" s="86" t="s">
        <v>132</v>
      </c>
      <c r="F61" s="27">
        <v>1</v>
      </c>
      <c r="G61" s="27">
        <v>12</v>
      </c>
      <c r="H61" s="28">
        <v>23406</v>
      </c>
      <c r="I61" s="22"/>
      <c r="J61" s="20" t="e">
        <f>+#REF!</f>
        <v>#REF!</v>
      </c>
      <c r="K61" s="24" t="e">
        <f>+#REF!</f>
        <v>#REF!</v>
      </c>
      <c r="L61" s="22"/>
      <c r="M61" s="67" t="e">
        <f>+#REF!</f>
        <v>#REF!</v>
      </c>
      <c r="N61" s="68" t="e">
        <f>+#REF!</f>
        <v>#REF!</v>
      </c>
      <c r="O61" s="22"/>
      <c r="P61" s="67" t="e">
        <f>+#REF!</f>
        <v>#REF!</v>
      </c>
      <c r="Q61" s="270" t="e">
        <f>+#REF!</f>
        <v>#REF!</v>
      </c>
      <c r="R61" s="59">
        <f t="shared" si="17"/>
        <v>0</v>
      </c>
      <c r="S61" s="60" t="e">
        <f t="shared" si="18"/>
        <v>#REF!</v>
      </c>
      <c r="T61" s="61" t="e">
        <f t="shared" si="19"/>
        <v>#REF!</v>
      </c>
      <c r="U61" s="278" t="e">
        <f t="shared" si="20"/>
        <v>#REF!</v>
      </c>
    </row>
    <row r="62" spans="1:21" s="15" customFormat="1" x14ac:dyDescent="0.25">
      <c r="A62" s="254"/>
      <c r="B62" s="244" t="s">
        <v>218</v>
      </c>
      <c r="C62" s="18" t="s">
        <v>308</v>
      </c>
      <c r="D62" s="103" t="s">
        <v>302</v>
      </c>
      <c r="E62" s="86" t="s">
        <v>132</v>
      </c>
      <c r="F62" s="27">
        <v>3</v>
      </c>
      <c r="G62" s="27">
        <v>12</v>
      </c>
      <c r="H62" s="28">
        <v>16234</v>
      </c>
      <c r="I62" s="22"/>
      <c r="J62" s="20" t="e">
        <f>+#REF!</f>
        <v>#REF!</v>
      </c>
      <c r="K62" s="24" t="e">
        <f>+#REF!</f>
        <v>#REF!</v>
      </c>
      <c r="L62" s="22"/>
      <c r="M62" s="67" t="e">
        <f>+#REF!</f>
        <v>#REF!</v>
      </c>
      <c r="N62" s="68" t="e">
        <f>+#REF!</f>
        <v>#REF!</v>
      </c>
      <c r="O62" s="22"/>
      <c r="P62" s="67" t="e">
        <f>+#REF!</f>
        <v>#REF!</v>
      </c>
      <c r="Q62" s="270" t="e">
        <f>+#REF!</f>
        <v>#REF!</v>
      </c>
      <c r="R62" s="59">
        <f t="shared" si="17"/>
        <v>0</v>
      </c>
      <c r="S62" s="60" t="e">
        <f t="shared" si="18"/>
        <v>#REF!</v>
      </c>
      <c r="T62" s="61" t="e">
        <f t="shared" si="19"/>
        <v>#REF!</v>
      </c>
      <c r="U62" s="278" t="e">
        <f t="shared" si="20"/>
        <v>#REF!</v>
      </c>
    </row>
    <row r="63" spans="1:21" s="15" customFormat="1" x14ac:dyDescent="0.25">
      <c r="A63" s="254"/>
      <c r="B63" s="244" t="s">
        <v>218</v>
      </c>
      <c r="C63" s="18" t="s">
        <v>350</v>
      </c>
      <c r="D63" s="103" t="s">
        <v>309</v>
      </c>
      <c r="E63" s="86" t="s">
        <v>36</v>
      </c>
      <c r="F63" s="27">
        <v>95</v>
      </c>
      <c r="G63" s="27">
        <v>12</v>
      </c>
      <c r="H63" s="28">
        <v>3260</v>
      </c>
      <c r="I63" s="22"/>
      <c r="J63" s="20" t="e">
        <f>+#REF!</f>
        <v>#REF!</v>
      </c>
      <c r="K63" s="24"/>
      <c r="L63" s="22"/>
      <c r="M63" s="67" t="e">
        <f>+#REF!</f>
        <v>#REF!</v>
      </c>
      <c r="N63" s="68"/>
      <c r="O63" s="22"/>
      <c r="P63" s="67" t="e">
        <f>+#REF!</f>
        <v>#REF!</v>
      </c>
      <c r="Q63" s="270"/>
      <c r="R63" s="59">
        <f t="shared" si="17"/>
        <v>0</v>
      </c>
      <c r="S63" s="60" t="e">
        <f t="shared" si="18"/>
        <v>#REF!</v>
      </c>
      <c r="T63" s="61">
        <f t="shared" si="19"/>
        <v>0</v>
      </c>
      <c r="U63" s="278" t="e">
        <f t="shared" si="20"/>
        <v>#REF!</v>
      </c>
    </row>
    <row r="64" spans="1:21" s="15" customFormat="1" ht="30" x14ac:dyDescent="0.25">
      <c r="A64" s="254"/>
      <c r="B64" s="244" t="s">
        <v>218</v>
      </c>
      <c r="C64" s="18" t="s">
        <v>34</v>
      </c>
      <c r="D64" s="103" t="s">
        <v>315</v>
      </c>
      <c r="E64" s="86" t="s">
        <v>240</v>
      </c>
      <c r="F64" s="27"/>
      <c r="G64" s="27"/>
      <c r="H64" s="28"/>
      <c r="I64" s="22">
        <f>20886.705396*0.6</f>
        <v>12532.0232376</v>
      </c>
      <c r="J64" s="20">
        <f>20887*0.4</f>
        <v>8354.8000000000011</v>
      </c>
      <c r="K64" s="24">
        <v>0</v>
      </c>
      <c r="L64" s="22">
        <f>25064.0464752*0.6</f>
        <v>15038.42788512</v>
      </c>
      <c r="M64" s="67">
        <f>25064.05*0.4</f>
        <v>10025.620000000001</v>
      </c>
      <c r="N64" s="68">
        <v>0</v>
      </c>
      <c r="O64" s="22">
        <f>32583.26041776*0.6</f>
        <v>19549.956250656</v>
      </c>
      <c r="P64" s="67">
        <f>32583*0.4</f>
        <v>13033.2</v>
      </c>
      <c r="Q64" s="270">
        <v>0</v>
      </c>
      <c r="R64" s="59">
        <f t="shared" si="17"/>
        <v>47120.407373375994</v>
      </c>
      <c r="S64" s="60">
        <f t="shared" si="18"/>
        <v>31413.620000000003</v>
      </c>
      <c r="T64" s="61">
        <f t="shared" si="19"/>
        <v>0</v>
      </c>
      <c r="U64" s="278">
        <f t="shared" si="20"/>
        <v>78534.027373375997</v>
      </c>
    </row>
    <row r="65" spans="1:21" x14ac:dyDescent="0.25">
      <c r="A65" s="253" t="s">
        <v>447</v>
      </c>
      <c r="B65" s="224" t="s">
        <v>218</v>
      </c>
      <c r="C65" s="221" t="s">
        <v>448</v>
      </c>
      <c r="D65" s="222"/>
      <c r="E65" s="223"/>
      <c r="F65" s="204"/>
      <c r="G65" s="204"/>
      <c r="H65" s="224"/>
      <c r="I65" s="225"/>
      <c r="J65" s="224"/>
      <c r="K65" s="226"/>
      <c r="L65" s="225"/>
      <c r="M65" s="224"/>
      <c r="N65" s="226"/>
      <c r="O65" s="225"/>
      <c r="P65" s="224"/>
      <c r="Q65" s="224"/>
      <c r="R65" s="225"/>
      <c r="S65" s="224"/>
      <c r="T65" s="226"/>
      <c r="U65" s="226"/>
    </row>
    <row r="66" spans="1:21" s="15" customFormat="1" x14ac:dyDescent="0.25">
      <c r="A66" s="254"/>
      <c r="B66" s="244" t="s">
        <v>218</v>
      </c>
      <c r="C66" s="18" t="s">
        <v>310</v>
      </c>
      <c r="D66" s="103" t="s">
        <v>311</v>
      </c>
      <c r="E66" s="86" t="s">
        <v>133</v>
      </c>
      <c r="F66" s="27"/>
      <c r="G66" s="27"/>
      <c r="H66" s="28"/>
      <c r="I66" s="22">
        <v>146664.79999999999</v>
      </c>
      <c r="J66" s="20"/>
      <c r="K66" s="24"/>
      <c r="L66" s="22">
        <v>175997.75999999998</v>
      </c>
      <c r="M66" s="67"/>
      <c r="N66" s="68"/>
      <c r="O66" s="22">
        <v>211197.31200000001</v>
      </c>
      <c r="P66" s="67"/>
      <c r="Q66" s="270"/>
      <c r="R66" s="59">
        <f t="shared" ref="R66" si="21">+O66+L66+I66</f>
        <v>533859.87199999997</v>
      </c>
      <c r="S66" s="60">
        <f t="shared" ref="S66" si="22">+P66+M66+J66</f>
        <v>0</v>
      </c>
      <c r="T66" s="61">
        <f t="shared" ref="T66" si="23">+Q66+N66+K66</f>
        <v>0</v>
      </c>
      <c r="U66" s="278">
        <f t="shared" si="20"/>
        <v>533859.87199999997</v>
      </c>
    </row>
    <row r="67" spans="1:21" x14ac:dyDescent="0.25">
      <c r="A67" s="253" t="s">
        <v>449</v>
      </c>
      <c r="B67" s="224" t="s">
        <v>218</v>
      </c>
      <c r="C67" s="221" t="s">
        <v>450</v>
      </c>
      <c r="D67" s="222"/>
      <c r="E67" s="223"/>
      <c r="F67" s="204"/>
      <c r="G67" s="204"/>
      <c r="H67" s="224"/>
      <c r="I67" s="225"/>
      <c r="J67" s="224"/>
      <c r="K67" s="226"/>
      <c r="L67" s="225"/>
      <c r="M67" s="224"/>
      <c r="N67" s="226"/>
      <c r="O67" s="225"/>
      <c r="P67" s="224"/>
      <c r="Q67" s="224"/>
      <c r="R67" s="225"/>
      <c r="S67" s="224"/>
      <c r="T67" s="226"/>
      <c r="U67" s="226"/>
    </row>
    <row r="68" spans="1:21" s="15" customFormat="1" ht="30" x14ac:dyDescent="0.25">
      <c r="A68" s="254"/>
      <c r="B68" s="244" t="s">
        <v>218</v>
      </c>
      <c r="C68" s="18" t="s">
        <v>34</v>
      </c>
      <c r="D68" s="103" t="s">
        <v>312</v>
      </c>
      <c r="E68" s="86" t="s">
        <v>136</v>
      </c>
      <c r="F68" s="27"/>
      <c r="G68" s="27"/>
      <c r="H68" s="28"/>
      <c r="I68" s="22">
        <v>573448.30514013604</v>
      </c>
      <c r="J68" s="20">
        <v>0</v>
      </c>
      <c r="K68" s="24">
        <v>0</v>
      </c>
      <c r="L68" s="22">
        <v>688137.96616816323</v>
      </c>
      <c r="M68" s="67"/>
      <c r="N68" s="68"/>
      <c r="O68" s="22">
        <v>773168.00764331198</v>
      </c>
      <c r="P68" s="67"/>
      <c r="Q68" s="270"/>
      <c r="R68" s="59">
        <f t="shared" ref="R68:R71" si="24">+O68+L68+I68</f>
        <v>2034754.2789516111</v>
      </c>
      <c r="S68" s="60">
        <f t="shared" ref="S68:S71" si="25">+P68+M68+J68</f>
        <v>0</v>
      </c>
      <c r="T68" s="61">
        <f t="shared" ref="T68:T71" si="26">+Q68+N68+K68</f>
        <v>0</v>
      </c>
      <c r="U68" s="278">
        <f t="shared" si="20"/>
        <v>2034754.2789516111</v>
      </c>
    </row>
    <row r="69" spans="1:21" s="15" customFormat="1" ht="30" x14ac:dyDescent="0.25">
      <c r="A69" s="254"/>
      <c r="B69" s="244" t="s">
        <v>218</v>
      </c>
      <c r="C69" s="18" t="s">
        <v>8</v>
      </c>
      <c r="D69" s="103" t="s">
        <v>313</v>
      </c>
      <c r="E69" s="86" t="s">
        <v>136</v>
      </c>
      <c r="F69" s="27"/>
      <c r="G69" s="27"/>
      <c r="H69" s="28"/>
      <c r="I69" s="22">
        <v>8000</v>
      </c>
      <c r="J69" s="20">
        <v>0</v>
      </c>
      <c r="K69" s="24">
        <v>0</v>
      </c>
      <c r="L69" s="22">
        <v>8000</v>
      </c>
      <c r="M69" s="67"/>
      <c r="N69" s="68"/>
      <c r="O69" s="22">
        <v>8000</v>
      </c>
      <c r="P69" s="67"/>
      <c r="Q69" s="270"/>
      <c r="R69" s="59">
        <f t="shared" si="24"/>
        <v>24000</v>
      </c>
      <c r="S69" s="60">
        <f t="shared" si="25"/>
        <v>0</v>
      </c>
      <c r="T69" s="61">
        <f t="shared" si="26"/>
        <v>0</v>
      </c>
      <c r="U69" s="278">
        <f t="shared" si="20"/>
        <v>24000</v>
      </c>
    </row>
    <row r="70" spans="1:21" s="15" customFormat="1" x14ac:dyDescent="0.25">
      <c r="A70" s="254"/>
      <c r="B70" s="244" t="s">
        <v>218</v>
      </c>
      <c r="C70" s="18" t="s">
        <v>9</v>
      </c>
      <c r="D70" s="103" t="s">
        <v>314</v>
      </c>
      <c r="E70" s="86" t="s">
        <v>136</v>
      </c>
      <c r="F70" s="27"/>
      <c r="G70" s="27"/>
      <c r="H70" s="28"/>
      <c r="I70" s="22">
        <v>550960.13631111116</v>
      </c>
      <c r="J70" s="20">
        <v>0</v>
      </c>
      <c r="K70" s="24">
        <v>0</v>
      </c>
      <c r="L70" s="22">
        <v>661152.1635733333</v>
      </c>
      <c r="M70" s="67"/>
      <c r="N70" s="68"/>
      <c r="O70" s="22">
        <v>848862.77762237762</v>
      </c>
      <c r="P70" s="67"/>
      <c r="Q70" s="270"/>
      <c r="R70" s="59">
        <f t="shared" si="24"/>
        <v>2060975.0775068221</v>
      </c>
      <c r="S70" s="60">
        <f t="shared" si="25"/>
        <v>0</v>
      </c>
      <c r="T70" s="61">
        <f t="shared" si="26"/>
        <v>0</v>
      </c>
      <c r="U70" s="278">
        <f t="shared" si="20"/>
        <v>2060975.0775068221</v>
      </c>
    </row>
    <row r="71" spans="1:21" s="15" customFormat="1" x14ac:dyDescent="0.25">
      <c r="A71" s="254"/>
      <c r="B71" s="244" t="s">
        <v>218</v>
      </c>
      <c r="C71" s="18" t="s">
        <v>20</v>
      </c>
      <c r="D71" s="103" t="s">
        <v>39</v>
      </c>
      <c r="E71" s="86" t="s">
        <v>135</v>
      </c>
      <c r="F71" s="27"/>
      <c r="G71" s="27"/>
      <c r="H71" s="28"/>
      <c r="I71" s="22">
        <v>20000</v>
      </c>
      <c r="J71" s="20"/>
      <c r="K71" s="24"/>
      <c r="L71" s="22">
        <v>20000</v>
      </c>
      <c r="M71" s="67"/>
      <c r="N71" s="68"/>
      <c r="O71" s="22">
        <v>20000</v>
      </c>
      <c r="P71" s="67"/>
      <c r="Q71" s="270"/>
      <c r="R71" s="59">
        <f t="shared" si="24"/>
        <v>60000</v>
      </c>
      <c r="S71" s="60">
        <f t="shared" si="25"/>
        <v>0</v>
      </c>
      <c r="T71" s="61">
        <f t="shared" si="26"/>
        <v>0</v>
      </c>
      <c r="U71" s="278">
        <f t="shared" si="20"/>
        <v>60000</v>
      </c>
    </row>
    <row r="72" spans="1:21" x14ac:dyDescent="0.25">
      <c r="A72" s="253" t="s">
        <v>451</v>
      </c>
      <c r="B72" s="224" t="s">
        <v>218</v>
      </c>
      <c r="C72" s="221" t="s">
        <v>452</v>
      </c>
      <c r="D72" s="222"/>
      <c r="E72" s="223"/>
      <c r="F72" s="204"/>
      <c r="G72" s="204"/>
      <c r="H72" s="224"/>
      <c r="I72" s="225"/>
      <c r="J72" s="224"/>
      <c r="K72" s="226"/>
      <c r="L72" s="225"/>
      <c r="M72" s="224"/>
      <c r="N72" s="226"/>
      <c r="O72" s="225"/>
      <c r="P72" s="224"/>
      <c r="Q72" s="224"/>
      <c r="R72" s="225"/>
      <c r="S72" s="224"/>
      <c r="T72" s="226"/>
      <c r="U72" s="226"/>
    </row>
    <row r="73" spans="1:21" s="15" customFormat="1" x14ac:dyDescent="0.25">
      <c r="A73" s="254"/>
      <c r="B73" s="244" t="s">
        <v>218</v>
      </c>
      <c r="C73" s="18" t="s">
        <v>10</v>
      </c>
      <c r="D73" s="103" t="s">
        <v>316</v>
      </c>
      <c r="E73" s="86" t="s">
        <v>135</v>
      </c>
      <c r="F73" s="27"/>
      <c r="G73" s="27"/>
      <c r="H73" s="28"/>
      <c r="I73" s="22">
        <v>164670.264456</v>
      </c>
      <c r="J73" s="20">
        <v>38000</v>
      </c>
      <c r="K73" s="24">
        <v>0</v>
      </c>
      <c r="L73" s="22">
        <v>197604.31734720001</v>
      </c>
      <c r="M73" s="67">
        <v>45600</v>
      </c>
      <c r="N73" s="68">
        <v>0</v>
      </c>
      <c r="O73" s="22">
        <v>256885.61266666665</v>
      </c>
      <c r="P73" s="67">
        <v>54666.666666666664</v>
      </c>
      <c r="Q73" s="270">
        <v>0</v>
      </c>
      <c r="R73" s="59">
        <f t="shared" ref="R73" si="27">+O73+L73+I73</f>
        <v>619160.19446986658</v>
      </c>
      <c r="S73" s="60">
        <f t="shared" ref="S73" si="28">+P73+M73+J73</f>
        <v>138266.66666666666</v>
      </c>
      <c r="T73" s="61">
        <f t="shared" ref="T73" si="29">+Q73+N73+K73</f>
        <v>0</v>
      </c>
      <c r="U73" s="278">
        <f t="shared" si="20"/>
        <v>757426.8611365332</v>
      </c>
    </row>
    <row r="74" spans="1:21" x14ac:dyDescent="0.25">
      <c r="A74" s="253" t="s">
        <v>454</v>
      </c>
      <c r="B74" s="224" t="s">
        <v>218</v>
      </c>
      <c r="C74" s="221" t="s">
        <v>453</v>
      </c>
      <c r="D74" s="222"/>
      <c r="E74" s="223"/>
      <c r="F74" s="204"/>
      <c r="G74" s="204"/>
      <c r="H74" s="224"/>
      <c r="I74" s="225"/>
      <c r="J74" s="224"/>
      <c r="K74" s="226"/>
      <c r="L74" s="225"/>
      <c r="M74" s="224"/>
      <c r="N74" s="226"/>
      <c r="O74" s="225"/>
      <c r="P74" s="224"/>
      <c r="Q74" s="224"/>
      <c r="R74" s="225"/>
      <c r="S74" s="224"/>
      <c r="T74" s="226"/>
      <c r="U74" s="226"/>
    </row>
    <row r="75" spans="1:21" s="15" customFormat="1" x14ac:dyDescent="0.25">
      <c r="A75" s="254"/>
      <c r="B75" s="244" t="s">
        <v>218</v>
      </c>
      <c r="C75" s="18" t="s">
        <v>317</v>
      </c>
      <c r="D75" s="103" t="s">
        <v>318</v>
      </c>
      <c r="E75" s="86" t="s">
        <v>383</v>
      </c>
      <c r="F75" s="27"/>
      <c r="G75" s="27"/>
      <c r="H75" s="28"/>
      <c r="I75" s="22">
        <v>719410.20888888882</v>
      </c>
      <c r="J75" s="20"/>
      <c r="K75" s="24"/>
      <c r="L75" s="22">
        <v>719410.20888888882</v>
      </c>
      <c r="M75" s="67"/>
      <c r="N75" s="68"/>
      <c r="O75" s="22">
        <v>719410.20888888882</v>
      </c>
      <c r="P75" s="67"/>
      <c r="Q75" s="270"/>
      <c r="R75" s="59">
        <f t="shared" ref="R75" si="30">+O75+L75+I75</f>
        <v>2158230.6266666665</v>
      </c>
      <c r="S75" s="60">
        <f t="shared" ref="S75" si="31">+P75+M75+J75</f>
        <v>0</v>
      </c>
      <c r="T75" s="61">
        <f t="shared" ref="T75" si="32">+Q75+N75+K75</f>
        <v>0</v>
      </c>
      <c r="U75" s="278">
        <f t="shared" si="20"/>
        <v>2158230.6266666665</v>
      </c>
    </row>
    <row r="76" spans="1:21" x14ac:dyDescent="0.25">
      <c r="A76" s="252" t="s">
        <v>409</v>
      </c>
      <c r="B76" s="243" t="s">
        <v>412</v>
      </c>
      <c r="C76" s="216"/>
      <c r="D76" s="217"/>
      <c r="E76" s="217"/>
      <c r="F76" s="217"/>
      <c r="G76" s="217"/>
      <c r="H76" s="217"/>
      <c r="I76" s="218"/>
      <c r="J76" s="219"/>
      <c r="K76" s="220"/>
      <c r="L76" s="218"/>
      <c r="M76" s="219"/>
      <c r="N76" s="220"/>
      <c r="O76" s="218"/>
      <c r="P76" s="219"/>
      <c r="Q76" s="219"/>
      <c r="R76" s="218"/>
      <c r="S76" s="219"/>
      <c r="T76" s="220"/>
      <c r="U76" s="277"/>
    </row>
    <row r="77" spans="1:21" x14ac:dyDescent="0.25">
      <c r="A77" s="253" t="s">
        <v>410</v>
      </c>
      <c r="B77" s="224"/>
      <c r="C77" s="221" t="s">
        <v>446</v>
      </c>
      <c r="D77" s="222"/>
      <c r="E77" s="223"/>
      <c r="F77" s="204"/>
      <c r="G77" s="204"/>
      <c r="H77" s="224"/>
      <c r="I77" s="225"/>
      <c r="J77" s="224"/>
      <c r="K77" s="226"/>
      <c r="L77" s="225"/>
      <c r="M77" s="224"/>
      <c r="N77" s="226"/>
      <c r="O77" s="225"/>
      <c r="P77" s="224"/>
      <c r="Q77" s="224"/>
      <c r="R77" s="225"/>
      <c r="S77" s="224"/>
      <c r="T77" s="226"/>
      <c r="U77" s="226"/>
    </row>
    <row r="78" spans="1:21" s="15" customFormat="1" x14ac:dyDescent="0.25">
      <c r="A78" s="254"/>
      <c r="B78" s="244" t="s">
        <v>323</v>
      </c>
      <c r="C78" s="18" t="s">
        <v>369</v>
      </c>
      <c r="D78" s="103" t="s">
        <v>132</v>
      </c>
      <c r="E78" s="86" t="s">
        <v>132</v>
      </c>
      <c r="F78" s="27">
        <v>5</v>
      </c>
      <c r="G78" s="27"/>
      <c r="H78" s="28"/>
      <c r="I78" s="22"/>
      <c r="J78" s="20">
        <v>12563.2</v>
      </c>
      <c r="K78" s="24">
        <v>51345.08</v>
      </c>
      <c r="L78" s="22"/>
      <c r="M78" s="67">
        <v>15704</v>
      </c>
      <c r="N78" s="68">
        <v>64181.35</v>
      </c>
      <c r="O78" s="22"/>
      <c r="P78" s="67">
        <v>19630</v>
      </c>
      <c r="Q78" s="270">
        <v>80226.6875</v>
      </c>
      <c r="R78" s="59">
        <f t="shared" ref="R78:R90" si="33">+O78+L78+I78</f>
        <v>0</v>
      </c>
      <c r="S78" s="60">
        <f t="shared" ref="S78:S90" si="34">+P78+M78+J78</f>
        <v>47897.2</v>
      </c>
      <c r="T78" s="61">
        <f t="shared" ref="T78:T90" si="35">+Q78+N78+K78</f>
        <v>195753.11749999999</v>
      </c>
      <c r="U78" s="278">
        <f t="shared" si="20"/>
        <v>243650.3175</v>
      </c>
    </row>
    <row r="79" spans="1:21" s="15" customFormat="1" x14ac:dyDescent="0.25">
      <c r="A79" s="254"/>
      <c r="B79" s="244" t="s">
        <v>323</v>
      </c>
      <c r="C79" s="18" t="s">
        <v>370</v>
      </c>
      <c r="D79" s="103" t="s">
        <v>132</v>
      </c>
      <c r="E79" s="86" t="s">
        <v>132</v>
      </c>
      <c r="F79" s="27">
        <v>29</v>
      </c>
      <c r="G79" s="27"/>
      <c r="H79" s="28"/>
      <c r="I79" s="22"/>
      <c r="J79" s="20">
        <v>270845.12</v>
      </c>
      <c r="K79" s="24">
        <v>109472.73599999999</v>
      </c>
      <c r="L79" s="22"/>
      <c r="M79" s="67">
        <v>338556.39999999997</v>
      </c>
      <c r="N79" s="68">
        <v>136840.91999999998</v>
      </c>
      <c r="O79" s="22"/>
      <c r="P79" s="67">
        <v>423195.5</v>
      </c>
      <c r="Q79" s="270">
        <v>171051.15</v>
      </c>
      <c r="R79" s="59">
        <f t="shared" si="33"/>
        <v>0</v>
      </c>
      <c r="S79" s="60">
        <f t="shared" si="34"/>
        <v>1032597.0199999999</v>
      </c>
      <c r="T79" s="61">
        <f t="shared" si="35"/>
        <v>417364.80599999992</v>
      </c>
      <c r="U79" s="278">
        <f t="shared" si="20"/>
        <v>1449961.8259999999</v>
      </c>
    </row>
    <row r="80" spans="1:21" s="15" customFormat="1" x14ac:dyDescent="0.25">
      <c r="A80" s="254"/>
      <c r="B80" s="244" t="s">
        <v>323</v>
      </c>
      <c r="C80" s="18" t="s">
        <v>371</v>
      </c>
      <c r="D80" s="103" t="s">
        <v>132</v>
      </c>
      <c r="E80" s="86" t="s">
        <v>132</v>
      </c>
      <c r="F80" s="27">
        <v>12</v>
      </c>
      <c r="G80" s="27"/>
      <c r="H80" s="28"/>
      <c r="I80" s="22"/>
      <c r="J80" s="20">
        <v>15705.04</v>
      </c>
      <c r="K80" s="24">
        <v>148722.53599999999</v>
      </c>
      <c r="L80" s="22"/>
      <c r="M80" s="67">
        <v>19631.300000000003</v>
      </c>
      <c r="N80" s="68">
        <v>185903.17</v>
      </c>
      <c r="O80" s="22"/>
      <c r="P80" s="67">
        <v>24539.125000000004</v>
      </c>
      <c r="Q80" s="270">
        <v>232378.96249999999</v>
      </c>
      <c r="R80" s="59">
        <f t="shared" si="33"/>
        <v>0</v>
      </c>
      <c r="S80" s="60">
        <f t="shared" si="34"/>
        <v>59875.465000000004</v>
      </c>
      <c r="T80" s="61">
        <f t="shared" si="35"/>
        <v>567004.66850000003</v>
      </c>
      <c r="U80" s="278">
        <f t="shared" si="20"/>
        <v>626880.1335</v>
      </c>
    </row>
    <row r="81" spans="1:21" s="15" customFormat="1" x14ac:dyDescent="0.25">
      <c r="A81" s="254"/>
      <c r="B81" s="244" t="s">
        <v>323</v>
      </c>
      <c r="C81" s="18" t="s">
        <v>372</v>
      </c>
      <c r="D81" s="103" t="s">
        <v>132</v>
      </c>
      <c r="E81" s="86" t="s">
        <v>132</v>
      </c>
      <c r="F81" s="27">
        <v>5</v>
      </c>
      <c r="G81" s="27"/>
      <c r="H81" s="28"/>
      <c r="I81" s="22"/>
      <c r="J81" s="20">
        <v>31606.640000000003</v>
      </c>
      <c r="K81" s="24">
        <v>19939.231999999996</v>
      </c>
      <c r="L81" s="22"/>
      <c r="M81" s="67">
        <v>39508.300000000003</v>
      </c>
      <c r="N81" s="68">
        <v>24924.039999999997</v>
      </c>
      <c r="O81" s="22"/>
      <c r="P81" s="67">
        <v>49385.375</v>
      </c>
      <c r="Q81" s="270">
        <v>31155.049999999996</v>
      </c>
      <c r="R81" s="59">
        <f t="shared" si="33"/>
        <v>0</v>
      </c>
      <c r="S81" s="60">
        <f t="shared" si="34"/>
        <v>120500.315</v>
      </c>
      <c r="T81" s="61">
        <f t="shared" si="35"/>
        <v>76018.321999999986</v>
      </c>
      <c r="U81" s="278">
        <f t="shared" si="20"/>
        <v>196518.63699999999</v>
      </c>
    </row>
    <row r="82" spans="1:21" s="15" customFormat="1" x14ac:dyDescent="0.25">
      <c r="A82" s="254"/>
      <c r="B82" s="244" t="s">
        <v>323</v>
      </c>
      <c r="C82" s="18" t="s">
        <v>373</v>
      </c>
      <c r="D82" s="103" t="s">
        <v>132</v>
      </c>
      <c r="E82" s="86" t="s">
        <v>132</v>
      </c>
      <c r="F82" s="27">
        <v>11</v>
      </c>
      <c r="G82" s="27"/>
      <c r="H82" s="28"/>
      <c r="I82" s="22"/>
      <c r="J82" s="20">
        <v>93049.84</v>
      </c>
      <c r="K82" s="24">
        <v>38065.983999999997</v>
      </c>
      <c r="L82" s="22"/>
      <c r="M82" s="67">
        <v>116312.3</v>
      </c>
      <c r="N82" s="68">
        <v>47582.479999999996</v>
      </c>
      <c r="O82" s="22"/>
      <c r="P82" s="67">
        <v>145390.375</v>
      </c>
      <c r="Q82" s="270">
        <v>59478.1</v>
      </c>
      <c r="R82" s="59">
        <f t="shared" si="33"/>
        <v>0</v>
      </c>
      <c r="S82" s="60">
        <f t="shared" si="34"/>
        <v>354752.51500000001</v>
      </c>
      <c r="T82" s="61">
        <f t="shared" si="35"/>
        <v>145126.56399999998</v>
      </c>
      <c r="U82" s="278">
        <f t="shared" si="20"/>
        <v>499879.07900000003</v>
      </c>
    </row>
    <row r="83" spans="1:21" s="15" customFormat="1" x14ac:dyDescent="0.25">
      <c r="A83" s="254"/>
      <c r="B83" s="244" t="s">
        <v>323</v>
      </c>
      <c r="C83" s="18" t="s">
        <v>374</v>
      </c>
      <c r="D83" s="103" t="s">
        <v>132</v>
      </c>
      <c r="E83" s="86" t="s">
        <v>132</v>
      </c>
      <c r="F83" s="27">
        <v>17</v>
      </c>
      <c r="G83" s="27"/>
      <c r="H83" s="28"/>
      <c r="I83" s="22"/>
      <c r="J83" s="20">
        <v>194152.40000000002</v>
      </c>
      <c r="K83" s="24">
        <v>61426.080000000002</v>
      </c>
      <c r="L83" s="22"/>
      <c r="M83" s="67">
        <v>242690.50000000003</v>
      </c>
      <c r="N83" s="68">
        <v>76782.600000000006</v>
      </c>
      <c r="O83" s="22"/>
      <c r="P83" s="67">
        <v>303363.125</v>
      </c>
      <c r="Q83" s="270">
        <v>95978.25</v>
      </c>
      <c r="R83" s="59">
        <f t="shared" si="33"/>
        <v>0</v>
      </c>
      <c r="S83" s="60">
        <f t="shared" si="34"/>
        <v>740206.02500000002</v>
      </c>
      <c r="T83" s="61">
        <f t="shared" si="35"/>
        <v>234186.93</v>
      </c>
      <c r="U83" s="278">
        <f t="shared" si="20"/>
        <v>974392.95500000007</v>
      </c>
    </row>
    <row r="84" spans="1:21" s="15" customFormat="1" x14ac:dyDescent="0.25">
      <c r="A84" s="254"/>
      <c r="B84" s="244" t="s">
        <v>323</v>
      </c>
      <c r="C84" s="18" t="s">
        <v>375</v>
      </c>
      <c r="D84" s="103" t="s">
        <v>132</v>
      </c>
      <c r="E84" s="86" t="s">
        <v>132</v>
      </c>
      <c r="F84" s="27">
        <v>20</v>
      </c>
      <c r="G84" s="27"/>
      <c r="H84" s="28"/>
      <c r="I84" s="22"/>
      <c r="J84" s="20">
        <v>233415.52000000005</v>
      </c>
      <c r="K84" s="24">
        <v>61067.24</v>
      </c>
      <c r="L84" s="22"/>
      <c r="M84" s="67">
        <v>291769.40000000002</v>
      </c>
      <c r="N84" s="68">
        <v>76334.05</v>
      </c>
      <c r="O84" s="22"/>
      <c r="P84" s="67">
        <v>364711.75</v>
      </c>
      <c r="Q84" s="270">
        <v>95417.5625</v>
      </c>
      <c r="R84" s="59">
        <f t="shared" si="33"/>
        <v>0</v>
      </c>
      <c r="S84" s="60">
        <f t="shared" si="34"/>
        <v>889896.67</v>
      </c>
      <c r="T84" s="61">
        <f t="shared" si="35"/>
        <v>232818.85249999998</v>
      </c>
      <c r="U84" s="278">
        <f t="shared" si="20"/>
        <v>1122715.5225</v>
      </c>
    </row>
    <row r="85" spans="1:21" s="15" customFormat="1" x14ac:dyDescent="0.25">
      <c r="A85" s="254"/>
      <c r="B85" s="244" t="s">
        <v>323</v>
      </c>
      <c r="C85" s="18" t="s">
        <v>376</v>
      </c>
      <c r="D85" s="103" t="s">
        <v>132</v>
      </c>
      <c r="E85" s="86" t="s">
        <v>132</v>
      </c>
      <c r="F85" s="27">
        <v>9</v>
      </c>
      <c r="G85" s="27"/>
      <c r="H85" s="28"/>
      <c r="I85" s="22"/>
      <c r="J85" s="20">
        <v>73420.88</v>
      </c>
      <c r="K85" s="24">
        <v>80406.240000000005</v>
      </c>
      <c r="L85" s="22"/>
      <c r="M85" s="67">
        <v>91776.1</v>
      </c>
      <c r="N85" s="68">
        <v>100507.8</v>
      </c>
      <c r="O85" s="22"/>
      <c r="P85" s="67">
        <v>114720.125</v>
      </c>
      <c r="Q85" s="270">
        <v>125634.75</v>
      </c>
      <c r="R85" s="59">
        <f t="shared" si="33"/>
        <v>0</v>
      </c>
      <c r="S85" s="60">
        <f t="shared" si="34"/>
        <v>279917.10499999998</v>
      </c>
      <c r="T85" s="61">
        <f t="shared" si="35"/>
        <v>306548.78999999998</v>
      </c>
      <c r="U85" s="278">
        <f t="shared" si="20"/>
        <v>586465.89500000002</v>
      </c>
    </row>
    <row r="86" spans="1:21" s="15" customFormat="1" x14ac:dyDescent="0.25">
      <c r="A86" s="254"/>
      <c r="B86" s="244" t="s">
        <v>323</v>
      </c>
      <c r="C86" s="18" t="s">
        <v>377</v>
      </c>
      <c r="D86" s="103" t="s">
        <v>132</v>
      </c>
      <c r="E86" s="86" t="s">
        <v>132</v>
      </c>
      <c r="F86" s="27">
        <v>7</v>
      </c>
      <c r="G86" s="27"/>
      <c r="H86" s="28"/>
      <c r="I86" s="22"/>
      <c r="J86" s="20">
        <v>74599.200000000012</v>
      </c>
      <c r="K86" s="24">
        <v>40939.623999999996</v>
      </c>
      <c r="L86" s="22"/>
      <c r="M86" s="67">
        <v>93249</v>
      </c>
      <c r="N86" s="68">
        <v>51174.53</v>
      </c>
      <c r="O86" s="22"/>
      <c r="P86" s="67">
        <v>116561.25</v>
      </c>
      <c r="Q86" s="270">
        <v>63968.162500000006</v>
      </c>
      <c r="R86" s="59">
        <f t="shared" si="33"/>
        <v>0</v>
      </c>
      <c r="S86" s="60">
        <f t="shared" si="34"/>
        <v>284409.45</v>
      </c>
      <c r="T86" s="61">
        <f t="shared" si="35"/>
        <v>156082.31650000002</v>
      </c>
      <c r="U86" s="278">
        <f t="shared" si="20"/>
        <v>440491.76650000003</v>
      </c>
    </row>
    <row r="87" spans="1:21" s="15" customFormat="1" x14ac:dyDescent="0.25">
      <c r="A87" s="254"/>
      <c r="B87" s="244" t="s">
        <v>323</v>
      </c>
      <c r="C87" s="18" t="s">
        <v>384</v>
      </c>
      <c r="D87" s="103" t="s">
        <v>132</v>
      </c>
      <c r="E87" s="86" t="s">
        <v>132</v>
      </c>
      <c r="F87" s="27">
        <v>24</v>
      </c>
      <c r="G87" s="27"/>
      <c r="H87" s="28"/>
      <c r="I87" s="22"/>
      <c r="J87" s="20" t="e">
        <f>+#REF!</f>
        <v>#REF!</v>
      </c>
      <c r="K87" s="24"/>
      <c r="L87" s="22"/>
      <c r="M87" s="67" t="e">
        <f>+#REF!</f>
        <v>#REF!</v>
      </c>
      <c r="N87" s="68"/>
      <c r="O87" s="22"/>
      <c r="P87" s="67" t="e">
        <f>+#REF!</f>
        <v>#REF!</v>
      </c>
      <c r="Q87" s="270"/>
      <c r="R87" s="59">
        <f t="shared" si="33"/>
        <v>0</v>
      </c>
      <c r="S87" s="60" t="e">
        <f t="shared" si="34"/>
        <v>#REF!</v>
      </c>
      <c r="T87" s="61">
        <f t="shared" si="35"/>
        <v>0</v>
      </c>
      <c r="U87" s="278" t="e">
        <f t="shared" si="20"/>
        <v>#REF!</v>
      </c>
    </row>
    <row r="88" spans="1:21" s="15" customFormat="1" x14ac:dyDescent="0.25">
      <c r="A88" s="254"/>
      <c r="B88" s="244" t="s">
        <v>323</v>
      </c>
      <c r="C88" s="18" t="s">
        <v>349</v>
      </c>
      <c r="D88" s="103" t="s">
        <v>132</v>
      </c>
      <c r="E88" s="86" t="s">
        <v>132</v>
      </c>
      <c r="F88" s="27"/>
      <c r="G88" s="27"/>
      <c r="H88" s="28"/>
      <c r="I88" s="22"/>
      <c r="J88" s="20">
        <v>89361.702127659577</v>
      </c>
      <c r="K88" s="24"/>
      <c r="L88" s="22"/>
      <c r="M88" s="67">
        <v>112595.74468085107</v>
      </c>
      <c r="N88" s="68"/>
      <c r="O88" s="22"/>
      <c r="P88" s="67">
        <v>141870.63829787236</v>
      </c>
      <c r="Q88" s="270"/>
      <c r="R88" s="59">
        <f t="shared" si="33"/>
        <v>0</v>
      </c>
      <c r="S88" s="60">
        <f t="shared" si="34"/>
        <v>343828.08510638302</v>
      </c>
      <c r="T88" s="61">
        <f t="shared" si="35"/>
        <v>0</v>
      </c>
      <c r="U88" s="278">
        <f t="shared" si="20"/>
        <v>343828.08510638302</v>
      </c>
    </row>
    <row r="89" spans="1:21" s="15" customFormat="1" x14ac:dyDescent="0.25">
      <c r="A89" s="254"/>
      <c r="B89" s="244" t="s">
        <v>323</v>
      </c>
      <c r="C89" s="18" t="s">
        <v>83</v>
      </c>
      <c r="D89" s="103" t="s">
        <v>36</v>
      </c>
      <c r="E89" s="86" t="s">
        <v>36</v>
      </c>
      <c r="F89" s="27"/>
      <c r="G89" s="27"/>
      <c r="H89" s="28"/>
      <c r="I89" s="22"/>
      <c r="J89" s="20" t="e">
        <f>+#REF!</f>
        <v>#REF!</v>
      </c>
      <c r="K89" s="24"/>
      <c r="L89" s="22"/>
      <c r="M89" s="67" t="e">
        <f>+#REF!</f>
        <v>#REF!</v>
      </c>
      <c r="N89" s="68"/>
      <c r="O89" s="22"/>
      <c r="P89" s="67" t="e">
        <f>+#REF!</f>
        <v>#REF!</v>
      </c>
      <c r="Q89" s="270"/>
      <c r="R89" s="59">
        <f t="shared" si="33"/>
        <v>0</v>
      </c>
      <c r="S89" s="60" t="e">
        <f t="shared" si="34"/>
        <v>#REF!</v>
      </c>
      <c r="T89" s="61">
        <f t="shared" si="35"/>
        <v>0</v>
      </c>
      <c r="U89" s="278" t="e">
        <f t="shared" si="20"/>
        <v>#REF!</v>
      </c>
    </row>
    <row r="90" spans="1:21" s="15" customFormat="1" x14ac:dyDescent="0.25">
      <c r="A90" s="254"/>
      <c r="B90" s="244" t="s">
        <v>323</v>
      </c>
      <c r="C90" s="18" t="s">
        <v>34</v>
      </c>
      <c r="D90" s="103" t="s">
        <v>240</v>
      </c>
      <c r="E90" s="86" t="s">
        <v>240</v>
      </c>
      <c r="F90" s="27"/>
      <c r="G90" s="27"/>
      <c r="H90" s="28"/>
      <c r="I90" s="22">
        <f>61500*0.6</f>
        <v>36900</v>
      </c>
      <c r="J90" s="20">
        <f>61500*0.4</f>
        <v>24600</v>
      </c>
      <c r="K90" s="24"/>
      <c r="L90" s="22">
        <f>64575*0.6</f>
        <v>38745</v>
      </c>
      <c r="M90" s="67">
        <f>64575*0.4</f>
        <v>25830</v>
      </c>
      <c r="N90" s="68"/>
      <c r="O90" s="22">
        <f>67804*0.6</f>
        <v>40682.400000000001</v>
      </c>
      <c r="P90" s="67">
        <f>67804*0.4</f>
        <v>27121.600000000002</v>
      </c>
      <c r="Q90" s="270"/>
      <c r="R90" s="59">
        <f t="shared" si="33"/>
        <v>116327.4</v>
      </c>
      <c r="S90" s="60">
        <f t="shared" si="34"/>
        <v>77551.600000000006</v>
      </c>
      <c r="T90" s="61">
        <f t="shared" si="35"/>
        <v>0</v>
      </c>
      <c r="U90" s="278">
        <f t="shared" si="20"/>
        <v>193879</v>
      </c>
    </row>
    <row r="91" spans="1:21" x14ac:dyDescent="0.25">
      <c r="A91" s="253" t="s">
        <v>456</v>
      </c>
      <c r="B91" s="224"/>
      <c r="C91" s="221" t="s">
        <v>455</v>
      </c>
      <c r="D91" s="222"/>
      <c r="E91" s="223"/>
      <c r="F91" s="204"/>
      <c r="G91" s="204"/>
      <c r="H91" s="224"/>
      <c r="I91" s="225"/>
      <c r="J91" s="224"/>
      <c r="K91" s="226"/>
      <c r="L91" s="225"/>
      <c r="M91" s="224"/>
      <c r="N91" s="226"/>
      <c r="O91" s="225"/>
      <c r="P91" s="224"/>
      <c r="Q91" s="224"/>
      <c r="R91" s="225"/>
      <c r="S91" s="224"/>
      <c r="T91" s="226"/>
      <c r="U91" s="226"/>
    </row>
    <row r="92" spans="1:21" s="15" customFormat="1" ht="45" x14ac:dyDescent="0.25">
      <c r="A92" s="254"/>
      <c r="B92" s="244" t="s">
        <v>323</v>
      </c>
      <c r="C92" s="18" t="s">
        <v>329</v>
      </c>
      <c r="D92" s="205" t="s">
        <v>420</v>
      </c>
      <c r="E92" s="86" t="s">
        <v>310</v>
      </c>
      <c r="F92" s="27">
        <v>1300</v>
      </c>
      <c r="G92" s="27"/>
      <c r="H92" s="206">
        <v>1681.25</v>
      </c>
      <c r="I92" s="22">
        <f>+F92*0.4*H92</f>
        <v>874250</v>
      </c>
      <c r="J92" s="20"/>
      <c r="K92" s="24"/>
      <c r="L92" s="22">
        <f>+F92*0.6*H92</f>
        <v>1311375</v>
      </c>
      <c r="M92" s="67"/>
      <c r="N92" s="68"/>
      <c r="O92" s="22">
        <v>0</v>
      </c>
      <c r="P92" s="67"/>
      <c r="Q92" s="270"/>
      <c r="R92" s="59">
        <f>+O92+L92+I92</f>
        <v>2185625</v>
      </c>
      <c r="S92" s="60">
        <f t="shared" ref="S92:T92" si="36">+P92+M92+J92</f>
        <v>0</v>
      </c>
      <c r="T92" s="61">
        <f t="shared" si="36"/>
        <v>0</v>
      </c>
      <c r="U92" s="278">
        <f t="shared" ref="U92" si="37">+R92+S92+T92</f>
        <v>2185625</v>
      </c>
    </row>
    <row r="93" spans="1:21" x14ac:dyDescent="0.25">
      <c r="A93" s="253" t="s">
        <v>457</v>
      </c>
      <c r="B93" s="224"/>
      <c r="C93" s="221" t="s">
        <v>466</v>
      </c>
      <c r="D93" s="222"/>
      <c r="E93" s="223"/>
      <c r="F93" s="204"/>
      <c r="G93" s="204"/>
      <c r="H93" s="224"/>
      <c r="I93" s="225"/>
      <c r="J93" s="224"/>
      <c r="K93" s="226"/>
      <c r="L93" s="225"/>
      <c r="M93" s="224"/>
      <c r="N93" s="226"/>
      <c r="O93" s="225"/>
      <c r="P93" s="224"/>
      <c r="Q93" s="224"/>
      <c r="R93" s="225"/>
      <c r="S93" s="224"/>
      <c r="T93" s="226"/>
      <c r="U93" s="226"/>
    </row>
    <row r="94" spans="1:21" s="15" customFormat="1" ht="30" x14ac:dyDescent="0.25">
      <c r="A94" s="254"/>
      <c r="B94" s="244" t="s">
        <v>323</v>
      </c>
      <c r="C94" s="18" t="s">
        <v>421</v>
      </c>
      <c r="D94" s="205" t="s">
        <v>422</v>
      </c>
      <c r="E94" s="86" t="s">
        <v>337</v>
      </c>
      <c r="F94" s="27">
        <v>240</v>
      </c>
      <c r="G94" s="27"/>
      <c r="H94" s="28"/>
      <c r="I94" s="22">
        <f>4219944.11276242*0.3</f>
        <v>1265983.233828726</v>
      </c>
      <c r="J94" s="22">
        <f>4219944.11276242*0.7</f>
        <v>2953960.8789336942</v>
      </c>
      <c r="K94" s="24"/>
      <c r="L94" s="22">
        <f>6329916.16914363*0.3</f>
        <v>1898974.8507430889</v>
      </c>
      <c r="M94" s="22">
        <f>6329916.16914363*0.7</f>
        <v>4430941.3184005404</v>
      </c>
      <c r="N94" s="68"/>
      <c r="O94" s="22"/>
      <c r="P94" s="67"/>
      <c r="Q94" s="270"/>
      <c r="R94" s="59">
        <f>+O94+L94+I94</f>
        <v>3164958.0845718151</v>
      </c>
      <c r="S94" s="60">
        <f t="shared" ref="S94" si="38">+P94+M94+J94</f>
        <v>7384902.1973342346</v>
      </c>
      <c r="T94" s="61">
        <f t="shared" ref="T94" si="39">+Q94+N94+K94</f>
        <v>0</v>
      </c>
      <c r="U94" s="278">
        <f t="shared" ref="U94" si="40">+R94+S94+T94</f>
        <v>10549860.28190605</v>
      </c>
    </row>
    <row r="95" spans="1:21" x14ac:dyDescent="0.25">
      <c r="A95" s="253" t="s">
        <v>458</v>
      </c>
      <c r="B95" s="224"/>
      <c r="C95" s="221" t="s">
        <v>465</v>
      </c>
      <c r="D95" s="222"/>
      <c r="E95" s="223"/>
      <c r="F95" s="204"/>
      <c r="G95" s="204"/>
      <c r="H95" s="224"/>
      <c r="I95" s="225"/>
      <c r="J95" s="224"/>
      <c r="K95" s="226"/>
      <c r="L95" s="225"/>
      <c r="M95" s="224"/>
      <c r="N95" s="226"/>
      <c r="O95" s="225"/>
      <c r="P95" s="224"/>
      <c r="Q95" s="224"/>
      <c r="R95" s="225"/>
      <c r="S95" s="224"/>
      <c r="T95" s="226"/>
      <c r="U95" s="226"/>
    </row>
    <row r="96" spans="1:21" s="15" customFormat="1" x14ac:dyDescent="0.25">
      <c r="A96" s="254"/>
      <c r="B96" s="244" t="s">
        <v>323</v>
      </c>
      <c r="C96" s="18" t="s">
        <v>343</v>
      </c>
      <c r="D96" s="103" t="s">
        <v>338</v>
      </c>
      <c r="E96" s="86" t="s">
        <v>338</v>
      </c>
      <c r="F96" s="27"/>
      <c r="G96" s="27"/>
      <c r="H96" s="28"/>
      <c r="I96" s="22">
        <v>62350</v>
      </c>
      <c r="J96" s="20"/>
      <c r="K96" s="24"/>
      <c r="L96" s="22">
        <v>65467.5</v>
      </c>
      <c r="M96" s="67"/>
      <c r="N96" s="68"/>
      <c r="O96" s="22">
        <v>68740.875</v>
      </c>
      <c r="P96" s="67"/>
      <c r="Q96" s="270"/>
      <c r="R96" s="59">
        <f t="shared" ref="R96:T96" si="41">+O96+L96+I96</f>
        <v>196558.375</v>
      </c>
      <c r="S96" s="60">
        <f t="shared" si="41"/>
        <v>0</v>
      </c>
      <c r="T96" s="61">
        <f t="shared" si="41"/>
        <v>0</v>
      </c>
      <c r="U96" s="278">
        <f t="shared" ref="U96" si="42">+R96+S96+T96</f>
        <v>196558.375</v>
      </c>
    </row>
    <row r="97" spans="1:21" x14ac:dyDescent="0.25">
      <c r="A97" s="253" t="s">
        <v>459</v>
      </c>
      <c r="B97" s="224"/>
      <c r="C97" s="221" t="s">
        <v>464</v>
      </c>
      <c r="D97" s="222"/>
      <c r="E97" s="223"/>
      <c r="F97" s="204"/>
      <c r="G97" s="204"/>
      <c r="H97" s="224"/>
      <c r="I97" s="225"/>
      <c r="J97" s="224"/>
      <c r="K97" s="226"/>
      <c r="L97" s="225"/>
      <c r="M97" s="224"/>
      <c r="N97" s="226"/>
      <c r="O97" s="225"/>
      <c r="P97" s="224"/>
      <c r="Q97" s="224"/>
      <c r="R97" s="225"/>
      <c r="S97" s="224"/>
      <c r="T97" s="226"/>
      <c r="U97" s="226"/>
    </row>
    <row r="98" spans="1:21" s="15" customFormat="1" x14ac:dyDescent="0.25">
      <c r="A98" s="254"/>
      <c r="B98" s="244" t="s">
        <v>323</v>
      </c>
      <c r="C98" s="18" t="s">
        <v>335</v>
      </c>
      <c r="D98" s="103" t="s">
        <v>339</v>
      </c>
      <c r="E98" s="86" t="s">
        <v>339</v>
      </c>
      <c r="F98" s="27"/>
      <c r="G98" s="27"/>
      <c r="H98" s="28"/>
      <c r="I98" s="22">
        <v>320000</v>
      </c>
      <c r="J98" s="20"/>
      <c r="K98" s="24"/>
      <c r="L98" s="22">
        <v>80000</v>
      </c>
      <c r="M98" s="67"/>
      <c r="N98" s="68"/>
      <c r="O98" s="22"/>
      <c r="P98" s="67"/>
      <c r="Q98" s="270"/>
      <c r="R98" s="59">
        <f t="shared" ref="R98:T99" si="43">+O98+L98+I98</f>
        <v>400000</v>
      </c>
      <c r="S98" s="60">
        <f t="shared" si="43"/>
        <v>0</v>
      </c>
      <c r="T98" s="61">
        <f t="shared" si="43"/>
        <v>0</v>
      </c>
      <c r="U98" s="278">
        <f t="shared" ref="U98:U99" si="44">+R98+S98+T98</f>
        <v>400000</v>
      </c>
    </row>
    <row r="99" spans="1:21" s="15" customFormat="1" x14ac:dyDescent="0.25">
      <c r="A99" s="254"/>
      <c r="B99" s="244" t="s">
        <v>323</v>
      </c>
      <c r="C99" s="18" t="s">
        <v>336</v>
      </c>
      <c r="D99" s="103" t="s">
        <v>339</v>
      </c>
      <c r="E99" s="86" t="s">
        <v>339</v>
      </c>
      <c r="F99" s="27"/>
      <c r="G99" s="27"/>
      <c r="H99" s="28"/>
      <c r="I99" s="22"/>
      <c r="J99" s="20"/>
      <c r="K99" s="24"/>
      <c r="L99" s="22">
        <v>100440</v>
      </c>
      <c r="M99" s="67"/>
      <c r="N99" s="68"/>
      <c r="O99" s="22">
        <v>401760</v>
      </c>
      <c r="P99" s="67"/>
      <c r="Q99" s="270"/>
      <c r="R99" s="59">
        <f t="shared" si="43"/>
        <v>502200</v>
      </c>
      <c r="S99" s="60">
        <f t="shared" si="43"/>
        <v>0</v>
      </c>
      <c r="T99" s="61">
        <f t="shared" si="43"/>
        <v>0</v>
      </c>
      <c r="U99" s="278">
        <f t="shared" si="44"/>
        <v>502200</v>
      </c>
    </row>
    <row r="100" spans="1:21" x14ac:dyDescent="0.25">
      <c r="A100" s="253" t="s">
        <v>460</v>
      </c>
      <c r="B100" s="224"/>
      <c r="C100" s="221" t="s">
        <v>463</v>
      </c>
      <c r="D100" s="222"/>
      <c r="E100" s="223"/>
      <c r="F100" s="204"/>
      <c r="G100" s="204"/>
      <c r="H100" s="224"/>
      <c r="I100" s="225"/>
      <c r="J100" s="224"/>
      <c r="K100" s="226"/>
      <c r="L100" s="225"/>
      <c r="M100" s="224"/>
      <c r="N100" s="226"/>
      <c r="O100" s="225"/>
      <c r="P100" s="224"/>
      <c r="Q100" s="224"/>
      <c r="R100" s="225"/>
      <c r="S100" s="224"/>
      <c r="T100" s="226"/>
      <c r="U100" s="226"/>
    </row>
    <row r="101" spans="1:21" s="15" customFormat="1" ht="90" x14ac:dyDescent="0.25">
      <c r="A101" s="254"/>
      <c r="B101" s="244" t="s">
        <v>323</v>
      </c>
      <c r="C101" s="18" t="s">
        <v>423</v>
      </c>
      <c r="D101" s="103" t="s">
        <v>248</v>
      </c>
      <c r="E101" s="86" t="s">
        <v>248</v>
      </c>
      <c r="F101" s="27"/>
      <c r="G101" s="27"/>
      <c r="H101" s="28"/>
      <c r="I101" s="22">
        <v>45000</v>
      </c>
      <c r="J101" s="20"/>
      <c r="K101" s="24"/>
      <c r="L101" s="22"/>
      <c r="M101" s="67"/>
      <c r="N101" s="68"/>
      <c r="O101" s="22">
        <v>250000</v>
      </c>
      <c r="P101" s="67"/>
      <c r="Q101" s="270"/>
      <c r="R101" s="59">
        <f t="shared" ref="R101:T101" si="45">+O101+L101+I101</f>
        <v>295000</v>
      </c>
      <c r="S101" s="60">
        <f t="shared" si="45"/>
        <v>0</v>
      </c>
      <c r="T101" s="61">
        <f t="shared" si="45"/>
        <v>0</v>
      </c>
      <c r="U101" s="278">
        <f t="shared" ref="U101" si="46">+R101+S101+T101</f>
        <v>295000</v>
      </c>
    </row>
    <row r="102" spans="1:21" x14ac:dyDescent="0.25">
      <c r="A102" s="253" t="s">
        <v>461</v>
      </c>
      <c r="B102" s="224"/>
      <c r="C102" s="221" t="s">
        <v>462</v>
      </c>
      <c r="D102" s="222"/>
      <c r="E102" s="223"/>
      <c r="F102" s="204"/>
      <c r="G102" s="204"/>
      <c r="H102" s="224"/>
      <c r="I102" s="225"/>
      <c r="J102" s="224"/>
      <c r="K102" s="226"/>
      <c r="L102" s="225"/>
      <c r="M102" s="224"/>
      <c r="N102" s="226"/>
      <c r="O102" s="225"/>
      <c r="P102" s="224"/>
      <c r="Q102" s="224"/>
      <c r="R102" s="225"/>
      <c r="S102" s="224"/>
      <c r="T102" s="226"/>
      <c r="U102" s="226"/>
    </row>
    <row r="103" spans="1:21" s="15" customFormat="1" x14ac:dyDescent="0.25">
      <c r="A103" s="254"/>
      <c r="B103" s="244" t="s">
        <v>323</v>
      </c>
      <c r="C103" s="18" t="s">
        <v>34</v>
      </c>
      <c r="D103" s="103" t="s">
        <v>136</v>
      </c>
      <c r="E103" s="86" t="s">
        <v>136</v>
      </c>
      <c r="F103" s="27"/>
      <c r="G103" s="27"/>
      <c r="H103" s="28"/>
      <c r="I103" s="22">
        <f>950000*0.5</f>
        <v>475000</v>
      </c>
      <c r="J103" s="20"/>
      <c r="K103" s="24"/>
      <c r="L103" s="22">
        <f>950000*0.5</f>
        <v>475000</v>
      </c>
      <c r="M103" s="67"/>
      <c r="N103" s="68"/>
      <c r="O103" s="22">
        <f>950000*0.5</f>
        <v>475000</v>
      </c>
      <c r="P103" s="67"/>
      <c r="Q103" s="270"/>
      <c r="R103" s="59">
        <f t="shared" ref="R103:T105" si="47">+O103+L103+I103</f>
        <v>1425000</v>
      </c>
      <c r="S103" s="60">
        <f t="shared" si="47"/>
        <v>0</v>
      </c>
      <c r="T103" s="61">
        <f t="shared" si="47"/>
        <v>0</v>
      </c>
      <c r="U103" s="278">
        <f t="shared" ref="U103:U105" si="48">+R103+S103+T103</f>
        <v>1425000</v>
      </c>
    </row>
    <row r="104" spans="1:21" s="15" customFormat="1" x14ac:dyDescent="0.25">
      <c r="A104" s="254"/>
      <c r="B104" s="244" t="s">
        <v>323</v>
      </c>
      <c r="C104" s="18" t="s">
        <v>8</v>
      </c>
      <c r="D104" s="103" t="s">
        <v>136</v>
      </c>
      <c r="E104" s="86" t="s">
        <v>136</v>
      </c>
      <c r="F104" s="27"/>
      <c r="G104" s="27"/>
      <c r="H104" s="28"/>
      <c r="I104" s="22">
        <f>950000*0.1</f>
        <v>95000</v>
      </c>
      <c r="J104" s="20"/>
      <c r="K104" s="24"/>
      <c r="L104" s="22">
        <f>950000*0.1</f>
        <v>95000</v>
      </c>
      <c r="M104" s="67"/>
      <c r="N104" s="68"/>
      <c r="O104" s="22">
        <f>950000*0.1</f>
        <v>95000</v>
      </c>
      <c r="P104" s="67"/>
      <c r="Q104" s="270"/>
      <c r="R104" s="59">
        <f t="shared" si="47"/>
        <v>285000</v>
      </c>
      <c r="S104" s="60">
        <f t="shared" si="47"/>
        <v>0</v>
      </c>
      <c r="T104" s="61">
        <f t="shared" si="47"/>
        <v>0</v>
      </c>
      <c r="U104" s="278">
        <f t="shared" si="48"/>
        <v>285000</v>
      </c>
    </row>
    <row r="105" spans="1:21" s="15" customFormat="1" x14ac:dyDescent="0.25">
      <c r="A105" s="254"/>
      <c r="B105" s="244" t="s">
        <v>323</v>
      </c>
      <c r="C105" s="18" t="s">
        <v>9</v>
      </c>
      <c r="D105" s="103" t="s">
        <v>136</v>
      </c>
      <c r="E105" s="86" t="s">
        <v>136</v>
      </c>
      <c r="F105" s="27"/>
      <c r="G105" s="27"/>
      <c r="H105" s="28"/>
      <c r="I105" s="22">
        <f>950000*0.4</f>
        <v>380000</v>
      </c>
      <c r="J105" s="20"/>
      <c r="K105" s="24"/>
      <c r="L105" s="22">
        <f>950000*0.4</f>
        <v>380000</v>
      </c>
      <c r="M105" s="67"/>
      <c r="N105" s="68"/>
      <c r="O105" s="22">
        <f>950000*0.4</f>
        <v>380000</v>
      </c>
      <c r="P105" s="67"/>
      <c r="Q105" s="270"/>
      <c r="R105" s="59">
        <f t="shared" si="47"/>
        <v>1140000</v>
      </c>
      <c r="S105" s="60">
        <f t="shared" si="47"/>
        <v>0</v>
      </c>
      <c r="T105" s="61">
        <f t="shared" si="47"/>
        <v>0</v>
      </c>
      <c r="U105" s="278">
        <f t="shared" si="48"/>
        <v>1140000</v>
      </c>
    </row>
    <row r="106" spans="1:21" x14ac:dyDescent="0.25">
      <c r="A106" s="252" t="s">
        <v>411</v>
      </c>
      <c r="B106" s="243" t="s">
        <v>413</v>
      </c>
      <c r="C106" s="216"/>
      <c r="D106" s="217"/>
      <c r="E106" s="217"/>
      <c r="F106" s="217"/>
      <c r="G106" s="217"/>
      <c r="H106" s="217"/>
      <c r="I106" s="218"/>
      <c r="J106" s="219"/>
      <c r="K106" s="220"/>
      <c r="L106" s="218"/>
      <c r="M106" s="219"/>
      <c r="N106" s="220"/>
      <c r="O106" s="218"/>
      <c r="P106" s="219"/>
      <c r="Q106" s="219"/>
      <c r="R106" s="218"/>
      <c r="S106" s="219"/>
      <c r="T106" s="220"/>
      <c r="U106" s="277"/>
    </row>
    <row r="107" spans="1:21" s="15" customFormat="1" x14ac:dyDescent="0.25">
      <c r="A107" s="254"/>
      <c r="B107" s="244" t="s">
        <v>323</v>
      </c>
      <c r="C107" s="18" t="s">
        <v>414</v>
      </c>
      <c r="D107" s="205" t="s">
        <v>415</v>
      </c>
      <c r="E107" s="86" t="s">
        <v>327</v>
      </c>
      <c r="F107" s="27">
        <v>1174</v>
      </c>
      <c r="G107" s="27"/>
      <c r="H107" s="206">
        <v>8700</v>
      </c>
      <c r="I107" s="22">
        <f>+H107*F107</f>
        <v>10213800</v>
      </c>
      <c r="J107" s="20"/>
      <c r="K107" s="24"/>
      <c r="L107" s="22"/>
      <c r="M107" s="67"/>
      <c r="N107" s="68"/>
      <c r="O107" s="22"/>
      <c r="P107" s="67"/>
      <c r="Q107" s="270"/>
      <c r="R107" s="59">
        <f t="shared" ref="R107:T111" si="49">+O107+L107+I107</f>
        <v>10213800</v>
      </c>
      <c r="S107" s="60">
        <f t="shared" si="49"/>
        <v>0</v>
      </c>
      <c r="T107" s="61">
        <f t="shared" si="49"/>
        <v>0</v>
      </c>
      <c r="U107" s="278">
        <f t="shared" ref="U107:U111" si="50">+R107+S107+T107</f>
        <v>10213800</v>
      </c>
    </row>
    <row r="108" spans="1:21" s="15" customFormat="1" x14ac:dyDescent="0.25">
      <c r="A108" s="254"/>
      <c r="B108" s="244" t="s">
        <v>323</v>
      </c>
      <c r="C108" s="18" t="s">
        <v>414</v>
      </c>
      <c r="D108" s="205" t="s">
        <v>416</v>
      </c>
      <c r="E108" s="86" t="s">
        <v>327</v>
      </c>
      <c r="F108" s="27">
        <v>1174</v>
      </c>
      <c r="G108" s="27"/>
      <c r="H108" s="206">
        <v>1070</v>
      </c>
      <c r="I108" s="22">
        <f t="shared" ref="I108:I111" si="51">+H108*F108</f>
        <v>1256180</v>
      </c>
      <c r="J108" s="20"/>
      <c r="K108" s="24"/>
      <c r="L108" s="22"/>
      <c r="M108" s="67"/>
      <c r="N108" s="68"/>
      <c r="O108" s="22"/>
      <c r="P108" s="67"/>
      <c r="Q108" s="270"/>
      <c r="R108" s="59">
        <f t="shared" si="49"/>
        <v>1256180</v>
      </c>
      <c r="S108" s="60">
        <f t="shared" si="49"/>
        <v>0</v>
      </c>
      <c r="T108" s="61">
        <f t="shared" si="49"/>
        <v>0</v>
      </c>
      <c r="U108" s="278">
        <f t="shared" si="50"/>
        <v>1256180</v>
      </c>
    </row>
    <row r="109" spans="1:21" s="15" customFormat="1" x14ac:dyDescent="0.25">
      <c r="A109" s="254"/>
      <c r="B109" s="244" t="s">
        <v>323</v>
      </c>
      <c r="C109" s="18" t="s">
        <v>414</v>
      </c>
      <c r="D109" s="205" t="s">
        <v>417</v>
      </c>
      <c r="E109" s="86" t="s">
        <v>327</v>
      </c>
      <c r="F109" s="27">
        <v>1174</v>
      </c>
      <c r="G109" s="27"/>
      <c r="H109" s="206">
        <v>6500</v>
      </c>
      <c r="I109" s="22">
        <f t="shared" si="51"/>
        <v>7631000</v>
      </c>
      <c r="J109" s="20"/>
      <c r="K109" s="24"/>
      <c r="L109" s="22"/>
      <c r="M109" s="67"/>
      <c r="N109" s="68"/>
      <c r="O109" s="22"/>
      <c r="P109" s="67"/>
      <c r="Q109" s="270"/>
      <c r="R109" s="59">
        <f t="shared" si="49"/>
        <v>7631000</v>
      </c>
      <c r="S109" s="60">
        <f t="shared" si="49"/>
        <v>0</v>
      </c>
      <c r="T109" s="61">
        <f t="shared" si="49"/>
        <v>0</v>
      </c>
      <c r="U109" s="278">
        <f t="shared" si="50"/>
        <v>7631000</v>
      </c>
    </row>
    <row r="110" spans="1:21" s="15" customFormat="1" x14ac:dyDescent="0.25">
      <c r="A110" s="254"/>
      <c r="B110" s="244" t="s">
        <v>323</v>
      </c>
      <c r="C110" s="18" t="s">
        <v>414</v>
      </c>
      <c r="D110" s="205" t="s">
        <v>418</v>
      </c>
      <c r="E110" s="86" t="s">
        <v>327</v>
      </c>
      <c r="F110" s="27">
        <v>1174</v>
      </c>
      <c r="G110" s="27"/>
      <c r="H110" s="206">
        <v>8000</v>
      </c>
      <c r="I110" s="22">
        <f t="shared" si="51"/>
        <v>9392000</v>
      </c>
      <c r="J110" s="20"/>
      <c r="K110" s="24"/>
      <c r="L110" s="22"/>
      <c r="M110" s="67"/>
      <c r="N110" s="68"/>
      <c r="O110" s="22"/>
      <c r="P110" s="67"/>
      <c r="Q110" s="270"/>
      <c r="R110" s="59">
        <f t="shared" si="49"/>
        <v>9392000</v>
      </c>
      <c r="S110" s="60">
        <f t="shared" si="49"/>
        <v>0</v>
      </c>
      <c r="T110" s="61">
        <f t="shared" si="49"/>
        <v>0</v>
      </c>
      <c r="U110" s="278">
        <f t="shared" si="50"/>
        <v>9392000</v>
      </c>
    </row>
    <row r="111" spans="1:21" s="15" customFormat="1" ht="30" x14ac:dyDescent="0.25">
      <c r="A111" s="254"/>
      <c r="B111" s="244" t="s">
        <v>323</v>
      </c>
      <c r="C111" s="18" t="s">
        <v>414</v>
      </c>
      <c r="D111" s="205" t="s">
        <v>419</v>
      </c>
      <c r="E111" s="86" t="s">
        <v>327</v>
      </c>
      <c r="F111" s="27">
        <v>1174</v>
      </c>
      <c r="G111" s="27"/>
      <c r="H111" s="206">
        <v>1000</v>
      </c>
      <c r="I111" s="22">
        <f t="shared" si="51"/>
        <v>1174000</v>
      </c>
      <c r="J111" s="20"/>
      <c r="K111" s="24"/>
      <c r="L111" s="22"/>
      <c r="M111" s="67"/>
      <c r="N111" s="68"/>
      <c r="O111" s="22"/>
      <c r="P111" s="67"/>
      <c r="Q111" s="270"/>
      <c r="R111" s="59">
        <f t="shared" si="49"/>
        <v>1174000</v>
      </c>
      <c r="S111" s="60">
        <f t="shared" si="49"/>
        <v>0</v>
      </c>
      <c r="T111" s="61">
        <f t="shared" si="49"/>
        <v>0</v>
      </c>
      <c r="U111" s="278">
        <f t="shared" si="50"/>
        <v>1174000</v>
      </c>
    </row>
    <row r="112" spans="1:21" x14ac:dyDescent="0.25">
      <c r="A112" s="251">
        <v>2</v>
      </c>
      <c r="B112" s="242" t="s">
        <v>424</v>
      </c>
      <c r="C112" s="211"/>
      <c r="D112" s="212"/>
      <c r="E112" s="212"/>
      <c r="F112" s="212"/>
      <c r="G112" s="212"/>
      <c r="H112" s="212"/>
      <c r="I112" s="213"/>
      <c r="J112" s="214"/>
      <c r="K112" s="215"/>
      <c r="L112" s="213"/>
      <c r="M112" s="214"/>
      <c r="N112" s="215"/>
      <c r="O112" s="213"/>
      <c r="P112" s="214"/>
      <c r="Q112" s="214"/>
      <c r="R112" s="213"/>
      <c r="S112" s="214"/>
      <c r="T112" s="215"/>
      <c r="U112" s="276"/>
    </row>
    <row r="113" spans="1:21" x14ac:dyDescent="0.25">
      <c r="A113" s="252" t="s">
        <v>426</v>
      </c>
      <c r="B113" s="243" t="s">
        <v>425</v>
      </c>
      <c r="C113" s="216"/>
      <c r="D113" s="217"/>
      <c r="E113" s="217"/>
      <c r="F113" s="217"/>
      <c r="G113" s="217"/>
      <c r="H113" s="217"/>
      <c r="I113" s="218"/>
      <c r="J113" s="219"/>
      <c r="K113" s="220"/>
      <c r="L113" s="218"/>
      <c r="M113" s="219"/>
      <c r="N113" s="220"/>
      <c r="O113" s="218"/>
      <c r="P113" s="219"/>
      <c r="Q113" s="219"/>
      <c r="R113" s="218"/>
      <c r="S113" s="219"/>
      <c r="T113" s="220"/>
      <c r="U113" s="277"/>
    </row>
    <row r="114" spans="1:21" x14ac:dyDescent="0.25">
      <c r="A114" s="253" t="s">
        <v>427</v>
      </c>
      <c r="B114" s="224" t="s">
        <v>131</v>
      </c>
      <c r="C114" s="221" t="s">
        <v>467</v>
      </c>
      <c r="D114" s="222"/>
      <c r="E114" s="223"/>
      <c r="F114" s="204"/>
      <c r="G114" s="204"/>
      <c r="H114" s="224"/>
      <c r="I114" s="225"/>
      <c r="J114" s="224"/>
      <c r="K114" s="226"/>
      <c r="L114" s="225"/>
      <c r="M114" s="224"/>
      <c r="N114" s="226"/>
      <c r="O114" s="225"/>
      <c r="P114" s="224"/>
      <c r="Q114" s="224"/>
      <c r="R114" s="225"/>
      <c r="S114" s="224"/>
      <c r="T114" s="226"/>
      <c r="U114" s="226"/>
    </row>
    <row r="115" spans="1:21" x14ac:dyDescent="0.25">
      <c r="A115" s="255" t="s">
        <v>468</v>
      </c>
      <c r="B115" s="231" t="s">
        <v>131</v>
      </c>
      <c r="C115" s="227" t="s">
        <v>1</v>
      </c>
      <c r="D115" s="228"/>
      <c r="E115" s="229"/>
      <c r="F115" s="230"/>
      <c r="G115" s="230"/>
      <c r="H115" s="231"/>
      <c r="I115" s="232"/>
      <c r="J115" s="231"/>
      <c r="K115" s="233"/>
      <c r="L115" s="232"/>
      <c r="M115" s="231"/>
      <c r="N115" s="233"/>
      <c r="O115" s="232"/>
      <c r="P115" s="231"/>
      <c r="Q115" s="231"/>
      <c r="R115" s="232"/>
      <c r="S115" s="231"/>
      <c r="T115" s="233"/>
      <c r="U115" s="279"/>
    </row>
    <row r="116" spans="1:21" x14ac:dyDescent="0.25">
      <c r="A116" s="256"/>
      <c r="B116" s="245" t="s">
        <v>131</v>
      </c>
      <c r="C116" s="234" t="s">
        <v>16</v>
      </c>
      <c r="D116" s="234" t="s">
        <v>157</v>
      </c>
      <c r="E116" s="234" t="s">
        <v>132</v>
      </c>
      <c r="F116" s="235">
        <v>14</v>
      </c>
      <c r="G116" s="235"/>
      <c r="H116" s="236"/>
      <c r="I116" s="237"/>
      <c r="J116" s="238" t="e">
        <f>+#REF!</f>
        <v>#REF!</v>
      </c>
      <c r="K116" s="239"/>
      <c r="L116" s="237"/>
      <c r="M116" s="238" t="e">
        <f>+#REF!</f>
        <v>#REF!</v>
      </c>
      <c r="N116" s="239"/>
      <c r="O116" s="237"/>
      <c r="P116" s="238" t="e">
        <f>+#REF!</f>
        <v>#REF!</v>
      </c>
      <c r="Q116" s="271"/>
      <c r="R116" s="240">
        <f>+O116+L116+I116</f>
        <v>0</v>
      </c>
      <c r="S116" s="241" t="e">
        <f>+P116+M116+J116</f>
        <v>#REF!</v>
      </c>
      <c r="T116" s="282">
        <f>+Q116+N116+K116</f>
        <v>0</v>
      </c>
      <c r="U116" s="280" t="e">
        <f>+R116+S116+T116</f>
        <v>#REF!</v>
      </c>
    </row>
    <row r="117" spans="1:21" x14ac:dyDescent="0.25">
      <c r="A117" s="256"/>
      <c r="B117" s="246" t="s">
        <v>131</v>
      </c>
      <c r="C117" s="56" t="s">
        <v>16</v>
      </c>
      <c r="D117" s="56" t="s">
        <v>158</v>
      </c>
      <c r="E117" s="56" t="s">
        <v>132</v>
      </c>
      <c r="F117" s="63">
        <v>1</v>
      </c>
      <c r="G117" s="63"/>
      <c r="H117" s="64"/>
      <c r="I117" s="69"/>
      <c r="J117" s="70" t="e">
        <f>+#REF!</f>
        <v>#REF!</v>
      </c>
      <c r="K117" s="71"/>
      <c r="L117" s="69"/>
      <c r="M117" s="70" t="e">
        <f>+#REF!</f>
        <v>#REF!</v>
      </c>
      <c r="N117" s="71"/>
      <c r="O117" s="69"/>
      <c r="P117" s="70" t="e">
        <f>+#REF!</f>
        <v>#REF!</v>
      </c>
      <c r="Q117" s="272"/>
      <c r="R117" s="59">
        <f t="shared" ref="R117:R130" si="52">+O117+L117+I117</f>
        <v>0</v>
      </c>
      <c r="S117" s="60" t="e">
        <f t="shared" ref="S117:S130" si="53">+P117+M117+J117</f>
        <v>#REF!</v>
      </c>
      <c r="T117" s="61">
        <f t="shared" ref="T117:T130" si="54">+Q117+N117+K117</f>
        <v>0</v>
      </c>
      <c r="U117" s="278" t="e">
        <f t="shared" ref="U117:U180" si="55">+R117+S117+T117</f>
        <v>#REF!</v>
      </c>
    </row>
    <row r="118" spans="1:21" ht="30" x14ac:dyDescent="0.25">
      <c r="A118" s="256"/>
      <c r="B118" s="246" t="s">
        <v>131</v>
      </c>
      <c r="C118" s="56" t="s">
        <v>16</v>
      </c>
      <c r="D118" s="56" t="s">
        <v>159</v>
      </c>
      <c r="E118" s="56" t="s">
        <v>132</v>
      </c>
      <c r="F118" s="63">
        <v>1</v>
      </c>
      <c r="G118" s="63"/>
      <c r="H118" s="64"/>
      <c r="I118" s="72"/>
      <c r="J118" s="73" t="e">
        <f>+#REF!</f>
        <v>#REF!</v>
      </c>
      <c r="K118" s="74"/>
      <c r="L118" s="72"/>
      <c r="M118" s="73" t="e">
        <f>+#REF!</f>
        <v>#REF!</v>
      </c>
      <c r="N118" s="74"/>
      <c r="O118" s="72"/>
      <c r="P118" s="73" t="e">
        <f>+#REF!</f>
        <v>#REF!</v>
      </c>
      <c r="Q118" s="273"/>
      <c r="R118" s="59">
        <f t="shared" si="52"/>
        <v>0</v>
      </c>
      <c r="S118" s="60" t="e">
        <f t="shared" si="53"/>
        <v>#REF!</v>
      </c>
      <c r="T118" s="61">
        <f t="shared" si="54"/>
        <v>0</v>
      </c>
      <c r="U118" s="278" t="e">
        <f t="shared" si="55"/>
        <v>#REF!</v>
      </c>
    </row>
    <row r="119" spans="1:21" x14ac:dyDescent="0.25">
      <c r="A119" s="256"/>
      <c r="B119" s="246" t="s">
        <v>131</v>
      </c>
      <c r="C119" s="56" t="s">
        <v>160</v>
      </c>
      <c r="D119" s="56" t="s">
        <v>161</v>
      </c>
      <c r="E119" s="56" t="s">
        <v>132</v>
      </c>
      <c r="F119" s="63">
        <v>50</v>
      </c>
      <c r="G119" s="63"/>
      <c r="H119" s="64"/>
      <c r="I119" s="66"/>
      <c r="J119" s="67" t="e">
        <f>+#REF!</f>
        <v>#REF!</v>
      </c>
      <c r="K119" s="68"/>
      <c r="L119" s="66"/>
      <c r="M119" s="67" t="e">
        <f>+#REF!</f>
        <v>#REF!</v>
      </c>
      <c r="N119" s="68"/>
      <c r="O119" s="66"/>
      <c r="P119" s="67" t="e">
        <f>+#REF!</f>
        <v>#REF!</v>
      </c>
      <c r="Q119" s="270"/>
      <c r="R119" s="59">
        <f t="shared" si="52"/>
        <v>0</v>
      </c>
      <c r="S119" s="60" t="e">
        <f t="shared" si="53"/>
        <v>#REF!</v>
      </c>
      <c r="T119" s="61">
        <f t="shared" si="54"/>
        <v>0</v>
      </c>
      <c r="U119" s="278" t="e">
        <f t="shared" si="55"/>
        <v>#REF!</v>
      </c>
    </row>
    <row r="120" spans="1:21" ht="30" x14ac:dyDescent="0.25">
      <c r="A120" s="256"/>
      <c r="B120" s="246" t="s">
        <v>131</v>
      </c>
      <c r="C120" s="56" t="s">
        <v>162</v>
      </c>
      <c r="D120" s="56" t="s">
        <v>163</v>
      </c>
      <c r="E120" s="56" t="s">
        <v>132</v>
      </c>
      <c r="F120" s="63">
        <v>1</v>
      </c>
      <c r="G120" s="63"/>
      <c r="H120" s="64"/>
      <c r="I120" s="69"/>
      <c r="J120" s="70" t="e">
        <f>+#REF!</f>
        <v>#REF!</v>
      </c>
      <c r="K120" s="71"/>
      <c r="L120" s="69"/>
      <c r="M120" s="70" t="e">
        <f>+#REF!</f>
        <v>#REF!</v>
      </c>
      <c r="N120" s="71"/>
      <c r="O120" s="69"/>
      <c r="P120" s="70" t="e">
        <f>+#REF!</f>
        <v>#REF!</v>
      </c>
      <c r="Q120" s="272"/>
      <c r="R120" s="59">
        <f t="shared" si="52"/>
        <v>0</v>
      </c>
      <c r="S120" s="60" t="e">
        <f t="shared" si="53"/>
        <v>#REF!</v>
      </c>
      <c r="T120" s="61">
        <f t="shared" si="54"/>
        <v>0</v>
      </c>
      <c r="U120" s="278" t="e">
        <f t="shared" si="55"/>
        <v>#REF!</v>
      </c>
    </row>
    <row r="121" spans="1:21" ht="30" x14ac:dyDescent="0.25">
      <c r="A121" s="256"/>
      <c r="B121" s="246" t="s">
        <v>131</v>
      </c>
      <c r="C121" s="56" t="s">
        <v>164</v>
      </c>
      <c r="D121" s="56" t="s">
        <v>163</v>
      </c>
      <c r="E121" s="56" t="s">
        <v>132</v>
      </c>
      <c r="F121" s="63">
        <v>1</v>
      </c>
      <c r="G121" s="63"/>
      <c r="H121" s="64"/>
      <c r="I121" s="72"/>
      <c r="J121" s="73" t="e">
        <f>+#REF!</f>
        <v>#REF!</v>
      </c>
      <c r="K121" s="74"/>
      <c r="L121" s="72"/>
      <c r="M121" s="73" t="e">
        <f>+#REF!</f>
        <v>#REF!</v>
      </c>
      <c r="N121" s="74"/>
      <c r="O121" s="72"/>
      <c r="P121" s="73" t="e">
        <f>+#REF!</f>
        <v>#REF!</v>
      </c>
      <c r="Q121" s="273"/>
      <c r="R121" s="59">
        <f t="shared" si="52"/>
        <v>0</v>
      </c>
      <c r="S121" s="60" t="e">
        <f t="shared" si="53"/>
        <v>#REF!</v>
      </c>
      <c r="T121" s="61">
        <f t="shared" si="54"/>
        <v>0</v>
      </c>
      <c r="U121" s="278" t="e">
        <f t="shared" si="55"/>
        <v>#REF!</v>
      </c>
    </row>
    <row r="122" spans="1:21" ht="30" x14ac:dyDescent="0.25">
      <c r="A122" s="256"/>
      <c r="B122" s="246" t="s">
        <v>131</v>
      </c>
      <c r="C122" s="56" t="s">
        <v>165</v>
      </c>
      <c r="D122" s="56" t="s">
        <v>163</v>
      </c>
      <c r="E122" s="56" t="s">
        <v>132</v>
      </c>
      <c r="F122" s="63">
        <v>1</v>
      </c>
      <c r="G122" s="63"/>
      <c r="H122" s="64"/>
      <c r="I122" s="66"/>
      <c r="J122" s="67" t="e">
        <f>+#REF!</f>
        <v>#REF!</v>
      </c>
      <c r="K122" s="68"/>
      <c r="L122" s="66"/>
      <c r="M122" s="67" t="e">
        <f>+#REF!</f>
        <v>#REF!</v>
      </c>
      <c r="N122" s="68"/>
      <c r="O122" s="66"/>
      <c r="P122" s="67" t="e">
        <f>+#REF!</f>
        <v>#REF!</v>
      </c>
      <c r="Q122" s="270"/>
      <c r="R122" s="59">
        <f t="shared" si="52"/>
        <v>0</v>
      </c>
      <c r="S122" s="60" t="e">
        <f t="shared" si="53"/>
        <v>#REF!</v>
      </c>
      <c r="T122" s="61">
        <f t="shared" si="54"/>
        <v>0</v>
      </c>
      <c r="U122" s="278" t="e">
        <f t="shared" si="55"/>
        <v>#REF!</v>
      </c>
    </row>
    <row r="123" spans="1:21" x14ac:dyDescent="0.25">
      <c r="A123" s="256"/>
      <c r="B123" s="246" t="s">
        <v>131</v>
      </c>
      <c r="C123" s="56" t="s">
        <v>55</v>
      </c>
      <c r="D123" s="56" t="s">
        <v>166</v>
      </c>
      <c r="E123" s="56" t="s">
        <v>132</v>
      </c>
      <c r="F123" s="63">
        <v>1</v>
      </c>
      <c r="G123" s="63"/>
      <c r="H123" s="64"/>
      <c r="I123" s="69"/>
      <c r="J123" s="70" t="e">
        <f>+#REF!</f>
        <v>#REF!</v>
      </c>
      <c r="K123" s="71"/>
      <c r="L123" s="69"/>
      <c r="M123" s="70" t="e">
        <f>+#REF!</f>
        <v>#REF!</v>
      </c>
      <c r="N123" s="71"/>
      <c r="O123" s="69"/>
      <c r="P123" s="70" t="e">
        <f>+#REF!</f>
        <v>#REF!</v>
      </c>
      <c r="Q123" s="272"/>
      <c r="R123" s="59">
        <f t="shared" si="52"/>
        <v>0</v>
      </c>
      <c r="S123" s="60" t="e">
        <f t="shared" si="53"/>
        <v>#REF!</v>
      </c>
      <c r="T123" s="61">
        <f t="shared" si="54"/>
        <v>0</v>
      </c>
      <c r="U123" s="278" t="e">
        <f t="shared" si="55"/>
        <v>#REF!</v>
      </c>
    </row>
    <row r="124" spans="1:21" x14ac:dyDescent="0.25">
      <c r="A124" s="256"/>
      <c r="B124" s="246" t="s">
        <v>131</v>
      </c>
      <c r="C124" s="56" t="s">
        <v>56</v>
      </c>
      <c r="D124" s="56" t="s">
        <v>167</v>
      </c>
      <c r="E124" s="56" t="s">
        <v>132</v>
      </c>
      <c r="F124" s="63">
        <v>3</v>
      </c>
      <c r="G124" s="63"/>
      <c r="H124" s="64"/>
      <c r="I124" s="72"/>
      <c r="J124" s="73" t="e">
        <f>+#REF!</f>
        <v>#REF!</v>
      </c>
      <c r="K124" s="74"/>
      <c r="L124" s="72"/>
      <c r="M124" s="73" t="e">
        <f>+#REF!</f>
        <v>#REF!</v>
      </c>
      <c r="N124" s="74"/>
      <c r="O124" s="72"/>
      <c r="P124" s="73" t="e">
        <f>+#REF!</f>
        <v>#REF!</v>
      </c>
      <c r="Q124" s="273"/>
      <c r="R124" s="59">
        <f t="shared" si="52"/>
        <v>0</v>
      </c>
      <c r="S124" s="60" t="e">
        <f t="shared" si="53"/>
        <v>#REF!</v>
      </c>
      <c r="T124" s="61">
        <f t="shared" si="54"/>
        <v>0</v>
      </c>
      <c r="U124" s="278" t="e">
        <f t="shared" si="55"/>
        <v>#REF!</v>
      </c>
    </row>
    <row r="125" spans="1:21" x14ac:dyDescent="0.25">
      <c r="A125" s="256"/>
      <c r="B125" s="246" t="s">
        <v>131</v>
      </c>
      <c r="C125" s="56" t="s">
        <v>168</v>
      </c>
      <c r="D125" s="56" t="s">
        <v>166</v>
      </c>
      <c r="E125" s="56" t="s">
        <v>132</v>
      </c>
      <c r="F125" s="63">
        <v>1</v>
      </c>
      <c r="G125" s="63"/>
      <c r="H125" s="64"/>
      <c r="I125" s="66"/>
      <c r="J125" s="67" t="e">
        <f>+#REF!</f>
        <v>#REF!</v>
      </c>
      <c r="K125" s="68"/>
      <c r="L125" s="66"/>
      <c r="M125" s="67" t="e">
        <f>+#REF!</f>
        <v>#REF!</v>
      </c>
      <c r="N125" s="68"/>
      <c r="O125" s="66"/>
      <c r="P125" s="67" t="e">
        <f>+#REF!</f>
        <v>#REF!</v>
      </c>
      <c r="Q125" s="270"/>
      <c r="R125" s="59">
        <f t="shared" si="52"/>
        <v>0</v>
      </c>
      <c r="S125" s="60" t="e">
        <f t="shared" si="53"/>
        <v>#REF!</v>
      </c>
      <c r="T125" s="61">
        <f t="shared" si="54"/>
        <v>0</v>
      </c>
      <c r="U125" s="278" t="e">
        <f t="shared" si="55"/>
        <v>#REF!</v>
      </c>
    </row>
    <row r="126" spans="1:21" ht="30" x14ac:dyDescent="0.25">
      <c r="A126" s="256"/>
      <c r="B126" s="246" t="s">
        <v>131</v>
      </c>
      <c r="C126" s="56" t="s">
        <v>169</v>
      </c>
      <c r="D126" s="56" t="s">
        <v>170</v>
      </c>
      <c r="E126" s="56" t="s">
        <v>132</v>
      </c>
      <c r="F126" s="63">
        <v>1</v>
      </c>
      <c r="G126" s="63"/>
      <c r="H126" s="64"/>
      <c r="I126" s="69"/>
      <c r="J126" s="70" t="e">
        <f>+#REF!</f>
        <v>#REF!</v>
      </c>
      <c r="K126" s="71"/>
      <c r="L126" s="69"/>
      <c r="M126" s="70" t="e">
        <f>+#REF!</f>
        <v>#REF!</v>
      </c>
      <c r="N126" s="71"/>
      <c r="O126" s="69"/>
      <c r="P126" s="70" t="e">
        <f>+#REF!</f>
        <v>#REF!</v>
      </c>
      <c r="Q126" s="272"/>
      <c r="R126" s="59">
        <f t="shared" si="52"/>
        <v>0</v>
      </c>
      <c r="S126" s="60" t="e">
        <f t="shared" si="53"/>
        <v>#REF!</v>
      </c>
      <c r="T126" s="61">
        <f t="shared" si="54"/>
        <v>0</v>
      </c>
      <c r="U126" s="278" t="e">
        <f t="shared" si="55"/>
        <v>#REF!</v>
      </c>
    </row>
    <row r="127" spans="1:21" ht="30" x14ac:dyDescent="0.25">
      <c r="A127" s="256"/>
      <c r="B127" s="246" t="s">
        <v>131</v>
      </c>
      <c r="C127" s="56" t="s">
        <v>57</v>
      </c>
      <c r="D127" s="56" t="s">
        <v>171</v>
      </c>
      <c r="E127" s="56" t="s">
        <v>132</v>
      </c>
      <c r="F127" s="63">
        <v>3</v>
      </c>
      <c r="G127" s="63"/>
      <c r="H127" s="64"/>
      <c r="I127" s="72"/>
      <c r="J127" s="73" t="e">
        <f>+#REF!</f>
        <v>#REF!</v>
      </c>
      <c r="K127" s="74"/>
      <c r="L127" s="72"/>
      <c r="M127" s="73" t="e">
        <f>+#REF!</f>
        <v>#REF!</v>
      </c>
      <c r="N127" s="74"/>
      <c r="O127" s="72"/>
      <c r="P127" s="73" t="e">
        <f>+#REF!</f>
        <v>#REF!</v>
      </c>
      <c r="Q127" s="273"/>
      <c r="R127" s="59">
        <f t="shared" si="52"/>
        <v>0</v>
      </c>
      <c r="S127" s="60" t="e">
        <f t="shared" si="53"/>
        <v>#REF!</v>
      </c>
      <c r="T127" s="61">
        <f t="shared" si="54"/>
        <v>0</v>
      </c>
      <c r="U127" s="278" t="e">
        <f t="shared" si="55"/>
        <v>#REF!</v>
      </c>
    </row>
    <row r="128" spans="1:21" ht="30" x14ac:dyDescent="0.25">
      <c r="A128" s="256"/>
      <c r="B128" s="246" t="s">
        <v>131</v>
      </c>
      <c r="C128" s="56" t="s">
        <v>172</v>
      </c>
      <c r="D128" s="56" t="s">
        <v>173</v>
      </c>
      <c r="E128" s="56" t="s">
        <v>132</v>
      </c>
      <c r="F128" s="63">
        <v>1</v>
      </c>
      <c r="G128" s="63"/>
      <c r="H128" s="64"/>
      <c r="I128" s="66"/>
      <c r="J128" s="67" t="e">
        <f>+#REF!</f>
        <v>#REF!</v>
      </c>
      <c r="K128" s="68"/>
      <c r="L128" s="66"/>
      <c r="M128" s="67" t="e">
        <f>+#REF!</f>
        <v>#REF!</v>
      </c>
      <c r="N128" s="68"/>
      <c r="O128" s="66"/>
      <c r="P128" s="67" t="e">
        <f>+#REF!</f>
        <v>#REF!</v>
      </c>
      <c r="Q128" s="270"/>
      <c r="R128" s="59">
        <f t="shared" si="52"/>
        <v>0</v>
      </c>
      <c r="S128" s="60" t="e">
        <f t="shared" si="53"/>
        <v>#REF!</v>
      </c>
      <c r="T128" s="61">
        <f t="shared" si="54"/>
        <v>0</v>
      </c>
      <c r="U128" s="278" t="e">
        <f t="shared" si="55"/>
        <v>#REF!</v>
      </c>
    </row>
    <row r="129" spans="1:21" x14ac:dyDescent="0.25">
      <c r="A129" s="256"/>
      <c r="B129" s="246" t="s">
        <v>131</v>
      </c>
      <c r="C129" s="56" t="s">
        <v>59</v>
      </c>
      <c r="D129" s="56" t="s">
        <v>174</v>
      </c>
      <c r="E129" s="56" t="s">
        <v>132</v>
      </c>
      <c r="F129" s="63">
        <v>1</v>
      </c>
      <c r="G129" s="63"/>
      <c r="H129" s="64"/>
      <c r="I129" s="69"/>
      <c r="J129" s="70" t="e">
        <f>+#REF!</f>
        <v>#REF!</v>
      </c>
      <c r="K129" s="71"/>
      <c r="L129" s="69"/>
      <c r="M129" s="70" t="e">
        <f>+#REF!</f>
        <v>#REF!</v>
      </c>
      <c r="N129" s="71"/>
      <c r="O129" s="69"/>
      <c r="P129" s="70" t="e">
        <f>+#REF!</f>
        <v>#REF!</v>
      </c>
      <c r="Q129" s="272"/>
      <c r="R129" s="59">
        <f t="shared" si="52"/>
        <v>0</v>
      </c>
      <c r="S129" s="60" t="e">
        <f t="shared" si="53"/>
        <v>#REF!</v>
      </c>
      <c r="T129" s="61">
        <f t="shared" si="54"/>
        <v>0</v>
      </c>
      <c r="U129" s="278" t="e">
        <f t="shared" si="55"/>
        <v>#REF!</v>
      </c>
    </row>
    <row r="130" spans="1:21" ht="30" x14ac:dyDescent="0.25">
      <c r="A130" s="256"/>
      <c r="B130" s="246" t="s">
        <v>131</v>
      </c>
      <c r="C130" s="56" t="s">
        <v>36</v>
      </c>
      <c r="D130" s="56" t="s">
        <v>92</v>
      </c>
      <c r="E130" s="56" t="s">
        <v>215</v>
      </c>
      <c r="F130" s="63">
        <v>30</v>
      </c>
      <c r="G130" s="63"/>
      <c r="H130" s="64"/>
      <c r="I130" s="72"/>
      <c r="J130" s="73">
        <f>+(2800*12*30)/15</f>
        <v>67200</v>
      </c>
      <c r="K130" s="74"/>
      <c r="L130" s="72"/>
      <c r="M130" s="73">
        <f>+(3100*12*30)/15</f>
        <v>74400</v>
      </c>
      <c r="N130" s="74"/>
      <c r="O130" s="72"/>
      <c r="P130" s="73">
        <f>+(3260*12*30)/15</f>
        <v>78240</v>
      </c>
      <c r="Q130" s="273"/>
      <c r="R130" s="59">
        <f t="shared" si="52"/>
        <v>0</v>
      </c>
      <c r="S130" s="60">
        <f t="shared" si="53"/>
        <v>219840</v>
      </c>
      <c r="T130" s="61">
        <f t="shared" si="54"/>
        <v>0</v>
      </c>
      <c r="U130" s="278">
        <f t="shared" si="55"/>
        <v>219840</v>
      </c>
    </row>
    <row r="131" spans="1:21" x14ac:dyDescent="0.25">
      <c r="A131" s="255" t="s">
        <v>469</v>
      </c>
      <c r="B131" s="231" t="s">
        <v>131</v>
      </c>
      <c r="C131" s="227" t="s">
        <v>5</v>
      </c>
      <c r="D131" s="228"/>
      <c r="E131" s="229"/>
      <c r="F131" s="230"/>
      <c r="G131" s="230"/>
      <c r="H131" s="231"/>
      <c r="I131" s="232"/>
      <c r="J131" s="231"/>
      <c r="K131" s="233"/>
      <c r="L131" s="232"/>
      <c r="M131" s="231"/>
      <c r="N131" s="233"/>
      <c r="O131" s="232"/>
      <c r="P131" s="231"/>
      <c r="Q131" s="231"/>
      <c r="R131" s="232"/>
      <c r="S131" s="231"/>
      <c r="T131" s="233"/>
      <c r="U131" s="279"/>
    </row>
    <row r="132" spans="1:21" x14ac:dyDescent="0.25">
      <c r="A132" s="256"/>
      <c r="B132" s="246" t="s">
        <v>131</v>
      </c>
      <c r="C132" s="56" t="s">
        <v>17</v>
      </c>
      <c r="D132" s="56" t="s">
        <v>51</v>
      </c>
      <c r="E132" s="56" t="s">
        <v>133</v>
      </c>
      <c r="F132" s="63"/>
      <c r="G132" s="63"/>
      <c r="H132" s="64"/>
      <c r="I132" s="66">
        <v>37532</v>
      </c>
      <c r="J132" s="67"/>
      <c r="K132" s="68"/>
      <c r="L132" s="66">
        <v>37532</v>
      </c>
      <c r="M132" s="67"/>
      <c r="N132" s="68"/>
      <c r="O132" s="66">
        <v>20816</v>
      </c>
      <c r="P132" s="67"/>
      <c r="Q132" s="270"/>
      <c r="R132" s="59">
        <f t="shared" ref="R132:R134" si="56">+O132+L132+I132</f>
        <v>95880</v>
      </c>
      <c r="S132" s="60">
        <f t="shared" ref="S132:S134" si="57">+P132+M132+J132</f>
        <v>0</v>
      </c>
      <c r="T132" s="61">
        <f t="shared" ref="T132:T134" si="58">+Q132+N132+K132</f>
        <v>0</v>
      </c>
      <c r="U132" s="278">
        <f t="shared" si="55"/>
        <v>95880</v>
      </c>
    </row>
    <row r="133" spans="1:21" x14ac:dyDescent="0.25">
      <c r="A133" s="256"/>
      <c r="B133" s="246" t="s">
        <v>131</v>
      </c>
      <c r="C133" s="56" t="s">
        <v>18</v>
      </c>
      <c r="D133" s="56" t="s">
        <v>52</v>
      </c>
      <c r="E133" s="56" t="s">
        <v>134</v>
      </c>
      <c r="F133" s="63"/>
      <c r="G133" s="63"/>
      <c r="H133" s="64"/>
      <c r="I133" s="69">
        <v>35000</v>
      </c>
      <c r="J133" s="70"/>
      <c r="K133" s="71"/>
      <c r="L133" s="69">
        <v>0</v>
      </c>
      <c r="M133" s="70"/>
      <c r="N133" s="71"/>
      <c r="O133" s="69">
        <v>0</v>
      </c>
      <c r="P133" s="70"/>
      <c r="Q133" s="272"/>
      <c r="R133" s="59">
        <f t="shared" si="56"/>
        <v>35000</v>
      </c>
      <c r="S133" s="60">
        <f t="shared" si="57"/>
        <v>0</v>
      </c>
      <c r="T133" s="61">
        <f t="shared" si="58"/>
        <v>0</v>
      </c>
      <c r="U133" s="278">
        <f t="shared" si="55"/>
        <v>35000</v>
      </c>
    </row>
    <row r="134" spans="1:21" ht="30" x14ac:dyDescent="0.25">
      <c r="A134" s="256"/>
      <c r="B134" s="246" t="s">
        <v>131</v>
      </c>
      <c r="C134" s="56" t="s">
        <v>19</v>
      </c>
      <c r="D134" s="56" t="s">
        <v>38</v>
      </c>
      <c r="E134" s="56" t="s">
        <v>135</v>
      </c>
      <c r="F134" s="63"/>
      <c r="G134" s="63"/>
      <c r="H134" s="64"/>
      <c r="I134" s="72">
        <v>20000</v>
      </c>
      <c r="J134" s="73"/>
      <c r="K134" s="74"/>
      <c r="L134" s="72">
        <v>22000</v>
      </c>
      <c r="M134" s="73"/>
      <c r="N134" s="74"/>
      <c r="O134" s="72">
        <v>25000</v>
      </c>
      <c r="P134" s="73"/>
      <c r="Q134" s="273"/>
      <c r="R134" s="59">
        <f t="shared" si="56"/>
        <v>67000</v>
      </c>
      <c r="S134" s="60">
        <f t="shared" si="57"/>
        <v>0</v>
      </c>
      <c r="T134" s="61">
        <f t="shared" si="58"/>
        <v>0</v>
      </c>
      <c r="U134" s="278">
        <f t="shared" si="55"/>
        <v>67000</v>
      </c>
    </row>
    <row r="135" spans="1:21" x14ac:dyDescent="0.25">
      <c r="A135" s="255" t="s">
        <v>470</v>
      </c>
      <c r="B135" s="231" t="s">
        <v>131</v>
      </c>
      <c r="C135" s="227" t="s">
        <v>7</v>
      </c>
      <c r="D135" s="228"/>
      <c r="E135" s="229"/>
      <c r="F135" s="230"/>
      <c r="G135" s="230"/>
      <c r="H135" s="231"/>
      <c r="I135" s="232"/>
      <c r="J135" s="231"/>
      <c r="K135" s="233"/>
      <c r="L135" s="232"/>
      <c r="M135" s="231"/>
      <c r="N135" s="233"/>
      <c r="O135" s="232"/>
      <c r="P135" s="231"/>
      <c r="Q135" s="231"/>
      <c r="R135" s="232"/>
      <c r="S135" s="231"/>
      <c r="T135" s="233"/>
      <c r="U135" s="279"/>
    </row>
    <row r="136" spans="1:21" ht="30" x14ac:dyDescent="0.25">
      <c r="A136" s="256"/>
      <c r="B136" s="247" t="s">
        <v>131</v>
      </c>
      <c r="C136" s="75" t="s">
        <v>34</v>
      </c>
      <c r="D136" s="75" t="s">
        <v>41</v>
      </c>
      <c r="E136" s="56" t="s">
        <v>136</v>
      </c>
      <c r="F136" s="57"/>
      <c r="G136" s="57"/>
      <c r="H136" s="58"/>
      <c r="I136" s="72">
        <v>34300</v>
      </c>
      <c r="J136" s="73"/>
      <c r="K136" s="74"/>
      <c r="L136" s="72">
        <v>46305</v>
      </c>
      <c r="M136" s="73"/>
      <c r="N136" s="74"/>
      <c r="O136" s="72">
        <v>64826.999999999993</v>
      </c>
      <c r="P136" s="73"/>
      <c r="Q136" s="273"/>
      <c r="R136" s="59">
        <f t="shared" ref="R136:R140" si="59">+O136+L136+I136</f>
        <v>145432</v>
      </c>
      <c r="S136" s="60">
        <f t="shared" ref="S136:S140" si="60">+P136+M136+J136</f>
        <v>0</v>
      </c>
      <c r="T136" s="61">
        <f t="shared" ref="T136:T140" si="61">+Q136+N136+K136</f>
        <v>0</v>
      </c>
      <c r="U136" s="278">
        <f t="shared" si="55"/>
        <v>145432</v>
      </c>
    </row>
    <row r="137" spans="1:21" ht="30" x14ac:dyDescent="0.25">
      <c r="A137" s="256"/>
      <c r="B137" s="247" t="s">
        <v>131</v>
      </c>
      <c r="C137" s="75" t="s">
        <v>8</v>
      </c>
      <c r="D137" s="75" t="s">
        <v>41</v>
      </c>
      <c r="E137" s="56" t="s">
        <v>136</v>
      </c>
      <c r="F137" s="57"/>
      <c r="G137" s="57"/>
      <c r="H137" s="58"/>
      <c r="I137" s="72">
        <v>16000</v>
      </c>
      <c r="J137" s="73"/>
      <c r="K137" s="74"/>
      <c r="L137" s="72">
        <v>16000</v>
      </c>
      <c r="M137" s="73"/>
      <c r="N137" s="74"/>
      <c r="O137" s="72">
        <v>16000</v>
      </c>
      <c r="P137" s="73"/>
      <c r="Q137" s="273"/>
      <c r="R137" s="59">
        <f t="shared" si="59"/>
        <v>48000</v>
      </c>
      <c r="S137" s="60">
        <f t="shared" si="60"/>
        <v>0</v>
      </c>
      <c r="T137" s="61">
        <f t="shared" si="61"/>
        <v>0</v>
      </c>
      <c r="U137" s="278">
        <f t="shared" si="55"/>
        <v>48000</v>
      </c>
    </row>
    <row r="138" spans="1:21" ht="45" x14ac:dyDescent="0.25">
      <c r="A138" s="256"/>
      <c r="B138" s="247" t="s">
        <v>131</v>
      </c>
      <c r="C138" s="75" t="s">
        <v>9</v>
      </c>
      <c r="D138" s="75" t="s">
        <v>110</v>
      </c>
      <c r="E138" s="56" t="s">
        <v>136</v>
      </c>
      <c r="F138" s="76"/>
      <c r="G138" s="76"/>
      <c r="H138" s="77"/>
      <c r="I138" s="72">
        <v>2600</v>
      </c>
      <c r="J138" s="73"/>
      <c r="K138" s="74"/>
      <c r="L138" s="72">
        <v>4550</v>
      </c>
      <c r="M138" s="73"/>
      <c r="N138" s="74"/>
      <c r="O138" s="72">
        <v>4550</v>
      </c>
      <c r="P138" s="73"/>
      <c r="Q138" s="273"/>
      <c r="R138" s="59">
        <f t="shared" si="59"/>
        <v>11700</v>
      </c>
      <c r="S138" s="60">
        <f t="shared" si="60"/>
        <v>0</v>
      </c>
      <c r="T138" s="61">
        <f t="shared" si="61"/>
        <v>0</v>
      </c>
      <c r="U138" s="278">
        <f t="shared" si="55"/>
        <v>11700</v>
      </c>
    </row>
    <row r="139" spans="1:21" x14ac:dyDescent="0.25">
      <c r="A139" s="256"/>
      <c r="B139" s="246" t="s">
        <v>131</v>
      </c>
      <c r="C139" s="56" t="s">
        <v>20</v>
      </c>
      <c r="D139" s="56" t="s">
        <v>39</v>
      </c>
      <c r="E139" s="56" t="s">
        <v>135</v>
      </c>
      <c r="F139" s="63"/>
      <c r="G139" s="63"/>
      <c r="H139" s="64"/>
      <c r="I139" s="72">
        <v>40000</v>
      </c>
      <c r="J139" s="73"/>
      <c r="K139" s="74"/>
      <c r="L139" s="72">
        <v>50000</v>
      </c>
      <c r="M139" s="73"/>
      <c r="N139" s="74"/>
      <c r="O139" s="72">
        <v>50000</v>
      </c>
      <c r="P139" s="73"/>
      <c r="Q139" s="273"/>
      <c r="R139" s="59">
        <f t="shared" si="59"/>
        <v>140000</v>
      </c>
      <c r="S139" s="60">
        <f t="shared" si="60"/>
        <v>0</v>
      </c>
      <c r="T139" s="61">
        <f t="shared" si="61"/>
        <v>0</v>
      </c>
      <c r="U139" s="278">
        <f t="shared" si="55"/>
        <v>140000</v>
      </c>
    </row>
    <row r="140" spans="1:21" ht="30" x14ac:dyDescent="0.25">
      <c r="A140" s="256"/>
      <c r="B140" s="246" t="s">
        <v>131</v>
      </c>
      <c r="C140" s="56" t="s">
        <v>175</v>
      </c>
      <c r="D140" s="75" t="s">
        <v>41</v>
      </c>
      <c r="E140" s="56" t="s">
        <v>136</v>
      </c>
      <c r="F140" s="57"/>
      <c r="G140" s="57"/>
      <c r="H140" s="58"/>
      <c r="I140" s="72">
        <v>3000</v>
      </c>
      <c r="J140" s="73"/>
      <c r="K140" s="74"/>
      <c r="L140" s="72">
        <v>3900</v>
      </c>
      <c r="M140" s="73"/>
      <c r="N140" s="74"/>
      <c r="O140" s="72">
        <v>5070</v>
      </c>
      <c r="P140" s="73"/>
      <c r="Q140" s="273"/>
      <c r="R140" s="59">
        <f t="shared" si="59"/>
        <v>11970</v>
      </c>
      <c r="S140" s="60">
        <f t="shared" si="60"/>
        <v>0</v>
      </c>
      <c r="T140" s="61">
        <f t="shared" si="61"/>
        <v>0</v>
      </c>
      <c r="U140" s="278">
        <f t="shared" si="55"/>
        <v>11970</v>
      </c>
    </row>
    <row r="141" spans="1:21" x14ac:dyDescent="0.25">
      <c r="A141" s="253" t="s">
        <v>428</v>
      </c>
      <c r="B141" s="224" t="s">
        <v>131</v>
      </c>
      <c r="C141" s="221" t="s">
        <v>397</v>
      </c>
      <c r="D141" s="222"/>
      <c r="E141" s="223"/>
      <c r="F141" s="204"/>
      <c r="G141" s="204"/>
      <c r="H141" s="224"/>
      <c r="I141" s="225"/>
      <c r="J141" s="224"/>
      <c r="K141" s="226"/>
      <c r="L141" s="225"/>
      <c r="M141" s="224"/>
      <c r="N141" s="226"/>
      <c r="O141" s="225"/>
      <c r="P141" s="224"/>
      <c r="Q141" s="224"/>
      <c r="R141" s="225"/>
      <c r="S141" s="224"/>
      <c r="T141" s="226"/>
      <c r="U141" s="226"/>
    </row>
    <row r="142" spans="1:21" x14ac:dyDescent="0.25">
      <c r="A142" s="255" t="s">
        <v>471</v>
      </c>
      <c r="B142" s="231" t="s">
        <v>131</v>
      </c>
      <c r="C142" s="227" t="s">
        <v>1</v>
      </c>
      <c r="D142" s="228"/>
      <c r="E142" s="229"/>
      <c r="F142" s="230"/>
      <c r="G142" s="230"/>
      <c r="H142" s="231"/>
      <c r="I142" s="232"/>
      <c r="J142" s="231"/>
      <c r="K142" s="233"/>
      <c r="L142" s="232"/>
      <c r="M142" s="231"/>
      <c r="N142" s="233"/>
      <c r="O142" s="232"/>
      <c r="P142" s="231"/>
      <c r="Q142" s="231"/>
      <c r="R142" s="232"/>
      <c r="S142" s="231"/>
      <c r="T142" s="233"/>
      <c r="U142" s="279"/>
    </row>
    <row r="143" spans="1:21" x14ac:dyDescent="0.25">
      <c r="A143" s="256"/>
      <c r="B143" s="246" t="s">
        <v>131</v>
      </c>
      <c r="C143" s="56" t="s">
        <v>160</v>
      </c>
      <c r="D143" s="56" t="s">
        <v>176</v>
      </c>
      <c r="E143" s="56" t="s">
        <v>132</v>
      </c>
      <c r="F143" s="63">
        <v>5</v>
      </c>
      <c r="G143" s="63"/>
      <c r="H143" s="64"/>
      <c r="I143" s="72"/>
      <c r="J143" s="73" t="e">
        <f>+#REF!</f>
        <v>#REF!</v>
      </c>
      <c r="K143" s="74"/>
      <c r="L143" s="72"/>
      <c r="M143" s="73" t="e">
        <f>+#REF!</f>
        <v>#REF!</v>
      </c>
      <c r="N143" s="74"/>
      <c r="O143" s="72"/>
      <c r="P143" s="73" t="e">
        <f>+#REF!</f>
        <v>#REF!</v>
      </c>
      <c r="Q143" s="273"/>
      <c r="R143" s="59">
        <f t="shared" ref="R143:R144" si="62">+O143+L143+I143</f>
        <v>0</v>
      </c>
      <c r="S143" s="60" t="e">
        <f t="shared" ref="S143:S144" si="63">+P143+M143+J143</f>
        <v>#REF!</v>
      </c>
      <c r="T143" s="61">
        <f t="shared" ref="T143:T144" si="64">+Q143+N143+K143</f>
        <v>0</v>
      </c>
      <c r="U143" s="278" t="e">
        <f t="shared" si="55"/>
        <v>#REF!</v>
      </c>
    </row>
    <row r="144" spans="1:21" ht="30" x14ac:dyDescent="0.25">
      <c r="A144" s="256"/>
      <c r="B144" s="246" t="s">
        <v>131</v>
      </c>
      <c r="C144" s="56" t="s">
        <v>36</v>
      </c>
      <c r="D144" s="75" t="s">
        <v>92</v>
      </c>
      <c r="E144" s="56" t="s">
        <v>6</v>
      </c>
      <c r="F144" s="57">
        <v>5</v>
      </c>
      <c r="G144" s="57"/>
      <c r="H144" s="58"/>
      <c r="I144" s="72"/>
      <c r="J144" s="73">
        <f>+(2800*12*5)/15</f>
        <v>11200</v>
      </c>
      <c r="K144" s="74"/>
      <c r="L144" s="72"/>
      <c r="M144" s="73">
        <f>+(3100*12*5)/15</f>
        <v>12400</v>
      </c>
      <c r="N144" s="74"/>
      <c r="O144" s="72"/>
      <c r="P144" s="73">
        <f>+(3260*12*5)/15</f>
        <v>13040</v>
      </c>
      <c r="Q144" s="273"/>
      <c r="R144" s="59">
        <f t="shared" si="62"/>
        <v>0</v>
      </c>
      <c r="S144" s="60">
        <f t="shared" si="63"/>
        <v>36640</v>
      </c>
      <c r="T144" s="61">
        <f t="shared" si="64"/>
        <v>0</v>
      </c>
      <c r="U144" s="278">
        <f t="shared" si="55"/>
        <v>36640</v>
      </c>
    </row>
    <row r="145" spans="1:94" x14ac:dyDescent="0.25">
      <c r="A145" s="255" t="s">
        <v>472</v>
      </c>
      <c r="B145" s="231" t="s">
        <v>131</v>
      </c>
      <c r="C145" s="227" t="s">
        <v>29</v>
      </c>
      <c r="D145" s="228"/>
      <c r="E145" s="229"/>
      <c r="F145" s="230"/>
      <c r="G145" s="230"/>
      <c r="H145" s="231"/>
      <c r="I145" s="232"/>
      <c r="J145" s="231"/>
      <c r="K145" s="233"/>
      <c r="L145" s="232"/>
      <c r="M145" s="231"/>
      <c r="N145" s="233"/>
      <c r="O145" s="232"/>
      <c r="P145" s="231"/>
      <c r="Q145" s="231"/>
      <c r="R145" s="232"/>
      <c r="S145" s="231"/>
      <c r="T145" s="233"/>
      <c r="U145" s="279"/>
    </row>
    <row r="146" spans="1:94" ht="30" x14ac:dyDescent="0.25">
      <c r="A146" s="256"/>
      <c r="B146" s="246" t="s">
        <v>131</v>
      </c>
      <c r="C146" s="56" t="s">
        <v>28</v>
      </c>
      <c r="D146" s="75" t="s">
        <v>119</v>
      </c>
      <c r="E146" s="56" t="s">
        <v>132</v>
      </c>
      <c r="F146" s="57">
        <v>1</v>
      </c>
      <c r="G146" s="57"/>
      <c r="H146" s="58"/>
      <c r="I146" s="72"/>
      <c r="J146" s="73" t="e">
        <f>+#REF!</f>
        <v>#REF!</v>
      </c>
      <c r="K146" s="74"/>
      <c r="L146" s="72"/>
      <c r="M146" s="73" t="e">
        <f>+#REF!</f>
        <v>#REF!</v>
      </c>
      <c r="N146" s="74"/>
      <c r="O146" s="72"/>
      <c r="P146" s="73" t="e">
        <f>+#REF!</f>
        <v>#REF!</v>
      </c>
      <c r="Q146" s="273"/>
      <c r="R146" s="59">
        <f t="shared" ref="R146" si="65">+O146+L146+I146</f>
        <v>0</v>
      </c>
      <c r="S146" s="60" t="e">
        <f t="shared" ref="S146" si="66">+P146+M146+J146</f>
        <v>#REF!</v>
      </c>
      <c r="T146" s="61">
        <f t="shared" ref="T146" si="67">+Q146+N146+K146</f>
        <v>0</v>
      </c>
      <c r="U146" s="278" t="e">
        <f t="shared" si="55"/>
        <v>#REF!</v>
      </c>
    </row>
    <row r="147" spans="1:94" x14ac:dyDescent="0.25">
      <c r="A147" s="255" t="s">
        <v>473</v>
      </c>
      <c r="B147" s="231" t="s">
        <v>131</v>
      </c>
      <c r="C147" s="227" t="s">
        <v>7</v>
      </c>
      <c r="D147" s="228"/>
      <c r="E147" s="229"/>
      <c r="F147" s="230"/>
      <c r="G147" s="230"/>
      <c r="H147" s="231"/>
      <c r="I147" s="232"/>
      <c r="J147" s="231"/>
      <c r="K147" s="233"/>
      <c r="L147" s="232"/>
      <c r="M147" s="231"/>
      <c r="N147" s="233"/>
      <c r="O147" s="232"/>
      <c r="P147" s="231"/>
      <c r="Q147" s="231"/>
      <c r="R147" s="232"/>
      <c r="S147" s="231"/>
      <c r="T147" s="233"/>
      <c r="U147" s="279"/>
    </row>
    <row r="148" spans="1:94" x14ac:dyDescent="0.25">
      <c r="A148" s="256"/>
      <c r="B148" s="247" t="s">
        <v>131</v>
      </c>
      <c r="C148" s="75" t="s">
        <v>11</v>
      </c>
      <c r="D148" s="75" t="s">
        <v>86</v>
      </c>
      <c r="E148" s="56" t="s">
        <v>136</v>
      </c>
      <c r="F148" s="57"/>
      <c r="G148" s="57"/>
      <c r="H148" s="58"/>
      <c r="I148" s="59">
        <v>14700</v>
      </c>
      <c r="J148" s="60"/>
      <c r="K148" s="61"/>
      <c r="L148" s="59">
        <f>+I148*1.35</f>
        <v>19845</v>
      </c>
      <c r="M148" s="60"/>
      <c r="N148" s="61"/>
      <c r="O148" s="59">
        <f>+L148*1.45</f>
        <v>28775.25</v>
      </c>
      <c r="P148" s="60"/>
      <c r="Q148" s="62"/>
      <c r="R148" s="59">
        <f t="shared" ref="R148:R149" si="68">+O148+L148+I148</f>
        <v>63320.25</v>
      </c>
      <c r="S148" s="60">
        <f t="shared" ref="S148:S149" si="69">+P148+M148+J148</f>
        <v>0</v>
      </c>
      <c r="T148" s="61">
        <f t="shared" ref="T148:T149" si="70">+Q148+N148+K148</f>
        <v>0</v>
      </c>
      <c r="U148" s="278">
        <f t="shared" si="55"/>
        <v>63320.25</v>
      </c>
    </row>
    <row r="149" spans="1:94" ht="30" x14ac:dyDescent="0.25">
      <c r="A149" s="256"/>
      <c r="B149" s="248" t="s">
        <v>131</v>
      </c>
      <c r="C149" s="86" t="s">
        <v>9</v>
      </c>
      <c r="D149" s="75" t="s">
        <v>111</v>
      </c>
      <c r="E149" s="56" t="s">
        <v>136</v>
      </c>
      <c r="F149" s="76"/>
      <c r="G149" s="76"/>
      <c r="H149" s="77"/>
      <c r="I149" s="59">
        <v>3900</v>
      </c>
      <c r="J149" s="60"/>
      <c r="K149" s="61"/>
      <c r="L149" s="59">
        <f>+I149*1.35</f>
        <v>5265</v>
      </c>
      <c r="M149" s="60"/>
      <c r="N149" s="61"/>
      <c r="O149" s="59">
        <f>+L149*1.45</f>
        <v>7634.25</v>
      </c>
      <c r="P149" s="60"/>
      <c r="Q149" s="62"/>
      <c r="R149" s="59">
        <f t="shared" si="68"/>
        <v>16799.25</v>
      </c>
      <c r="S149" s="60">
        <f t="shared" si="69"/>
        <v>0</v>
      </c>
      <c r="T149" s="61">
        <f t="shared" si="70"/>
        <v>0</v>
      </c>
      <c r="U149" s="278">
        <f t="shared" si="55"/>
        <v>16799.25</v>
      </c>
    </row>
    <row r="150" spans="1:94" x14ac:dyDescent="0.25">
      <c r="A150" s="253" t="s">
        <v>429</v>
      </c>
      <c r="B150" s="224" t="s">
        <v>131</v>
      </c>
      <c r="C150" s="221" t="s">
        <v>98</v>
      </c>
      <c r="D150" s="222"/>
      <c r="E150" s="223"/>
      <c r="F150" s="204"/>
      <c r="G150" s="204"/>
      <c r="H150" s="224"/>
      <c r="I150" s="225"/>
      <c r="J150" s="224"/>
      <c r="K150" s="226"/>
      <c r="L150" s="225"/>
      <c r="M150" s="224"/>
      <c r="N150" s="226"/>
      <c r="O150" s="225"/>
      <c r="P150" s="224"/>
      <c r="Q150" s="224"/>
      <c r="R150" s="225"/>
      <c r="S150" s="224"/>
      <c r="T150" s="226"/>
      <c r="U150" s="226"/>
    </row>
    <row r="151" spans="1:94" x14ac:dyDescent="0.25">
      <c r="A151" s="255" t="s">
        <v>474</v>
      </c>
      <c r="B151" s="231" t="s">
        <v>131</v>
      </c>
      <c r="C151" s="227" t="s">
        <v>475</v>
      </c>
      <c r="D151" s="228"/>
      <c r="E151" s="229"/>
      <c r="F151" s="230"/>
      <c r="G151" s="230"/>
      <c r="H151" s="231"/>
      <c r="I151" s="232"/>
      <c r="J151" s="231"/>
      <c r="K151" s="233"/>
      <c r="L151" s="232"/>
      <c r="M151" s="231"/>
      <c r="N151" s="233"/>
      <c r="O151" s="232"/>
      <c r="P151" s="231"/>
      <c r="Q151" s="231"/>
      <c r="R151" s="232"/>
      <c r="S151" s="231"/>
      <c r="T151" s="233"/>
      <c r="U151" s="279"/>
    </row>
    <row r="152" spans="1:94" x14ac:dyDescent="0.25">
      <c r="A152" s="255" t="s">
        <v>476</v>
      </c>
      <c r="B152" s="231" t="s">
        <v>131</v>
      </c>
      <c r="C152" s="227" t="s">
        <v>1</v>
      </c>
      <c r="D152" s="228"/>
      <c r="E152" s="229"/>
      <c r="F152" s="230"/>
      <c r="G152" s="230"/>
      <c r="H152" s="231"/>
      <c r="I152" s="232"/>
      <c r="J152" s="231"/>
      <c r="K152" s="233"/>
      <c r="L152" s="232"/>
      <c r="M152" s="231"/>
      <c r="N152" s="233"/>
      <c r="O152" s="232"/>
      <c r="P152" s="231"/>
      <c r="Q152" s="231"/>
      <c r="R152" s="232"/>
      <c r="S152" s="231"/>
      <c r="T152" s="233"/>
      <c r="U152" s="233"/>
      <c r="V152" s="15"/>
      <c r="W152" s="15"/>
      <c r="X152" s="15"/>
      <c r="Y152" s="15"/>
      <c r="Z152" s="15"/>
      <c r="AA152" s="15"/>
      <c r="AB152" s="15"/>
      <c r="AC152" s="15"/>
      <c r="AD152" s="15"/>
      <c r="AE152" s="15"/>
      <c r="AF152" s="15"/>
      <c r="AG152" s="15"/>
      <c r="AH152" s="15"/>
      <c r="AI152" s="15"/>
      <c r="AJ152" s="15"/>
      <c r="AK152" s="15"/>
      <c r="AL152" s="15"/>
      <c r="AM152" s="15"/>
      <c r="AN152" s="15"/>
      <c r="AO152" s="15"/>
      <c r="AP152" s="15"/>
      <c r="AQ152" s="15"/>
      <c r="AR152" s="15"/>
      <c r="AS152" s="15"/>
      <c r="AT152" s="15"/>
      <c r="AU152" s="15"/>
      <c r="AV152" s="15"/>
      <c r="AW152" s="15"/>
      <c r="AX152" s="15"/>
      <c r="AY152" s="15"/>
      <c r="AZ152" s="15"/>
      <c r="BA152" s="15"/>
      <c r="BB152" s="15"/>
      <c r="BC152" s="15"/>
      <c r="BD152" s="15"/>
      <c r="BE152" s="15"/>
      <c r="BF152" s="15"/>
      <c r="BG152" s="15"/>
      <c r="BH152" s="15"/>
      <c r="BI152" s="15"/>
      <c r="BJ152" s="15"/>
      <c r="BK152" s="15"/>
      <c r="BL152" s="15"/>
      <c r="BM152" s="15"/>
      <c r="BN152" s="15"/>
      <c r="BO152" s="15"/>
      <c r="BP152" s="15"/>
      <c r="BQ152" s="15"/>
      <c r="BR152" s="15"/>
      <c r="BS152" s="15"/>
      <c r="BT152" s="15"/>
      <c r="BU152" s="15"/>
      <c r="BV152" s="15"/>
      <c r="BW152" s="15"/>
      <c r="BX152" s="15"/>
      <c r="BY152" s="15"/>
      <c r="BZ152" s="15"/>
      <c r="CA152" s="15"/>
      <c r="CB152" s="15"/>
      <c r="CC152" s="15"/>
      <c r="CD152" s="15"/>
      <c r="CE152" s="15"/>
      <c r="CF152" s="15"/>
      <c r="CG152" s="15"/>
      <c r="CH152" s="15"/>
      <c r="CI152" s="15"/>
      <c r="CJ152" s="15"/>
      <c r="CK152" s="15"/>
      <c r="CL152" s="15"/>
      <c r="CM152" s="15"/>
      <c r="CN152" s="15"/>
      <c r="CO152" s="15"/>
      <c r="CP152" s="15"/>
    </row>
    <row r="153" spans="1:94" x14ac:dyDescent="0.25">
      <c r="A153" s="256"/>
      <c r="B153" s="247" t="s">
        <v>131</v>
      </c>
      <c r="C153" s="75" t="s">
        <v>84</v>
      </c>
      <c r="D153" s="75" t="s">
        <v>177</v>
      </c>
      <c r="E153" s="56" t="s">
        <v>132</v>
      </c>
      <c r="F153" s="57">
        <v>33</v>
      </c>
      <c r="G153" s="57"/>
      <c r="H153" s="58"/>
      <c r="I153" s="59"/>
      <c r="J153" s="60" t="e">
        <f>+#REF!</f>
        <v>#REF!</v>
      </c>
      <c r="K153" s="61"/>
      <c r="L153" s="59"/>
      <c r="M153" s="60" t="e">
        <f>+#REF!</f>
        <v>#REF!</v>
      </c>
      <c r="N153" s="61"/>
      <c r="O153" s="59"/>
      <c r="P153" s="60" t="e">
        <f>+#REF!</f>
        <v>#REF!</v>
      </c>
      <c r="Q153" s="62"/>
      <c r="R153" s="59">
        <f t="shared" ref="R153:R178" si="71">+O153+L153+I153</f>
        <v>0</v>
      </c>
      <c r="S153" s="60" t="e">
        <f t="shared" ref="S153:S178" si="72">+P153+M153+J153</f>
        <v>#REF!</v>
      </c>
      <c r="T153" s="61">
        <f t="shared" ref="T153:T178" si="73">+Q153+N153+K153</f>
        <v>0</v>
      </c>
      <c r="U153" s="278" t="e">
        <f t="shared" si="55"/>
        <v>#REF!</v>
      </c>
    </row>
    <row r="154" spans="1:94" ht="30" x14ac:dyDescent="0.25">
      <c r="A154" s="256"/>
      <c r="B154" s="247" t="s">
        <v>131</v>
      </c>
      <c r="C154" s="75" t="s">
        <v>84</v>
      </c>
      <c r="D154" s="75" t="s">
        <v>178</v>
      </c>
      <c r="E154" s="56" t="s">
        <v>132</v>
      </c>
      <c r="F154" s="57">
        <v>2</v>
      </c>
      <c r="G154" s="57"/>
      <c r="H154" s="58"/>
      <c r="I154" s="59"/>
      <c r="J154" s="60" t="e">
        <f>+#REF!</f>
        <v>#REF!</v>
      </c>
      <c r="K154" s="61"/>
      <c r="L154" s="59"/>
      <c r="M154" s="60" t="e">
        <f>+#REF!</f>
        <v>#REF!</v>
      </c>
      <c r="N154" s="61"/>
      <c r="O154" s="59"/>
      <c r="P154" s="60" t="e">
        <f>+#REF!</f>
        <v>#REF!</v>
      </c>
      <c r="Q154" s="62"/>
      <c r="R154" s="59">
        <f t="shared" si="71"/>
        <v>0</v>
      </c>
      <c r="S154" s="60" t="e">
        <f t="shared" si="72"/>
        <v>#REF!</v>
      </c>
      <c r="T154" s="61">
        <f t="shared" si="73"/>
        <v>0</v>
      </c>
      <c r="U154" s="278" t="e">
        <f t="shared" si="55"/>
        <v>#REF!</v>
      </c>
    </row>
    <row r="155" spans="1:94" x14ac:dyDescent="0.25">
      <c r="A155" s="256"/>
      <c r="B155" s="247" t="s">
        <v>131</v>
      </c>
      <c r="C155" s="75" t="s">
        <v>160</v>
      </c>
      <c r="D155" s="75" t="s">
        <v>179</v>
      </c>
      <c r="E155" s="56" t="s">
        <v>132</v>
      </c>
      <c r="F155" s="57">
        <v>57</v>
      </c>
      <c r="G155" s="57"/>
      <c r="H155" s="58"/>
      <c r="I155" s="59"/>
      <c r="J155" s="60" t="e">
        <f>+#REF!</f>
        <v>#REF!</v>
      </c>
      <c r="K155" s="61"/>
      <c r="L155" s="59"/>
      <c r="M155" s="60" t="e">
        <f>+#REF!</f>
        <v>#REF!</v>
      </c>
      <c r="N155" s="61"/>
      <c r="O155" s="59"/>
      <c r="P155" s="60" t="e">
        <f>+#REF!</f>
        <v>#REF!</v>
      </c>
      <c r="Q155" s="62"/>
      <c r="R155" s="59">
        <f t="shared" si="71"/>
        <v>0</v>
      </c>
      <c r="S155" s="60" t="e">
        <f t="shared" si="72"/>
        <v>#REF!</v>
      </c>
      <c r="T155" s="61">
        <f t="shared" si="73"/>
        <v>0</v>
      </c>
      <c r="U155" s="278" t="e">
        <f t="shared" si="55"/>
        <v>#REF!</v>
      </c>
    </row>
    <row r="156" spans="1:94" x14ac:dyDescent="0.25">
      <c r="A156" s="256"/>
      <c r="B156" s="247" t="s">
        <v>131</v>
      </c>
      <c r="C156" s="75" t="s">
        <v>62</v>
      </c>
      <c r="D156" s="75" t="s">
        <v>180</v>
      </c>
      <c r="E156" s="56" t="s">
        <v>132</v>
      </c>
      <c r="F156" s="57">
        <v>1</v>
      </c>
      <c r="G156" s="57"/>
      <c r="H156" s="58"/>
      <c r="I156" s="59"/>
      <c r="J156" s="60" t="e">
        <f>+#REF!</f>
        <v>#REF!</v>
      </c>
      <c r="K156" s="61"/>
      <c r="L156" s="59"/>
      <c r="M156" s="60" t="e">
        <f>+#REF!</f>
        <v>#REF!</v>
      </c>
      <c r="N156" s="61"/>
      <c r="O156" s="59"/>
      <c r="P156" s="60" t="e">
        <f>+#REF!</f>
        <v>#REF!</v>
      </c>
      <c r="Q156" s="62"/>
      <c r="R156" s="59">
        <f t="shared" si="71"/>
        <v>0</v>
      </c>
      <c r="S156" s="60" t="e">
        <f t="shared" si="72"/>
        <v>#REF!</v>
      </c>
      <c r="T156" s="61">
        <f t="shared" si="73"/>
        <v>0</v>
      </c>
      <c r="U156" s="278" t="e">
        <f t="shared" si="55"/>
        <v>#REF!</v>
      </c>
    </row>
    <row r="157" spans="1:94" ht="30" x14ac:dyDescent="0.25">
      <c r="A157" s="256"/>
      <c r="B157" s="247" t="s">
        <v>131</v>
      </c>
      <c r="C157" s="75" t="s">
        <v>56</v>
      </c>
      <c r="D157" s="75" t="s">
        <v>181</v>
      </c>
      <c r="E157" s="56" t="s">
        <v>132</v>
      </c>
      <c r="F157" s="57">
        <v>6</v>
      </c>
      <c r="G157" s="57"/>
      <c r="H157" s="58"/>
      <c r="I157" s="59"/>
      <c r="J157" s="60" t="e">
        <f>+#REF!</f>
        <v>#REF!</v>
      </c>
      <c r="K157" s="61"/>
      <c r="L157" s="59"/>
      <c r="M157" s="60" t="e">
        <f>+#REF!</f>
        <v>#REF!</v>
      </c>
      <c r="N157" s="61"/>
      <c r="O157" s="59"/>
      <c r="P157" s="60" t="e">
        <f>+#REF!</f>
        <v>#REF!</v>
      </c>
      <c r="Q157" s="62"/>
      <c r="R157" s="59">
        <f t="shared" si="71"/>
        <v>0</v>
      </c>
      <c r="S157" s="60" t="e">
        <f t="shared" si="72"/>
        <v>#REF!</v>
      </c>
      <c r="T157" s="61">
        <f t="shared" si="73"/>
        <v>0</v>
      </c>
      <c r="U157" s="278" t="e">
        <f t="shared" si="55"/>
        <v>#REF!</v>
      </c>
    </row>
    <row r="158" spans="1:94" ht="30" x14ac:dyDescent="0.25">
      <c r="A158" s="256"/>
      <c r="B158" s="247" t="s">
        <v>131</v>
      </c>
      <c r="C158" s="75" t="s">
        <v>56</v>
      </c>
      <c r="D158" s="75" t="s">
        <v>182</v>
      </c>
      <c r="E158" s="56" t="s">
        <v>132</v>
      </c>
      <c r="F158" s="57">
        <v>2</v>
      </c>
      <c r="G158" s="57"/>
      <c r="H158" s="58"/>
      <c r="I158" s="59"/>
      <c r="J158" s="60" t="e">
        <f>+#REF!</f>
        <v>#REF!</v>
      </c>
      <c r="K158" s="61"/>
      <c r="L158" s="59"/>
      <c r="M158" s="60" t="e">
        <f>+#REF!</f>
        <v>#REF!</v>
      </c>
      <c r="N158" s="61"/>
      <c r="O158" s="59"/>
      <c r="P158" s="60" t="e">
        <f>+#REF!</f>
        <v>#REF!</v>
      </c>
      <c r="Q158" s="62"/>
      <c r="R158" s="59">
        <f t="shared" si="71"/>
        <v>0</v>
      </c>
      <c r="S158" s="60" t="e">
        <f t="shared" si="72"/>
        <v>#REF!</v>
      </c>
      <c r="T158" s="61">
        <f t="shared" si="73"/>
        <v>0</v>
      </c>
      <c r="U158" s="278" t="e">
        <f t="shared" si="55"/>
        <v>#REF!</v>
      </c>
    </row>
    <row r="159" spans="1:94" ht="30" x14ac:dyDescent="0.25">
      <c r="A159" s="256"/>
      <c r="B159" s="247" t="s">
        <v>131</v>
      </c>
      <c r="C159" s="75" t="s">
        <v>56</v>
      </c>
      <c r="D159" s="75" t="s">
        <v>183</v>
      </c>
      <c r="E159" s="56" t="s">
        <v>132</v>
      </c>
      <c r="F159" s="57">
        <v>1</v>
      </c>
      <c r="G159" s="57"/>
      <c r="H159" s="58"/>
      <c r="I159" s="59"/>
      <c r="J159" s="60" t="e">
        <f>+#REF!</f>
        <v>#REF!</v>
      </c>
      <c r="K159" s="61"/>
      <c r="L159" s="59"/>
      <c r="M159" s="60" t="e">
        <f>+#REF!</f>
        <v>#REF!</v>
      </c>
      <c r="N159" s="61"/>
      <c r="O159" s="59"/>
      <c r="P159" s="60" t="e">
        <f>+#REF!</f>
        <v>#REF!</v>
      </c>
      <c r="Q159" s="62"/>
      <c r="R159" s="59">
        <f t="shared" si="71"/>
        <v>0</v>
      </c>
      <c r="S159" s="60" t="e">
        <f t="shared" si="72"/>
        <v>#REF!</v>
      </c>
      <c r="T159" s="61">
        <f t="shared" si="73"/>
        <v>0</v>
      </c>
      <c r="U159" s="278" t="e">
        <f t="shared" si="55"/>
        <v>#REF!</v>
      </c>
    </row>
    <row r="160" spans="1:94" ht="30" x14ac:dyDescent="0.25">
      <c r="A160" s="256"/>
      <c r="B160" s="247" t="s">
        <v>131</v>
      </c>
      <c r="C160" s="75" t="s">
        <v>58</v>
      </c>
      <c r="D160" s="75" t="s">
        <v>184</v>
      </c>
      <c r="E160" s="56" t="s">
        <v>132</v>
      </c>
      <c r="F160" s="57">
        <v>1</v>
      </c>
      <c r="G160" s="57"/>
      <c r="H160" s="58"/>
      <c r="I160" s="59"/>
      <c r="J160" s="60" t="e">
        <f>+#REF!</f>
        <v>#REF!</v>
      </c>
      <c r="K160" s="61"/>
      <c r="L160" s="59"/>
      <c r="M160" s="60" t="e">
        <f>+#REF!</f>
        <v>#REF!</v>
      </c>
      <c r="N160" s="61"/>
      <c r="O160" s="59"/>
      <c r="P160" s="60" t="e">
        <f>+#REF!</f>
        <v>#REF!</v>
      </c>
      <c r="Q160" s="62"/>
      <c r="R160" s="59">
        <f t="shared" si="71"/>
        <v>0</v>
      </c>
      <c r="S160" s="60" t="e">
        <f t="shared" si="72"/>
        <v>#REF!</v>
      </c>
      <c r="T160" s="61">
        <f t="shared" si="73"/>
        <v>0</v>
      </c>
      <c r="U160" s="278" t="e">
        <f t="shared" si="55"/>
        <v>#REF!</v>
      </c>
    </row>
    <row r="161" spans="1:21" ht="30" x14ac:dyDescent="0.25">
      <c r="A161" s="256"/>
      <c r="B161" s="247" t="s">
        <v>131</v>
      </c>
      <c r="C161" s="75" t="s">
        <v>57</v>
      </c>
      <c r="D161" s="75" t="s">
        <v>185</v>
      </c>
      <c r="E161" s="56" t="s">
        <v>132</v>
      </c>
      <c r="F161" s="57">
        <v>1</v>
      </c>
      <c r="G161" s="57"/>
      <c r="H161" s="58"/>
      <c r="I161" s="59"/>
      <c r="J161" s="60" t="e">
        <f>+#REF!</f>
        <v>#REF!</v>
      </c>
      <c r="K161" s="61"/>
      <c r="L161" s="59"/>
      <c r="M161" s="60" t="e">
        <f>+#REF!</f>
        <v>#REF!</v>
      </c>
      <c r="N161" s="61"/>
      <c r="O161" s="59"/>
      <c r="P161" s="60" t="e">
        <f>+#REF!</f>
        <v>#REF!</v>
      </c>
      <c r="Q161" s="62"/>
      <c r="R161" s="59">
        <f t="shared" si="71"/>
        <v>0</v>
      </c>
      <c r="S161" s="60" t="e">
        <f t="shared" si="72"/>
        <v>#REF!</v>
      </c>
      <c r="T161" s="61">
        <f t="shared" si="73"/>
        <v>0</v>
      </c>
      <c r="U161" s="278" t="e">
        <f t="shared" si="55"/>
        <v>#REF!</v>
      </c>
    </row>
    <row r="162" spans="1:21" ht="30" x14ac:dyDescent="0.25">
      <c r="A162" s="256"/>
      <c r="B162" s="247" t="s">
        <v>131</v>
      </c>
      <c r="C162" s="75" t="s">
        <v>186</v>
      </c>
      <c r="D162" s="75" t="s">
        <v>101</v>
      </c>
      <c r="E162" s="56" t="s">
        <v>132</v>
      </c>
      <c r="F162" s="57">
        <v>1</v>
      </c>
      <c r="G162" s="57"/>
      <c r="H162" s="58"/>
      <c r="I162" s="59"/>
      <c r="J162" s="60" t="e">
        <f>+#REF!</f>
        <v>#REF!</v>
      </c>
      <c r="K162" s="61"/>
      <c r="L162" s="59"/>
      <c r="M162" s="60" t="e">
        <f>+#REF!</f>
        <v>#REF!</v>
      </c>
      <c r="N162" s="61"/>
      <c r="O162" s="59"/>
      <c r="P162" s="60" t="e">
        <f>+#REF!</f>
        <v>#REF!</v>
      </c>
      <c r="Q162" s="62"/>
      <c r="R162" s="59">
        <f t="shared" si="71"/>
        <v>0</v>
      </c>
      <c r="S162" s="60" t="e">
        <f t="shared" si="72"/>
        <v>#REF!</v>
      </c>
      <c r="T162" s="61">
        <f t="shared" si="73"/>
        <v>0</v>
      </c>
      <c r="U162" s="278" t="e">
        <f t="shared" si="55"/>
        <v>#REF!</v>
      </c>
    </row>
    <row r="163" spans="1:21" x14ac:dyDescent="0.25">
      <c r="A163" s="256"/>
      <c r="B163" s="247" t="s">
        <v>131</v>
      </c>
      <c r="C163" s="75" t="s">
        <v>187</v>
      </c>
      <c r="D163" s="75" t="s">
        <v>102</v>
      </c>
      <c r="E163" s="56" t="s">
        <v>132</v>
      </c>
      <c r="F163" s="57">
        <v>1</v>
      </c>
      <c r="G163" s="57"/>
      <c r="H163" s="58"/>
      <c r="I163" s="59"/>
      <c r="J163" s="60" t="e">
        <f>+#REF!</f>
        <v>#REF!</v>
      </c>
      <c r="K163" s="61"/>
      <c r="L163" s="59"/>
      <c r="M163" s="60" t="e">
        <f>+#REF!</f>
        <v>#REF!</v>
      </c>
      <c r="N163" s="61"/>
      <c r="O163" s="59"/>
      <c r="P163" s="60" t="e">
        <f>+#REF!</f>
        <v>#REF!</v>
      </c>
      <c r="Q163" s="62"/>
      <c r="R163" s="59">
        <f t="shared" si="71"/>
        <v>0</v>
      </c>
      <c r="S163" s="60" t="e">
        <f t="shared" si="72"/>
        <v>#REF!</v>
      </c>
      <c r="T163" s="61">
        <f t="shared" si="73"/>
        <v>0</v>
      </c>
      <c r="U163" s="278" t="e">
        <f t="shared" si="55"/>
        <v>#REF!</v>
      </c>
    </row>
    <row r="164" spans="1:21" ht="30" x14ac:dyDescent="0.25">
      <c r="A164" s="256"/>
      <c r="B164" s="247" t="s">
        <v>131</v>
      </c>
      <c r="C164" s="75" t="s">
        <v>63</v>
      </c>
      <c r="D164" s="75" t="s">
        <v>184</v>
      </c>
      <c r="E164" s="56" t="s">
        <v>132</v>
      </c>
      <c r="F164" s="57">
        <v>1</v>
      </c>
      <c r="G164" s="57"/>
      <c r="H164" s="58"/>
      <c r="I164" s="59"/>
      <c r="J164" s="60" t="e">
        <f>+#REF!</f>
        <v>#REF!</v>
      </c>
      <c r="K164" s="61"/>
      <c r="L164" s="59"/>
      <c r="M164" s="60" t="e">
        <f>+#REF!</f>
        <v>#REF!</v>
      </c>
      <c r="N164" s="61"/>
      <c r="O164" s="59"/>
      <c r="P164" s="60" t="e">
        <f>+#REF!</f>
        <v>#REF!</v>
      </c>
      <c r="Q164" s="62"/>
      <c r="R164" s="59">
        <f t="shared" si="71"/>
        <v>0</v>
      </c>
      <c r="S164" s="60" t="e">
        <f t="shared" si="72"/>
        <v>#REF!</v>
      </c>
      <c r="T164" s="61">
        <f t="shared" si="73"/>
        <v>0</v>
      </c>
      <c r="U164" s="278" t="e">
        <f t="shared" si="55"/>
        <v>#REF!</v>
      </c>
    </row>
    <row r="165" spans="1:21" ht="30" x14ac:dyDescent="0.25">
      <c r="A165" s="256"/>
      <c r="B165" s="247" t="s">
        <v>131</v>
      </c>
      <c r="C165" s="75" t="s">
        <v>64</v>
      </c>
      <c r="D165" s="75" t="s">
        <v>188</v>
      </c>
      <c r="E165" s="56" t="s">
        <v>132</v>
      </c>
      <c r="F165" s="57">
        <v>1</v>
      </c>
      <c r="G165" s="57"/>
      <c r="H165" s="58"/>
      <c r="I165" s="59"/>
      <c r="J165" s="60" t="e">
        <f>+#REF!</f>
        <v>#REF!</v>
      </c>
      <c r="K165" s="61"/>
      <c r="L165" s="59"/>
      <c r="M165" s="60" t="e">
        <f>+#REF!</f>
        <v>#REF!</v>
      </c>
      <c r="N165" s="61"/>
      <c r="O165" s="59"/>
      <c r="P165" s="60" t="e">
        <f>+#REF!</f>
        <v>#REF!</v>
      </c>
      <c r="Q165" s="62"/>
      <c r="R165" s="59">
        <f t="shared" si="71"/>
        <v>0</v>
      </c>
      <c r="S165" s="60" t="e">
        <f t="shared" si="72"/>
        <v>#REF!</v>
      </c>
      <c r="T165" s="61">
        <f t="shared" si="73"/>
        <v>0</v>
      </c>
      <c r="U165" s="278" t="e">
        <f t="shared" si="55"/>
        <v>#REF!</v>
      </c>
    </row>
    <row r="166" spans="1:21" x14ac:dyDescent="0.25">
      <c r="A166" s="256"/>
      <c r="B166" s="247" t="s">
        <v>131</v>
      </c>
      <c r="C166" s="75" t="s">
        <v>189</v>
      </c>
      <c r="D166" s="75" t="s">
        <v>190</v>
      </c>
      <c r="E166" s="56" t="s">
        <v>132</v>
      </c>
      <c r="F166" s="57">
        <v>1</v>
      </c>
      <c r="G166" s="57"/>
      <c r="H166" s="58"/>
      <c r="I166" s="59"/>
      <c r="J166" s="60" t="e">
        <f>+#REF!</f>
        <v>#REF!</v>
      </c>
      <c r="K166" s="61"/>
      <c r="L166" s="59"/>
      <c r="M166" s="60" t="e">
        <f>+#REF!</f>
        <v>#REF!</v>
      </c>
      <c r="N166" s="61"/>
      <c r="O166" s="59"/>
      <c r="P166" s="60" t="e">
        <f>+#REF!</f>
        <v>#REF!</v>
      </c>
      <c r="Q166" s="62"/>
      <c r="R166" s="59">
        <f t="shared" si="71"/>
        <v>0</v>
      </c>
      <c r="S166" s="60" t="e">
        <f t="shared" si="72"/>
        <v>#REF!</v>
      </c>
      <c r="T166" s="61">
        <f t="shared" si="73"/>
        <v>0</v>
      </c>
      <c r="U166" s="278" t="e">
        <f t="shared" si="55"/>
        <v>#REF!</v>
      </c>
    </row>
    <row r="167" spans="1:21" x14ac:dyDescent="0.25">
      <c r="A167" s="256"/>
      <c r="B167" s="247" t="s">
        <v>131</v>
      </c>
      <c r="C167" s="75" t="s">
        <v>65</v>
      </c>
      <c r="D167" s="75" t="s">
        <v>190</v>
      </c>
      <c r="E167" s="56" t="s">
        <v>132</v>
      </c>
      <c r="F167" s="57">
        <v>1</v>
      </c>
      <c r="G167" s="57"/>
      <c r="H167" s="58"/>
      <c r="I167" s="59"/>
      <c r="J167" s="60" t="e">
        <f>+#REF!</f>
        <v>#REF!</v>
      </c>
      <c r="K167" s="61"/>
      <c r="L167" s="59"/>
      <c r="M167" s="60" t="e">
        <f>+#REF!</f>
        <v>#REF!</v>
      </c>
      <c r="N167" s="61"/>
      <c r="O167" s="59"/>
      <c r="P167" s="60" t="e">
        <f>+#REF!</f>
        <v>#REF!</v>
      </c>
      <c r="Q167" s="62"/>
      <c r="R167" s="59">
        <f t="shared" si="71"/>
        <v>0</v>
      </c>
      <c r="S167" s="60" t="e">
        <f t="shared" si="72"/>
        <v>#REF!</v>
      </c>
      <c r="T167" s="61">
        <f t="shared" si="73"/>
        <v>0</v>
      </c>
      <c r="U167" s="278" t="e">
        <f t="shared" si="55"/>
        <v>#REF!</v>
      </c>
    </row>
    <row r="168" spans="1:21" x14ac:dyDescent="0.25">
      <c r="A168" s="256"/>
      <c r="B168" s="247" t="s">
        <v>131</v>
      </c>
      <c r="C168" s="75" t="s">
        <v>55</v>
      </c>
      <c r="D168" s="75" t="s">
        <v>191</v>
      </c>
      <c r="E168" s="56" t="s">
        <v>132</v>
      </c>
      <c r="F168" s="57">
        <v>1</v>
      </c>
      <c r="G168" s="57"/>
      <c r="H168" s="58"/>
      <c r="I168" s="59"/>
      <c r="J168" s="60" t="e">
        <f>+#REF!</f>
        <v>#REF!</v>
      </c>
      <c r="K168" s="61"/>
      <c r="L168" s="59"/>
      <c r="M168" s="60" t="e">
        <f>+#REF!</f>
        <v>#REF!</v>
      </c>
      <c r="N168" s="61"/>
      <c r="O168" s="59"/>
      <c r="P168" s="60" t="e">
        <f>+#REF!</f>
        <v>#REF!</v>
      </c>
      <c r="Q168" s="62"/>
      <c r="R168" s="59">
        <f t="shared" si="71"/>
        <v>0</v>
      </c>
      <c r="S168" s="60" t="e">
        <f t="shared" si="72"/>
        <v>#REF!</v>
      </c>
      <c r="T168" s="61">
        <f t="shared" si="73"/>
        <v>0</v>
      </c>
      <c r="U168" s="278" t="e">
        <f t="shared" si="55"/>
        <v>#REF!</v>
      </c>
    </row>
    <row r="169" spans="1:21" x14ac:dyDescent="0.25">
      <c r="A169" s="256"/>
      <c r="B169" s="247" t="s">
        <v>131</v>
      </c>
      <c r="C169" s="75" t="s">
        <v>55</v>
      </c>
      <c r="D169" s="75" t="s">
        <v>192</v>
      </c>
      <c r="E169" s="56" t="s">
        <v>132</v>
      </c>
      <c r="F169" s="57">
        <v>1</v>
      </c>
      <c r="G169" s="57"/>
      <c r="H169" s="58"/>
      <c r="I169" s="59"/>
      <c r="J169" s="60" t="e">
        <f>+#REF!</f>
        <v>#REF!</v>
      </c>
      <c r="K169" s="61"/>
      <c r="L169" s="59"/>
      <c r="M169" s="60" t="e">
        <f>+#REF!</f>
        <v>#REF!</v>
      </c>
      <c r="N169" s="61"/>
      <c r="O169" s="59"/>
      <c r="P169" s="60" t="e">
        <f>+#REF!</f>
        <v>#REF!</v>
      </c>
      <c r="Q169" s="62"/>
      <c r="R169" s="59">
        <f t="shared" si="71"/>
        <v>0</v>
      </c>
      <c r="S169" s="60" t="e">
        <f t="shared" si="72"/>
        <v>#REF!</v>
      </c>
      <c r="T169" s="61">
        <f t="shared" si="73"/>
        <v>0</v>
      </c>
      <c r="U169" s="278" t="e">
        <f t="shared" si="55"/>
        <v>#REF!</v>
      </c>
    </row>
    <row r="170" spans="1:21" x14ac:dyDescent="0.25">
      <c r="A170" s="256"/>
      <c r="B170" s="247" t="s">
        <v>131</v>
      </c>
      <c r="C170" s="75" t="s">
        <v>66</v>
      </c>
      <c r="D170" s="75" t="s">
        <v>193</v>
      </c>
      <c r="E170" s="56" t="s">
        <v>132</v>
      </c>
      <c r="F170" s="57">
        <v>1</v>
      </c>
      <c r="G170" s="57"/>
      <c r="H170" s="58"/>
      <c r="I170" s="59"/>
      <c r="J170" s="60" t="e">
        <f>+#REF!</f>
        <v>#REF!</v>
      </c>
      <c r="K170" s="61"/>
      <c r="L170" s="59"/>
      <c r="M170" s="60" t="e">
        <f>+#REF!</f>
        <v>#REF!</v>
      </c>
      <c r="N170" s="61"/>
      <c r="O170" s="59"/>
      <c r="P170" s="60" t="e">
        <f>+#REF!</f>
        <v>#REF!</v>
      </c>
      <c r="Q170" s="62"/>
      <c r="R170" s="59">
        <f t="shared" si="71"/>
        <v>0</v>
      </c>
      <c r="S170" s="60" t="e">
        <f t="shared" si="72"/>
        <v>#REF!</v>
      </c>
      <c r="T170" s="61">
        <f t="shared" si="73"/>
        <v>0</v>
      </c>
      <c r="U170" s="278" t="e">
        <f t="shared" si="55"/>
        <v>#REF!</v>
      </c>
    </row>
    <row r="171" spans="1:21" x14ac:dyDescent="0.25">
      <c r="A171" s="256"/>
      <c r="B171" s="247" t="s">
        <v>131</v>
      </c>
      <c r="C171" s="75" t="s">
        <v>66</v>
      </c>
      <c r="D171" s="75" t="s">
        <v>194</v>
      </c>
      <c r="E171" s="56" t="s">
        <v>132</v>
      </c>
      <c r="F171" s="57">
        <v>3</v>
      </c>
      <c r="G171" s="57"/>
      <c r="H171" s="58"/>
      <c r="I171" s="59"/>
      <c r="J171" s="60" t="e">
        <f>+#REF!</f>
        <v>#REF!</v>
      </c>
      <c r="K171" s="61"/>
      <c r="L171" s="59"/>
      <c r="M171" s="60" t="e">
        <f>+#REF!</f>
        <v>#REF!</v>
      </c>
      <c r="N171" s="61"/>
      <c r="O171" s="59"/>
      <c r="P171" s="60" t="e">
        <f>+#REF!</f>
        <v>#REF!</v>
      </c>
      <c r="Q171" s="62"/>
      <c r="R171" s="59">
        <f t="shared" si="71"/>
        <v>0</v>
      </c>
      <c r="S171" s="60" t="e">
        <f t="shared" si="72"/>
        <v>#REF!</v>
      </c>
      <c r="T171" s="61">
        <f t="shared" si="73"/>
        <v>0</v>
      </c>
      <c r="U171" s="278" t="e">
        <f t="shared" si="55"/>
        <v>#REF!</v>
      </c>
    </row>
    <row r="172" spans="1:21" x14ac:dyDescent="0.25">
      <c r="A172" s="256"/>
      <c r="B172" s="247" t="s">
        <v>131</v>
      </c>
      <c r="C172" s="75" t="s">
        <v>66</v>
      </c>
      <c r="D172" s="75" t="s">
        <v>195</v>
      </c>
      <c r="E172" s="56" t="s">
        <v>132</v>
      </c>
      <c r="F172" s="57">
        <v>1</v>
      </c>
      <c r="G172" s="57"/>
      <c r="H172" s="58"/>
      <c r="I172" s="59"/>
      <c r="J172" s="60" t="e">
        <f>+#REF!</f>
        <v>#REF!</v>
      </c>
      <c r="K172" s="61"/>
      <c r="L172" s="59"/>
      <c r="M172" s="60" t="e">
        <f>+#REF!</f>
        <v>#REF!</v>
      </c>
      <c r="N172" s="61"/>
      <c r="O172" s="59"/>
      <c r="P172" s="60" t="e">
        <f>+#REF!</f>
        <v>#REF!</v>
      </c>
      <c r="Q172" s="62"/>
      <c r="R172" s="59">
        <f t="shared" si="71"/>
        <v>0</v>
      </c>
      <c r="S172" s="60" t="e">
        <f t="shared" si="72"/>
        <v>#REF!</v>
      </c>
      <c r="T172" s="61">
        <f t="shared" si="73"/>
        <v>0</v>
      </c>
      <c r="U172" s="278" t="e">
        <f t="shared" si="55"/>
        <v>#REF!</v>
      </c>
    </row>
    <row r="173" spans="1:21" x14ac:dyDescent="0.25">
      <c r="A173" s="256"/>
      <c r="B173" s="247" t="s">
        <v>131</v>
      </c>
      <c r="C173" s="75" t="s">
        <v>67</v>
      </c>
      <c r="D173" s="75" t="s">
        <v>190</v>
      </c>
      <c r="E173" s="56" t="s">
        <v>132</v>
      </c>
      <c r="F173" s="57">
        <v>1</v>
      </c>
      <c r="G173" s="57"/>
      <c r="H173" s="58"/>
      <c r="I173" s="59"/>
      <c r="J173" s="60" t="e">
        <f>+#REF!</f>
        <v>#REF!</v>
      </c>
      <c r="K173" s="61"/>
      <c r="L173" s="59"/>
      <c r="M173" s="60" t="e">
        <f>+#REF!</f>
        <v>#REF!</v>
      </c>
      <c r="N173" s="61"/>
      <c r="O173" s="59"/>
      <c r="P173" s="60" t="e">
        <f>+#REF!</f>
        <v>#REF!</v>
      </c>
      <c r="Q173" s="62"/>
      <c r="R173" s="59">
        <f t="shared" si="71"/>
        <v>0</v>
      </c>
      <c r="S173" s="60" t="e">
        <f t="shared" si="72"/>
        <v>#REF!</v>
      </c>
      <c r="T173" s="61">
        <f t="shared" si="73"/>
        <v>0</v>
      </c>
      <c r="U173" s="278" t="e">
        <f t="shared" si="55"/>
        <v>#REF!</v>
      </c>
    </row>
    <row r="174" spans="1:21" x14ac:dyDescent="0.25">
      <c r="A174" s="256"/>
      <c r="B174" s="247" t="s">
        <v>131</v>
      </c>
      <c r="C174" s="75" t="s">
        <v>68</v>
      </c>
      <c r="D174" s="75" t="s">
        <v>196</v>
      </c>
      <c r="E174" s="56" t="s">
        <v>132</v>
      </c>
      <c r="F174" s="57">
        <v>1</v>
      </c>
      <c r="G174" s="57"/>
      <c r="H174" s="58"/>
      <c r="I174" s="59"/>
      <c r="J174" s="60" t="e">
        <f>+#REF!</f>
        <v>#REF!</v>
      </c>
      <c r="K174" s="61"/>
      <c r="L174" s="59"/>
      <c r="M174" s="60" t="e">
        <f>+#REF!</f>
        <v>#REF!</v>
      </c>
      <c r="N174" s="61"/>
      <c r="O174" s="59"/>
      <c r="P174" s="60" t="e">
        <f>+#REF!</f>
        <v>#REF!</v>
      </c>
      <c r="Q174" s="62"/>
      <c r="R174" s="59">
        <f t="shared" si="71"/>
        <v>0</v>
      </c>
      <c r="S174" s="60" t="e">
        <f t="shared" si="72"/>
        <v>#REF!</v>
      </c>
      <c r="T174" s="61">
        <f t="shared" si="73"/>
        <v>0</v>
      </c>
      <c r="U174" s="278" t="e">
        <f t="shared" si="55"/>
        <v>#REF!</v>
      </c>
    </row>
    <row r="175" spans="1:21" x14ac:dyDescent="0.25">
      <c r="A175" s="256"/>
      <c r="B175" s="247" t="s">
        <v>131</v>
      </c>
      <c r="C175" s="75" t="s">
        <v>69</v>
      </c>
      <c r="D175" s="75" t="s">
        <v>100</v>
      </c>
      <c r="E175" s="56" t="s">
        <v>132</v>
      </c>
      <c r="F175" s="57">
        <v>1</v>
      </c>
      <c r="G175" s="57"/>
      <c r="H175" s="58"/>
      <c r="I175" s="59"/>
      <c r="J175" s="60" t="e">
        <f>+#REF!</f>
        <v>#REF!</v>
      </c>
      <c r="K175" s="61"/>
      <c r="L175" s="59"/>
      <c r="M175" s="60" t="e">
        <f>+#REF!</f>
        <v>#REF!</v>
      </c>
      <c r="N175" s="61"/>
      <c r="O175" s="59"/>
      <c r="P175" s="60" t="e">
        <f>+#REF!</f>
        <v>#REF!</v>
      </c>
      <c r="Q175" s="62"/>
      <c r="R175" s="59">
        <f t="shared" si="71"/>
        <v>0</v>
      </c>
      <c r="S175" s="60" t="e">
        <f t="shared" si="72"/>
        <v>#REF!</v>
      </c>
      <c r="T175" s="61">
        <f t="shared" si="73"/>
        <v>0</v>
      </c>
      <c r="U175" s="278" t="e">
        <f t="shared" si="55"/>
        <v>#REF!</v>
      </c>
    </row>
    <row r="176" spans="1:21" ht="30" x14ac:dyDescent="0.25">
      <c r="A176" s="256"/>
      <c r="B176" s="247" t="s">
        <v>131</v>
      </c>
      <c r="C176" s="75" t="s">
        <v>70</v>
      </c>
      <c r="D176" s="75" t="s">
        <v>100</v>
      </c>
      <c r="E176" s="56" t="s">
        <v>132</v>
      </c>
      <c r="F176" s="57">
        <v>1</v>
      </c>
      <c r="G176" s="57"/>
      <c r="H176" s="58"/>
      <c r="I176" s="59"/>
      <c r="J176" s="60" t="e">
        <f>+#REF!</f>
        <v>#REF!</v>
      </c>
      <c r="K176" s="61"/>
      <c r="L176" s="59"/>
      <c r="M176" s="60" t="e">
        <f>+#REF!</f>
        <v>#REF!</v>
      </c>
      <c r="N176" s="61"/>
      <c r="O176" s="59"/>
      <c r="P176" s="60" t="e">
        <f>+#REF!</f>
        <v>#REF!</v>
      </c>
      <c r="Q176" s="62"/>
      <c r="R176" s="59">
        <f t="shared" si="71"/>
        <v>0</v>
      </c>
      <c r="S176" s="60" t="e">
        <f t="shared" si="72"/>
        <v>#REF!</v>
      </c>
      <c r="T176" s="61">
        <f t="shared" si="73"/>
        <v>0</v>
      </c>
      <c r="U176" s="278" t="e">
        <f t="shared" si="55"/>
        <v>#REF!</v>
      </c>
    </row>
    <row r="177" spans="1:94" ht="30" x14ac:dyDescent="0.25">
      <c r="A177" s="256"/>
      <c r="B177" s="247" t="s">
        <v>131</v>
      </c>
      <c r="C177" s="75" t="s">
        <v>197</v>
      </c>
      <c r="D177" s="75" t="s">
        <v>103</v>
      </c>
      <c r="E177" s="56" t="s">
        <v>132</v>
      </c>
      <c r="F177" s="57">
        <v>6</v>
      </c>
      <c r="G177" s="57"/>
      <c r="H177" s="58"/>
      <c r="I177" s="59"/>
      <c r="J177" s="60" t="e">
        <f>+#REF!</f>
        <v>#REF!</v>
      </c>
      <c r="K177" s="61"/>
      <c r="L177" s="59"/>
      <c r="M177" s="60" t="e">
        <f>+#REF!</f>
        <v>#REF!</v>
      </c>
      <c r="N177" s="61"/>
      <c r="O177" s="59"/>
      <c r="P177" s="60" t="e">
        <f>+#REF!</f>
        <v>#REF!</v>
      </c>
      <c r="Q177" s="62"/>
      <c r="R177" s="59">
        <f t="shared" si="71"/>
        <v>0</v>
      </c>
      <c r="S177" s="60" t="e">
        <f t="shared" si="72"/>
        <v>#REF!</v>
      </c>
      <c r="T177" s="61">
        <f t="shared" si="73"/>
        <v>0</v>
      </c>
      <c r="U177" s="278" t="e">
        <f t="shared" si="55"/>
        <v>#REF!</v>
      </c>
    </row>
    <row r="178" spans="1:94" ht="30" x14ac:dyDescent="0.25">
      <c r="A178" s="256"/>
      <c r="B178" s="247" t="s">
        <v>131</v>
      </c>
      <c r="C178" s="75" t="s">
        <v>36</v>
      </c>
      <c r="D178" s="75" t="s">
        <v>92</v>
      </c>
      <c r="E178" s="56" t="s">
        <v>6</v>
      </c>
      <c r="F178" s="57">
        <v>70</v>
      </c>
      <c r="G178" s="57"/>
      <c r="H178" s="58"/>
      <c r="I178" s="59"/>
      <c r="J178" s="60">
        <f>+(2800*12*70)/15</f>
        <v>156800</v>
      </c>
      <c r="K178" s="61"/>
      <c r="L178" s="59"/>
      <c r="M178" s="60">
        <f>+(3100*12*70)/15</f>
        <v>173600</v>
      </c>
      <c r="N178" s="61"/>
      <c r="O178" s="59"/>
      <c r="P178" s="60">
        <f>+(3260*12*70)/15</f>
        <v>182560</v>
      </c>
      <c r="Q178" s="62"/>
      <c r="R178" s="59">
        <f t="shared" si="71"/>
        <v>0</v>
      </c>
      <c r="S178" s="60">
        <f t="shared" si="72"/>
        <v>512960</v>
      </c>
      <c r="T178" s="61">
        <f t="shared" si="73"/>
        <v>0</v>
      </c>
      <c r="U178" s="278">
        <f t="shared" si="55"/>
        <v>512960</v>
      </c>
    </row>
    <row r="179" spans="1:94" x14ac:dyDescent="0.25">
      <c r="A179" s="255" t="s">
        <v>477</v>
      </c>
      <c r="B179" s="231" t="s">
        <v>131</v>
      </c>
      <c r="C179" s="227" t="s">
        <v>5</v>
      </c>
      <c r="D179" s="228"/>
      <c r="E179" s="229"/>
      <c r="F179" s="230"/>
      <c r="G179" s="230"/>
      <c r="H179" s="231"/>
      <c r="I179" s="232"/>
      <c r="J179" s="231"/>
      <c r="K179" s="233"/>
      <c r="L179" s="232"/>
      <c r="M179" s="231"/>
      <c r="N179" s="233"/>
      <c r="O179" s="232"/>
      <c r="P179" s="231"/>
      <c r="Q179" s="231"/>
      <c r="R179" s="232"/>
      <c r="S179" s="231"/>
      <c r="T179" s="233"/>
      <c r="U179" s="233"/>
      <c r="V179" s="15"/>
      <c r="W179" s="15"/>
      <c r="X179" s="15"/>
      <c r="Y179" s="15"/>
      <c r="Z179" s="15"/>
      <c r="AA179" s="15"/>
      <c r="AB179" s="15"/>
      <c r="AC179" s="15"/>
      <c r="AD179" s="15"/>
      <c r="AE179" s="15"/>
      <c r="AF179" s="15"/>
      <c r="AG179" s="15"/>
      <c r="AH179" s="15"/>
      <c r="AI179" s="15"/>
      <c r="AJ179" s="15"/>
      <c r="AK179" s="15"/>
      <c r="AL179" s="15"/>
      <c r="AM179" s="15"/>
      <c r="AN179" s="15"/>
      <c r="AO179" s="15"/>
      <c r="AP179" s="15"/>
      <c r="AQ179" s="15"/>
      <c r="AR179" s="15"/>
      <c r="AS179" s="15"/>
      <c r="AT179" s="15"/>
      <c r="AU179" s="15"/>
      <c r="AV179" s="15"/>
      <c r="AW179" s="15"/>
      <c r="AX179" s="15"/>
      <c r="AY179" s="15"/>
      <c r="AZ179" s="15"/>
      <c r="BA179" s="15"/>
      <c r="BB179" s="15"/>
      <c r="BC179" s="15"/>
      <c r="BD179" s="15"/>
      <c r="BE179" s="15"/>
      <c r="BF179" s="15"/>
      <c r="BG179" s="15"/>
      <c r="BH179" s="15"/>
      <c r="BI179" s="15"/>
      <c r="BJ179" s="15"/>
      <c r="BK179" s="15"/>
      <c r="BL179" s="15"/>
      <c r="BM179" s="15"/>
      <c r="BN179" s="15"/>
      <c r="BO179" s="15"/>
      <c r="BP179" s="15"/>
      <c r="BQ179" s="15"/>
      <c r="BR179" s="15"/>
      <c r="BS179" s="15"/>
      <c r="BT179" s="15"/>
      <c r="BU179" s="15"/>
      <c r="BV179" s="15"/>
      <c r="BW179" s="15"/>
      <c r="BX179" s="15"/>
      <c r="BY179" s="15"/>
      <c r="BZ179" s="15"/>
      <c r="CA179" s="15"/>
      <c r="CB179" s="15"/>
      <c r="CC179" s="15"/>
      <c r="CD179" s="15"/>
      <c r="CE179" s="15"/>
      <c r="CF179" s="15"/>
      <c r="CG179" s="15"/>
      <c r="CH179" s="15"/>
      <c r="CI179" s="15"/>
      <c r="CJ179" s="15"/>
      <c r="CK179" s="15"/>
      <c r="CL179" s="15"/>
      <c r="CM179" s="15"/>
      <c r="CN179" s="15"/>
      <c r="CO179" s="15"/>
      <c r="CP179" s="15"/>
    </row>
    <row r="180" spans="1:94" s="85" customFormat="1" x14ac:dyDescent="0.25">
      <c r="A180" s="256"/>
      <c r="B180" s="246" t="s">
        <v>131</v>
      </c>
      <c r="C180" s="56" t="s">
        <v>17</v>
      </c>
      <c r="D180" s="86" t="s">
        <v>53</v>
      </c>
      <c r="E180" s="86" t="s">
        <v>133</v>
      </c>
      <c r="F180" s="27"/>
      <c r="G180" s="27"/>
      <c r="H180" s="28"/>
      <c r="I180" s="72">
        <v>24000</v>
      </c>
      <c r="J180" s="73"/>
      <c r="K180" s="74"/>
      <c r="L180" s="72">
        <v>48000</v>
      </c>
      <c r="M180" s="73"/>
      <c r="N180" s="74"/>
      <c r="O180" s="72"/>
      <c r="P180" s="73"/>
      <c r="Q180" s="273"/>
      <c r="R180" s="59">
        <f t="shared" ref="R180:R181" si="74">+O180+L180+I180</f>
        <v>72000</v>
      </c>
      <c r="S180" s="60">
        <f t="shared" ref="S180:S181" si="75">+P180+M180+J180</f>
        <v>0</v>
      </c>
      <c r="T180" s="61">
        <f t="shared" ref="T180:T181" si="76">+Q180+N180+K180</f>
        <v>0</v>
      </c>
      <c r="U180" s="278">
        <f t="shared" si="55"/>
        <v>72000</v>
      </c>
      <c r="V180" s="15"/>
      <c r="W180" s="15"/>
      <c r="X180" s="15"/>
      <c r="Y180" s="15"/>
      <c r="Z180" s="15"/>
      <c r="AA180" s="15"/>
      <c r="AB180" s="15"/>
      <c r="AC180" s="15"/>
      <c r="AD180" s="15"/>
      <c r="AE180" s="15"/>
      <c r="AF180" s="15"/>
      <c r="AG180" s="15"/>
      <c r="AH180" s="15"/>
      <c r="AI180" s="15"/>
      <c r="AJ180" s="15"/>
      <c r="AK180" s="15"/>
      <c r="AL180" s="15"/>
      <c r="AM180" s="15"/>
      <c r="AN180" s="15"/>
      <c r="AO180" s="15"/>
      <c r="AP180" s="15"/>
      <c r="AQ180" s="15"/>
      <c r="AR180" s="15"/>
      <c r="AS180" s="15"/>
      <c r="AT180" s="15"/>
      <c r="AU180" s="15"/>
      <c r="AV180" s="15"/>
      <c r="AW180" s="15"/>
      <c r="AX180" s="15"/>
      <c r="AY180" s="15"/>
      <c r="AZ180" s="15"/>
      <c r="BA180" s="15"/>
      <c r="BB180" s="15"/>
      <c r="BC180" s="15"/>
      <c r="BD180" s="15"/>
      <c r="BE180" s="15"/>
      <c r="BF180" s="15"/>
      <c r="BG180" s="15"/>
      <c r="BH180" s="15"/>
      <c r="BI180" s="15"/>
      <c r="BJ180" s="15"/>
      <c r="BK180" s="15"/>
      <c r="BL180" s="15"/>
      <c r="BM180" s="15"/>
      <c r="BN180" s="15"/>
      <c r="BO180" s="15"/>
      <c r="BP180" s="15"/>
      <c r="BQ180" s="15"/>
      <c r="BR180" s="15"/>
      <c r="BS180" s="15"/>
      <c r="BT180" s="15"/>
      <c r="BU180" s="15"/>
      <c r="BV180" s="15"/>
      <c r="BW180" s="15"/>
      <c r="BX180" s="15"/>
      <c r="BY180" s="15"/>
      <c r="BZ180" s="15"/>
      <c r="CA180" s="15"/>
      <c r="CB180" s="15"/>
      <c r="CC180" s="15"/>
      <c r="CD180" s="15"/>
      <c r="CE180" s="15"/>
      <c r="CF180" s="15"/>
      <c r="CG180" s="15"/>
      <c r="CH180" s="15"/>
      <c r="CI180" s="15"/>
      <c r="CJ180" s="15"/>
      <c r="CK180" s="15"/>
      <c r="CL180" s="15"/>
      <c r="CM180" s="15"/>
      <c r="CN180" s="15"/>
      <c r="CO180" s="15"/>
      <c r="CP180" s="15"/>
    </row>
    <row r="181" spans="1:94" x14ac:dyDescent="0.25">
      <c r="A181" s="256"/>
      <c r="B181" s="246" t="s">
        <v>131</v>
      </c>
      <c r="C181" s="56" t="s">
        <v>45</v>
      </c>
      <c r="D181" s="56" t="s">
        <v>90</v>
      </c>
      <c r="E181" s="56" t="s">
        <v>135</v>
      </c>
      <c r="F181" s="63"/>
      <c r="G181" s="63"/>
      <c r="H181" s="64"/>
      <c r="I181" s="72">
        <v>30000</v>
      </c>
      <c r="J181" s="73"/>
      <c r="K181" s="74"/>
      <c r="L181" s="72">
        <v>45000</v>
      </c>
      <c r="M181" s="73"/>
      <c r="N181" s="74"/>
      <c r="O181" s="72">
        <v>50000</v>
      </c>
      <c r="P181" s="73"/>
      <c r="Q181" s="273"/>
      <c r="R181" s="59">
        <f t="shared" si="74"/>
        <v>125000</v>
      </c>
      <c r="S181" s="60">
        <f t="shared" si="75"/>
        <v>0</v>
      </c>
      <c r="T181" s="61">
        <f t="shared" si="76"/>
        <v>0</v>
      </c>
      <c r="U181" s="278">
        <f t="shared" ref="U181:U244" si="77">+R181+S181+T181</f>
        <v>125000</v>
      </c>
    </row>
    <row r="182" spans="1:94" x14ac:dyDescent="0.25">
      <c r="A182" s="255" t="s">
        <v>478</v>
      </c>
      <c r="B182" s="231" t="s">
        <v>131</v>
      </c>
      <c r="C182" s="227" t="s">
        <v>7</v>
      </c>
      <c r="D182" s="228"/>
      <c r="E182" s="229"/>
      <c r="F182" s="230"/>
      <c r="G182" s="230"/>
      <c r="H182" s="231"/>
      <c r="I182" s="232"/>
      <c r="J182" s="231"/>
      <c r="K182" s="233"/>
      <c r="L182" s="232"/>
      <c r="M182" s="231"/>
      <c r="N182" s="233"/>
      <c r="O182" s="232"/>
      <c r="P182" s="231"/>
      <c r="Q182" s="231"/>
      <c r="R182" s="232"/>
      <c r="S182" s="231"/>
      <c r="T182" s="233"/>
      <c r="U182" s="233"/>
      <c r="V182" s="15"/>
      <c r="W182" s="15"/>
      <c r="X182" s="15"/>
      <c r="Y182" s="15"/>
      <c r="Z182" s="15"/>
      <c r="AA182" s="15"/>
      <c r="AB182" s="15"/>
      <c r="AC182" s="15"/>
      <c r="AD182" s="15"/>
      <c r="AE182" s="15"/>
      <c r="AF182" s="15"/>
      <c r="AG182" s="15"/>
      <c r="AH182" s="15"/>
      <c r="AI182" s="15"/>
      <c r="AJ182" s="15"/>
      <c r="AK182" s="15"/>
      <c r="AL182" s="15"/>
      <c r="AM182" s="15"/>
      <c r="AN182" s="15"/>
      <c r="AO182" s="15"/>
      <c r="AP182" s="15"/>
      <c r="AQ182" s="15"/>
      <c r="AR182" s="15"/>
      <c r="AS182" s="15"/>
      <c r="AT182" s="15"/>
      <c r="AU182" s="15"/>
      <c r="AV182" s="15"/>
      <c r="AW182" s="15"/>
      <c r="AX182" s="15"/>
      <c r="AY182" s="15"/>
      <c r="AZ182" s="15"/>
      <c r="BA182" s="15"/>
      <c r="BB182" s="15"/>
      <c r="BC182" s="15"/>
      <c r="BD182" s="15"/>
      <c r="BE182" s="15"/>
      <c r="BF182" s="15"/>
      <c r="BG182" s="15"/>
      <c r="BH182" s="15"/>
      <c r="BI182" s="15"/>
      <c r="BJ182" s="15"/>
      <c r="BK182" s="15"/>
      <c r="BL182" s="15"/>
      <c r="BM182" s="15"/>
      <c r="BN182" s="15"/>
      <c r="BO182" s="15"/>
      <c r="BP182" s="15"/>
      <c r="BQ182" s="15"/>
      <c r="BR182" s="15"/>
      <c r="BS182" s="15"/>
      <c r="BT182" s="15"/>
      <c r="BU182" s="15"/>
      <c r="BV182" s="15"/>
      <c r="BW182" s="15"/>
      <c r="BX182" s="15"/>
      <c r="BY182" s="15"/>
      <c r="BZ182" s="15"/>
      <c r="CA182" s="15"/>
      <c r="CB182" s="15"/>
      <c r="CC182" s="15"/>
      <c r="CD182" s="15"/>
      <c r="CE182" s="15"/>
      <c r="CF182" s="15"/>
      <c r="CG182" s="15"/>
      <c r="CH182" s="15"/>
      <c r="CI182" s="15"/>
      <c r="CJ182" s="15"/>
      <c r="CK182" s="15"/>
      <c r="CL182" s="15"/>
      <c r="CM182" s="15"/>
      <c r="CN182" s="15"/>
      <c r="CO182" s="15"/>
      <c r="CP182" s="15"/>
    </row>
    <row r="183" spans="1:94" ht="45" x14ac:dyDescent="0.25">
      <c r="A183" s="256"/>
      <c r="B183" s="246" t="s">
        <v>131</v>
      </c>
      <c r="C183" s="56" t="s">
        <v>11</v>
      </c>
      <c r="D183" s="75" t="s">
        <v>11</v>
      </c>
      <c r="E183" s="56" t="s">
        <v>46</v>
      </c>
      <c r="F183" s="57"/>
      <c r="G183" s="57"/>
      <c r="H183" s="58"/>
      <c r="I183" s="59">
        <v>34300</v>
      </c>
      <c r="J183" s="60"/>
      <c r="K183" s="61"/>
      <c r="L183" s="59">
        <f>+I183*1.35</f>
        <v>46305</v>
      </c>
      <c r="M183" s="60"/>
      <c r="N183" s="61"/>
      <c r="O183" s="59">
        <f>+L183*1.45</f>
        <v>67142.25</v>
      </c>
      <c r="P183" s="60"/>
      <c r="Q183" s="62"/>
      <c r="R183" s="59">
        <f t="shared" ref="R183:R184" si="78">+O183+L183+I183</f>
        <v>147747.25</v>
      </c>
      <c r="S183" s="60">
        <f t="shared" ref="S183:S184" si="79">+P183+M183+J183</f>
        <v>0</v>
      </c>
      <c r="T183" s="61">
        <f t="shared" ref="T183:T184" si="80">+Q183+N183+K183</f>
        <v>0</v>
      </c>
      <c r="U183" s="278">
        <f t="shared" si="77"/>
        <v>147747.25</v>
      </c>
    </row>
    <row r="184" spans="1:94" ht="45" x14ac:dyDescent="0.25">
      <c r="A184" s="256"/>
      <c r="B184" s="246" t="s">
        <v>131</v>
      </c>
      <c r="C184" s="56" t="s">
        <v>54</v>
      </c>
      <c r="D184" s="75" t="s">
        <v>54</v>
      </c>
      <c r="E184" s="56" t="s">
        <v>46</v>
      </c>
      <c r="F184" s="57"/>
      <c r="G184" s="57"/>
      <c r="H184" s="58"/>
      <c r="I184" s="22">
        <v>12000</v>
      </c>
      <c r="J184" s="20"/>
      <c r="K184" s="24"/>
      <c r="L184" s="22">
        <f t="shared" ref="L184:O184" si="81">400*2*15</f>
        <v>12000</v>
      </c>
      <c r="M184" s="20"/>
      <c r="N184" s="24"/>
      <c r="O184" s="22">
        <f t="shared" si="81"/>
        <v>12000</v>
      </c>
      <c r="P184" s="20"/>
      <c r="Q184" s="274"/>
      <c r="R184" s="59">
        <f t="shared" si="78"/>
        <v>36000</v>
      </c>
      <c r="S184" s="60">
        <f t="shared" si="79"/>
        <v>0</v>
      </c>
      <c r="T184" s="61">
        <f t="shared" si="80"/>
        <v>0</v>
      </c>
      <c r="U184" s="278">
        <f t="shared" si="77"/>
        <v>36000</v>
      </c>
    </row>
    <row r="185" spans="1:94" x14ac:dyDescent="0.25">
      <c r="A185" s="255" t="s">
        <v>479</v>
      </c>
      <c r="B185" s="231" t="s">
        <v>131</v>
      </c>
      <c r="C185" s="227" t="s">
        <v>25</v>
      </c>
      <c r="D185" s="228"/>
      <c r="E185" s="229"/>
      <c r="F185" s="230"/>
      <c r="G185" s="230"/>
      <c r="H185" s="231"/>
      <c r="I185" s="232"/>
      <c r="J185" s="231"/>
      <c r="K185" s="233"/>
      <c r="L185" s="232"/>
      <c r="M185" s="231"/>
      <c r="N185" s="233"/>
      <c r="O185" s="232"/>
      <c r="P185" s="231"/>
      <c r="Q185" s="231"/>
      <c r="R185" s="232"/>
      <c r="S185" s="231"/>
      <c r="T185" s="233"/>
      <c r="U185" s="233"/>
      <c r="V185" s="15"/>
      <c r="W185" s="15"/>
      <c r="X185" s="15"/>
      <c r="Y185" s="15"/>
      <c r="Z185" s="15"/>
      <c r="AA185" s="15"/>
      <c r="AB185" s="15"/>
      <c r="AC185" s="15"/>
      <c r="AD185" s="15"/>
      <c r="AE185" s="15"/>
      <c r="AF185" s="15"/>
      <c r="AG185" s="15"/>
      <c r="AH185" s="15"/>
      <c r="AI185" s="15"/>
      <c r="AJ185" s="15"/>
      <c r="AK185" s="15"/>
      <c r="AL185" s="15"/>
      <c r="AM185" s="15"/>
      <c r="AN185" s="15"/>
      <c r="AO185" s="15"/>
      <c r="AP185" s="15"/>
      <c r="AQ185" s="15"/>
      <c r="AR185" s="15"/>
      <c r="AS185" s="15"/>
      <c r="AT185" s="15"/>
      <c r="AU185" s="15"/>
      <c r="AV185" s="15"/>
      <c r="AW185" s="15"/>
      <c r="AX185" s="15"/>
      <c r="AY185" s="15"/>
      <c r="AZ185" s="15"/>
      <c r="BA185" s="15"/>
      <c r="BB185" s="15"/>
      <c r="BC185" s="15"/>
      <c r="BD185" s="15"/>
      <c r="BE185" s="15"/>
      <c r="BF185" s="15"/>
      <c r="BG185" s="15"/>
      <c r="BH185" s="15"/>
      <c r="BI185" s="15"/>
      <c r="BJ185" s="15"/>
      <c r="BK185" s="15"/>
      <c r="BL185" s="15"/>
      <c r="BM185" s="15"/>
      <c r="BN185" s="15"/>
      <c r="BO185" s="15"/>
      <c r="BP185" s="15"/>
      <c r="BQ185" s="15"/>
      <c r="BR185" s="15"/>
      <c r="BS185" s="15"/>
      <c r="BT185" s="15"/>
      <c r="BU185" s="15"/>
      <c r="BV185" s="15"/>
      <c r="BW185" s="15"/>
      <c r="BX185" s="15"/>
      <c r="BY185" s="15"/>
      <c r="BZ185" s="15"/>
      <c r="CA185" s="15"/>
      <c r="CB185" s="15"/>
      <c r="CC185" s="15"/>
      <c r="CD185" s="15"/>
      <c r="CE185" s="15"/>
      <c r="CF185" s="15"/>
      <c r="CG185" s="15"/>
      <c r="CH185" s="15"/>
      <c r="CI185" s="15"/>
      <c r="CJ185" s="15"/>
      <c r="CK185" s="15"/>
      <c r="CL185" s="15"/>
      <c r="CM185" s="15"/>
      <c r="CN185" s="15"/>
      <c r="CO185" s="15"/>
      <c r="CP185" s="15"/>
    </row>
    <row r="186" spans="1:94" ht="30" x14ac:dyDescent="0.25">
      <c r="A186" s="256"/>
      <c r="B186" s="244" t="s">
        <v>131</v>
      </c>
      <c r="C186" s="18" t="s">
        <v>26</v>
      </c>
      <c r="D186" s="18" t="s">
        <v>91</v>
      </c>
      <c r="E186" s="86" t="s">
        <v>134</v>
      </c>
      <c r="F186" s="80"/>
      <c r="G186" s="80"/>
      <c r="H186" s="81"/>
      <c r="I186" s="22">
        <v>17000</v>
      </c>
      <c r="J186" s="20"/>
      <c r="K186" s="24"/>
      <c r="L186" s="22">
        <v>17000</v>
      </c>
      <c r="M186" s="20"/>
      <c r="N186" s="24"/>
      <c r="O186" s="22">
        <v>0</v>
      </c>
      <c r="P186" s="20"/>
      <c r="Q186" s="274"/>
      <c r="R186" s="59">
        <f t="shared" ref="R186" si="82">+O186+L186+I186</f>
        <v>34000</v>
      </c>
      <c r="S186" s="60">
        <f t="shared" ref="S186" si="83">+P186+M186+J186</f>
        <v>0</v>
      </c>
      <c r="T186" s="61">
        <f t="shared" ref="T186" si="84">+Q186+N186+K186</f>
        <v>0</v>
      </c>
      <c r="U186" s="278">
        <f t="shared" si="77"/>
        <v>34000</v>
      </c>
    </row>
    <row r="187" spans="1:94" x14ac:dyDescent="0.25">
      <c r="A187" s="255" t="s">
        <v>480</v>
      </c>
      <c r="B187" s="231" t="s">
        <v>131</v>
      </c>
      <c r="C187" s="227" t="s">
        <v>481</v>
      </c>
      <c r="D187" s="228"/>
      <c r="E187" s="229"/>
      <c r="F187" s="230"/>
      <c r="G187" s="230"/>
      <c r="H187" s="231"/>
      <c r="I187" s="232"/>
      <c r="J187" s="231"/>
      <c r="K187" s="233"/>
      <c r="L187" s="232"/>
      <c r="M187" s="231"/>
      <c r="N187" s="233"/>
      <c r="O187" s="232"/>
      <c r="P187" s="231"/>
      <c r="Q187" s="231"/>
      <c r="R187" s="232"/>
      <c r="S187" s="231"/>
      <c r="T187" s="233"/>
      <c r="U187" s="279"/>
    </row>
    <row r="188" spans="1:94" x14ac:dyDescent="0.25">
      <c r="A188" s="256"/>
      <c r="B188" s="247" t="s">
        <v>131</v>
      </c>
      <c r="C188" s="75" t="s">
        <v>43</v>
      </c>
      <c r="D188" s="75" t="s">
        <v>198</v>
      </c>
      <c r="E188" s="56" t="s">
        <v>132</v>
      </c>
      <c r="F188" s="57">
        <v>3</v>
      </c>
      <c r="G188" s="57"/>
      <c r="H188" s="58"/>
      <c r="I188" s="59"/>
      <c r="J188" s="60" t="e">
        <f>+#REF!</f>
        <v>#REF!</v>
      </c>
      <c r="K188" s="61"/>
      <c r="L188" s="59"/>
      <c r="M188" s="60" t="e">
        <f>+#REF!</f>
        <v>#REF!</v>
      </c>
      <c r="N188" s="61"/>
      <c r="O188" s="59"/>
      <c r="P188" s="60" t="e">
        <f>+#REF!</f>
        <v>#REF!</v>
      </c>
      <c r="Q188" s="62"/>
      <c r="R188" s="59">
        <f t="shared" ref="R188:R190" si="85">+O188+L188+I188</f>
        <v>0</v>
      </c>
      <c r="S188" s="60" t="e">
        <f t="shared" ref="S188:S190" si="86">+P188+M188+J188</f>
        <v>#REF!</v>
      </c>
      <c r="T188" s="61">
        <f t="shared" ref="T188:T190" si="87">+Q188+N188+K188</f>
        <v>0</v>
      </c>
      <c r="U188" s="278" t="e">
        <f>+R188+S188+T188</f>
        <v>#REF!</v>
      </c>
    </row>
    <row r="189" spans="1:94" x14ac:dyDescent="0.25">
      <c r="A189" s="256"/>
      <c r="B189" s="246" t="s">
        <v>131</v>
      </c>
      <c r="C189" s="56" t="s">
        <v>44</v>
      </c>
      <c r="D189" s="75" t="s">
        <v>104</v>
      </c>
      <c r="E189" s="56" t="s">
        <v>132</v>
      </c>
      <c r="F189" s="57">
        <v>1</v>
      </c>
      <c r="G189" s="57"/>
      <c r="H189" s="58"/>
      <c r="I189" s="59"/>
      <c r="J189" s="60" t="e">
        <f>+#REF!</f>
        <v>#REF!</v>
      </c>
      <c r="K189" s="61"/>
      <c r="L189" s="59"/>
      <c r="M189" s="60" t="e">
        <f>+#REF!</f>
        <v>#REF!</v>
      </c>
      <c r="N189" s="61"/>
      <c r="O189" s="59"/>
      <c r="P189" s="60" t="e">
        <f>+#REF!</f>
        <v>#REF!</v>
      </c>
      <c r="Q189" s="62"/>
      <c r="R189" s="59">
        <f t="shared" si="85"/>
        <v>0</v>
      </c>
      <c r="S189" s="60" t="e">
        <f t="shared" si="86"/>
        <v>#REF!</v>
      </c>
      <c r="T189" s="61">
        <f t="shared" si="87"/>
        <v>0</v>
      </c>
      <c r="U189" s="278" t="e">
        <f>+R189+S189+T189</f>
        <v>#REF!</v>
      </c>
    </row>
    <row r="190" spans="1:94" x14ac:dyDescent="0.25">
      <c r="A190" s="256"/>
      <c r="B190" s="248" t="s">
        <v>131</v>
      </c>
      <c r="C190" s="86" t="s">
        <v>40</v>
      </c>
      <c r="D190" s="86" t="s">
        <v>42</v>
      </c>
      <c r="E190" s="86" t="s">
        <v>133</v>
      </c>
      <c r="F190" s="21">
        <v>15</v>
      </c>
      <c r="G190" s="21"/>
      <c r="H190" s="87"/>
      <c r="I190" s="88"/>
      <c r="J190" s="89"/>
      <c r="K190" s="90"/>
      <c r="L190" s="69">
        <f>1200*15</f>
        <v>18000</v>
      </c>
      <c r="M190" s="70"/>
      <c r="N190" s="71"/>
      <c r="O190" s="69"/>
      <c r="P190" s="70"/>
      <c r="Q190" s="272"/>
      <c r="R190" s="59">
        <f t="shared" si="85"/>
        <v>18000</v>
      </c>
      <c r="S190" s="60">
        <f t="shared" si="86"/>
        <v>0</v>
      </c>
      <c r="T190" s="61">
        <f t="shared" si="87"/>
        <v>0</v>
      </c>
      <c r="U190" s="278">
        <f>+R190+S190+T190</f>
        <v>18000</v>
      </c>
    </row>
    <row r="191" spans="1:94" x14ac:dyDescent="0.25">
      <c r="A191" s="252" t="s">
        <v>430</v>
      </c>
      <c r="B191" s="243" t="s">
        <v>431</v>
      </c>
      <c r="C191" s="216"/>
      <c r="D191" s="217"/>
      <c r="E191" s="217"/>
      <c r="F191" s="217"/>
      <c r="G191" s="217"/>
      <c r="H191" s="217"/>
      <c r="I191" s="218"/>
      <c r="J191" s="219"/>
      <c r="K191" s="220"/>
      <c r="L191" s="218"/>
      <c r="M191" s="219"/>
      <c r="N191" s="220"/>
      <c r="O191" s="218"/>
      <c r="P191" s="219"/>
      <c r="Q191" s="219"/>
      <c r="R191" s="218"/>
      <c r="S191" s="219"/>
      <c r="T191" s="220"/>
      <c r="U191" s="277"/>
    </row>
    <row r="192" spans="1:94" x14ac:dyDescent="0.25">
      <c r="A192" s="253" t="s">
        <v>432</v>
      </c>
      <c r="B192" s="224" t="s">
        <v>131</v>
      </c>
      <c r="C192" s="221" t="s">
        <v>433</v>
      </c>
      <c r="D192" s="222"/>
      <c r="E192" s="223"/>
      <c r="F192" s="204"/>
      <c r="G192" s="204"/>
      <c r="H192" s="224"/>
      <c r="I192" s="225"/>
      <c r="J192" s="224"/>
      <c r="K192" s="226"/>
      <c r="L192" s="225"/>
      <c r="M192" s="224"/>
      <c r="N192" s="226"/>
      <c r="O192" s="225"/>
      <c r="P192" s="224"/>
      <c r="Q192" s="224"/>
      <c r="R192" s="225"/>
      <c r="S192" s="224"/>
      <c r="T192" s="226"/>
      <c r="U192" s="226"/>
    </row>
    <row r="193" spans="1:21" x14ac:dyDescent="0.25">
      <c r="A193" s="255" t="s">
        <v>482</v>
      </c>
      <c r="B193" s="231" t="s">
        <v>131</v>
      </c>
      <c r="C193" s="227" t="s">
        <v>21</v>
      </c>
      <c r="D193" s="228"/>
      <c r="E193" s="229"/>
      <c r="F193" s="230"/>
      <c r="G193" s="230"/>
      <c r="H193" s="231"/>
      <c r="I193" s="232"/>
      <c r="J193" s="231"/>
      <c r="K193" s="233"/>
      <c r="L193" s="232"/>
      <c r="M193" s="231"/>
      <c r="N193" s="233"/>
      <c r="O193" s="232"/>
      <c r="P193" s="231"/>
      <c r="Q193" s="231"/>
      <c r="R193" s="232"/>
      <c r="S193" s="231"/>
      <c r="T193" s="233"/>
      <c r="U193" s="279"/>
    </row>
    <row r="194" spans="1:21" x14ac:dyDescent="0.25">
      <c r="A194" s="256"/>
      <c r="B194" s="247" t="s">
        <v>131</v>
      </c>
      <c r="C194" s="75" t="s">
        <v>35</v>
      </c>
      <c r="D194" s="75" t="s">
        <v>87</v>
      </c>
      <c r="E194" s="56" t="s">
        <v>138</v>
      </c>
      <c r="F194" s="57"/>
      <c r="G194" s="57"/>
      <c r="H194" s="58"/>
      <c r="J194" s="59">
        <v>1852891.6923076923</v>
      </c>
      <c r="K194" s="61"/>
      <c r="M194" s="59">
        <f>(132589*16+177905*5)/13*10</f>
        <v>2316114.6153846155</v>
      </c>
      <c r="N194" s="61"/>
      <c r="P194" s="59">
        <f>(132589*16+177905*5)/13*13</f>
        <v>3010949</v>
      </c>
      <c r="Q194" s="62"/>
      <c r="R194" s="59">
        <f>+O194+L194+I194</f>
        <v>0</v>
      </c>
      <c r="S194" s="60">
        <f>+P194+M194+J194</f>
        <v>7179955.307692308</v>
      </c>
      <c r="T194" s="61">
        <f>+Q194+N194+K194</f>
        <v>0</v>
      </c>
      <c r="U194" s="278">
        <f>+R194+S194+T194</f>
        <v>7179955.307692308</v>
      </c>
    </row>
    <row r="195" spans="1:21" ht="30" x14ac:dyDescent="0.25">
      <c r="A195" s="256"/>
      <c r="B195" s="247" t="s">
        <v>131</v>
      </c>
      <c r="C195" s="75" t="s">
        <v>10</v>
      </c>
      <c r="D195" s="75" t="s">
        <v>88</v>
      </c>
      <c r="E195" s="56" t="s">
        <v>135</v>
      </c>
      <c r="F195" s="57"/>
      <c r="G195" s="57"/>
      <c r="H195" s="58"/>
      <c r="I195" s="59">
        <v>80000</v>
      </c>
      <c r="J195" s="60"/>
      <c r="K195" s="61"/>
      <c r="L195" s="59">
        <v>120000</v>
      </c>
      <c r="M195" s="60"/>
      <c r="N195" s="61"/>
      <c r="O195" s="59">
        <v>130000</v>
      </c>
      <c r="P195" s="60"/>
      <c r="Q195" s="62"/>
      <c r="R195" s="59">
        <f t="shared" ref="R195" si="88">+O195+L195+I195</f>
        <v>330000</v>
      </c>
      <c r="S195" s="60">
        <f t="shared" ref="S195" si="89">+P195+M195+J195</f>
        <v>0</v>
      </c>
      <c r="T195" s="61">
        <f t="shared" ref="T195" si="90">+Q195+N195+K195</f>
        <v>0</v>
      </c>
      <c r="U195" s="278">
        <f>+R195+S195+T195</f>
        <v>330000</v>
      </c>
    </row>
    <row r="196" spans="1:21" x14ac:dyDescent="0.25">
      <c r="A196" s="255" t="s">
        <v>483</v>
      </c>
      <c r="B196" s="231" t="s">
        <v>131</v>
      </c>
      <c r="C196" s="227" t="s">
        <v>7</v>
      </c>
      <c r="D196" s="228"/>
      <c r="E196" s="229"/>
      <c r="F196" s="230"/>
      <c r="G196" s="230"/>
      <c r="H196" s="231"/>
      <c r="I196" s="232"/>
      <c r="J196" s="231"/>
      <c r="K196" s="233"/>
      <c r="L196" s="232"/>
      <c r="M196" s="231"/>
      <c r="N196" s="233"/>
      <c r="O196" s="232"/>
      <c r="P196" s="231"/>
      <c r="Q196" s="231"/>
      <c r="R196" s="232"/>
      <c r="S196" s="231"/>
      <c r="T196" s="233"/>
      <c r="U196" s="279"/>
    </row>
    <row r="197" spans="1:21" ht="30" x14ac:dyDescent="0.25">
      <c r="A197" s="256"/>
      <c r="B197" s="247" t="s">
        <v>131</v>
      </c>
      <c r="C197" s="75" t="s">
        <v>11</v>
      </c>
      <c r="D197" s="75" t="s">
        <v>88</v>
      </c>
      <c r="E197" s="56" t="s">
        <v>136</v>
      </c>
      <c r="F197" s="57"/>
      <c r="G197" s="57"/>
      <c r="H197" s="58"/>
      <c r="I197" s="59">
        <v>17640</v>
      </c>
      <c r="J197" s="60"/>
      <c r="K197" s="61"/>
      <c r="L197" s="59">
        <f>+I197*1.35</f>
        <v>23814</v>
      </c>
      <c r="M197" s="60"/>
      <c r="N197" s="61"/>
      <c r="O197" s="59">
        <f>+L197*1.45</f>
        <v>34530.299999999996</v>
      </c>
      <c r="P197" s="60"/>
      <c r="Q197" s="62"/>
      <c r="R197" s="59">
        <f t="shared" ref="R197:R198" si="91">+O197+L197+I197</f>
        <v>75984.299999999988</v>
      </c>
      <c r="S197" s="60">
        <f t="shared" ref="S197:S198" si="92">+P197+M197+J197</f>
        <v>0</v>
      </c>
      <c r="T197" s="61">
        <f t="shared" ref="T197:T198" si="93">+Q197+N197+K197</f>
        <v>0</v>
      </c>
      <c r="U197" s="278">
        <f>+R197+S197+T197</f>
        <v>75984.299999999988</v>
      </c>
    </row>
    <row r="198" spans="1:21" ht="30" x14ac:dyDescent="0.25">
      <c r="A198" s="256"/>
      <c r="B198" s="246" t="s">
        <v>131</v>
      </c>
      <c r="C198" s="56" t="s">
        <v>175</v>
      </c>
      <c r="D198" s="75" t="s">
        <v>88</v>
      </c>
      <c r="E198" s="56" t="s">
        <v>137</v>
      </c>
      <c r="F198" s="57"/>
      <c r="G198" s="57"/>
      <c r="H198" s="58"/>
      <c r="I198" s="59">
        <v>3000</v>
      </c>
      <c r="J198" s="60"/>
      <c r="K198" s="61"/>
      <c r="L198" s="59">
        <f>+I198*1.3</f>
        <v>3900</v>
      </c>
      <c r="M198" s="60"/>
      <c r="N198" s="61"/>
      <c r="O198" s="59">
        <v>5070</v>
      </c>
      <c r="P198" s="60"/>
      <c r="Q198" s="62"/>
      <c r="R198" s="59">
        <f t="shared" si="91"/>
        <v>11970</v>
      </c>
      <c r="S198" s="60">
        <f t="shared" si="92"/>
        <v>0</v>
      </c>
      <c r="T198" s="61">
        <f t="shared" si="93"/>
        <v>0</v>
      </c>
      <c r="U198" s="278">
        <f>+R198+S198+T198</f>
        <v>11970</v>
      </c>
    </row>
    <row r="199" spans="1:21" x14ac:dyDescent="0.25">
      <c r="A199" s="253" t="s">
        <v>435</v>
      </c>
      <c r="B199" s="224" t="s">
        <v>131</v>
      </c>
      <c r="C199" s="221" t="s">
        <v>434</v>
      </c>
      <c r="D199" s="222"/>
      <c r="E199" s="223"/>
      <c r="F199" s="204"/>
      <c r="G199" s="204"/>
      <c r="H199" s="224"/>
      <c r="I199" s="225"/>
      <c r="J199" s="224"/>
      <c r="K199" s="226"/>
      <c r="L199" s="225"/>
      <c r="M199" s="224"/>
      <c r="N199" s="226"/>
      <c r="O199" s="225"/>
      <c r="P199" s="224"/>
      <c r="Q199" s="224"/>
      <c r="R199" s="225"/>
      <c r="S199" s="224"/>
      <c r="T199" s="226"/>
      <c r="U199" s="226"/>
    </row>
    <row r="200" spans="1:21" x14ac:dyDescent="0.25">
      <c r="A200" s="255" t="s">
        <v>484</v>
      </c>
      <c r="B200" s="231" t="s">
        <v>131</v>
      </c>
      <c r="C200" s="227" t="s">
        <v>1</v>
      </c>
      <c r="D200" s="228"/>
      <c r="E200" s="229"/>
      <c r="F200" s="230"/>
      <c r="G200" s="230"/>
      <c r="H200" s="231"/>
      <c r="I200" s="232"/>
      <c r="J200" s="231"/>
      <c r="K200" s="233"/>
      <c r="L200" s="232"/>
      <c r="M200" s="231"/>
      <c r="N200" s="233"/>
      <c r="O200" s="232"/>
      <c r="P200" s="231"/>
      <c r="Q200" s="231"/>
      <c r="R200" s="232"/>
      <c r="S200" s="231"/>
      <c r="T200" s="233"/>
      <c r="U200" s="279"/>
    </row>
    <row r="201" spans="1:21" ht="30" x14ac:dyDescent="0.25">
      <c r="A201" s="256"/>
      <c r="B201" s="247" t="s">
        <v>131</v>
      </c>
      <c r="C201" s="75" t="s">
        <v>61</v>
      </c>
      <c r="D201" s="75" t="s">
        <v>188</v>
      </c>
      <c r="E201" s="56" t="s">
        <v>132</v>
      </c>
      <c r="F201" s="57">
        <v>1</v>
      </c>
      <c r="G201" s="57"/>
      <c r="H201" s="58"/>
      <c r="I201" s="59"/>
      <c r="J201" s="60" t="e">
        <f>+#REF!</f>
        <v>#REF!</v>
      </c>
      <c r="K201" s="61"/>
      <c r="L201" s="59"/>
      <c r="M201" s="60" t="e">
        <f>+#REF!</f>
        <v>#REF!</v>
      </c>
      <c r="N201" s="61"/>
      <c r="O201" s="59"/>
      <c r="P201" s="60" t="e">
        <f>+#REF!</f>
        <v>#REF!</v>
      </c>
      <c r="Q201" s="62"/>
      <c r="R201" s="59">
        <f t="shared" ref="R201:R204" si="94">+O201+L201+I201</f>
        <v>0</v>
      </c>
      <c r="S201" s="60" t="e">
        <f t="shared" ref="S201:S204" si="95">+P201+M201+J201</f>
        <v>#REF!</v>
      </c>
      <c r="T201" s="61">
        <f t="shared" ref="T201:T204" si="96">+Q201+N201+K201</f>
        <v>0</v>
      </c>
      <c r="U201" s="278" t="e">
        <f t="shared" si="77"/>
        <v>#REF!</v>
      </c>
    </row>
    <row r="202" spans="1:21" ht="30" x14ac:dyDescent="0.25">
      <c r="A202" s="256"/>
      <c r="B202" s="247" t="s">
        <v>131</v>
      </c>
      <c r="C202" s="75" t="s">
        <v>199</v>
      </c>
      <c r="D202" s="75" t="s">
        <v>105</v>
      </c>
      <c r="E202" s="56" t="s">
        <v>132</v>
      </c>
      <c r="F202" s="57">
        <v>12</v>
      </c>
      <c r="G202" s="57"/>
      <c r="H202" s="58"/>
      <c r="I202" s="59"/>
      <c r="J202" s="60" t="e">
        <f>+#REF!</f>
        <v>#REF!</v>
      </c>
      <c r="K202" s="61"/>
      <c r="L202" s="59"/>
      <c r="M202" s="60" t="e">
        <f>+#REF!</f>
        <v>#REF!</v>
      </c>
      <c r="N202" s="61"/>
      <c r="O202" s="59"/>
      <c r="P202" s="60" t="e">
        <f>+#REF!</f>
        <v>#REF!</v>
      </c>
      <c r="Q202" s="62"/>
      <c r="R202" s="59">
        <f t="shared" si="94"/>
        <v>0</v>
      </c>
      <c r="S202" s="60" t="e">
        <f t="shared" si="95"/>
        <v>#REF!</v>
      </c>
      <c r="T202" s="61">
        <f t="shared" si="96"/>
        <v>0</v>
      </c>
      <c r="U202" s="278" t="e">
        <f t="shared" si="77"/>
        <v>#REF!</v>
      </c>
    </row>
    <row r="203" spans="1:21" ht="30" x14ac:dyDescent="0.25">
      <c r="A203" s="256"/>
      <c r="B203" s="247" t="s">
        <v>131</v>
      </c>
      <c r="C203" s="75" t="s">
        <v>200</v>
      </c>
      <c r="D203" s="75" t="s">
        <v>106</v>
      </c>
      <c r="E203" s="56" t="s">
        <v>132</v>
      </c>
      <c r="F203" s="57">
        <v>8</v>
      </c>
      <c r="G203" s="57"/>
      <c r="H203" s="58"/>
      <c r="I203" s="59"/>
      <c r="J203" s="60" t="e">
        <f>+#REF!</f>
        <v>#REF!</v>
      </c>
      <c r="K203" s="61"/>
      <c r="L203" s="59"/>
      <c r="M203" s="60" t="e">
        <f>+#REF!</f>
        <v>#REF!</v>
      </c>
      <c r="N203" s="61"/>
      <c r="O203" s="59"/>
      <c r="P203" s="60" t="e">
        <f>+#REF!</f>
        <v>#REF!</v>
      </c>
      <c r="Q203" s="62"/>
      <c r="R203" s="59">
        <f t="shared" si="94"/>
        <v>0</v>
      </c>
      <c r="S203" s="60" t="e">
        <f t="shared" si="95"/>
        <v>#REF!</v>
      </c>
      <c r="T203" s="61">
        <f t="shared" si="96"/>
        <v>0</v>
      </c>
      <c r="U203" s="278" t="e">
        <f t="shared" si="77"/>
        <v>#REF!</v>
      </c>
    </row>
    <row r="204" spans="1:21" ht="30" x14ac:dyDescent="0.25">
      <c r="A204" s="256"/>
      <c r="B204" s="247" t="s">
        <v>131</v>
      </c>
      <c r="C204" s="75" t="s">
        <v>6</v>
      </c>
      <c r="D204" s="75" t="s">
        <v>92</v>
      </c>
      <c r="E204" s="56" t="s">
        <v>215</v>
      </c>
      <c r="F204" s="57">
        <v>21</v>
      </c>
      <c r="G204" s="57"/>
      <c r="H204" s="58"/>
      <c r="I204" s="59"/>
      <c r="J204" s="60">
        <f>+(2800*12*21)/15</f>
        <v>47040</v>
      </c>
      <c r="K204" s="61"/>
      <c r="L204" s="59"/>
      <c r="M204" s="60">
        <f>+(3100*12*21)/15</f>
        <v>52080</v>
      </c>
      <c r="N204" s="61"/>
      <c r="O204" s="59"/>
      <c r="P204" s="60">
        <f>+(3260*12*21)/15</f>
        <v>54768</v>
      </c>
      <c r="Q204" s="62"/>
      <c r="R204" s="59">
        <f t="shared" si="94"/>
        <v>0</v>
      </c>
      <c r="S204" s="60">
        <f t="shared" si="95"/>
        <v>153888</v>
      </c>
      <c r="T204" s="61">
        <f t="shared" si="96"/>
        <v>0</v>
      </c>
      <c r="U204" s="278">
        <f t="shared" si="77"/>
        <v>153888</v>
      </c>
    </row>
    <row r="205" spans="1:21" x14ac:dyDescent="0.25">
      <c r="A205" s="255" t="s">
        <v>485</v>
      </c>
      <c r="B205" s="231" t="s">
        <v>131</v>
      </c>
      <c r="C205" s="227" t="s">
        <v>5</v>
      </c>
      <c r="D205" s="228"/>
      <c r="E205" s="229"/>
      <c r="F205" s="230"/>
      <c r="G205" s="230"/>
      <c r="H205" s="231"/>
      <c r="I205" s="232"/>
      <c r="J205" s="231"/>
      <c r="K205" s="233"/>
      <c r="L205" s="232"/>
      <c r="M205" s="231"/>
      <c r="N205" s="233"/>
      <c r="O205" s="232"/>
      <c r="P205" s="231"/>
      <c r="Q205" s="231"/>
      <c r="R205" s="232"/>
      <c r="S205" s="231"/>
      <c r="T205" s="233"/>
      <c r="U205" s="279"/>
    </row>
    <row r="206" spans="1:21" ht="60" x14ac:dyDescent="0.25">
      <c r="A206" s="256"/>
      <c r="B206" s="247" t="s">
        <v>131</v>
      </c>
      <c r="C206" s="75" t="s">
        <v>0</v>
      </c>
      <c r="D206" s="75" t="s">
        <v>122</v>
      </c>
      <c r="E206" s="56" t="s">
        <v>139</v>
      </c>
      <c r="F206" s="57"/>
      <c r="G206" s="57"/>
      <c r="H206" s="58"/>
      <c r="I206" s="59">
        <v>0</v>
      </c>
      <c r="J206" s="60"/>
      <c r="K206" s="61"/>
      <c r="L206" s="59">
        <v>0</v>
      </c>
      <c r="M206" s="60"/>
      <c r="N206" s="61"/>
      <c r="O206" s="59">
        <v>0</v>
      </c>
      <c r="P206" s="60"/>
      <c r="Q206" s="62"/>
      <c r="R206" s="59">
        <f t="shared" ref="R206" si="97">+O206+L206+I206</f>
        <v>0</v>
      </c>
      <c r="S206" s="60">
        <f t="shared" ref="S206" si="98">+P206+M206+J206</f>
        <v>0</v>
      </c>
      <c r="T206" s="61">
        <f t="shared" ref="T206" si="99">+Q206+N206+K206</f>
        <v>0</v>
      </c>
      <c r="U206" s="278">
        <f t="shared" si="77"/>
        <v>0</v>
      </c>
    </row>
    <row r="207" spans="1:21" ht="30" x14ac:dyDescent="0.25">
      <c r="A207" s="256"/>
      <c r="B207" s="247" t="s">
        <v>131</v>
      </c>
      <c r="C207" s="75" t="s">
        <v>12</v>
      </c>
      <c r="D207" s="75" t="s">
        <v>201</v>
      </c>
      <c r="E207" s="56" t="s">
        <v>138</v>
      </c>
      <c r="F207" s="57"/>
      <c r="G207" s="57"/>
      <c r="H207" s="58"/>
      <c r="I207" s="59"/>
      <c r="J207" s="60"/>
      <c r="K207" s="61"/>
      <c r="L207" s="59"/>
      <c r="M207" s="60"/>
      <c r="N207" s="61"/>
      <c r="O207" s="59"/>
      <c r="P207" s="60"/>
      <c r="Q207" s="62"/>
      <c r="R207" s="59">
        <f t="shared" ref="R207:T210" si="100">+O207+L207+I207</f>
        <v>0</v>
      </c>
      <c r="S207" s="60">
        <f t="shared" si="100"/>
        <v>0</v>
      </c>
      <c r="T207" s="61">
        <f t="shared" si="100"/>
        <v>0</v>
      </c>
      <c r="U207" s="278">
        <f t="shared" si="77"/>
        <v>0</v>
      </c>
    </row>
    <row r="208" spans="1:21" x14ac:dyDescent="0.25">
      <c r="A208" s="256"/>
      <c r="B208" s="247" t="s">
        <v>131</v>
      </c>
      <c r="C208" s="75" t="s">
        <v>12</v>
      </c>
      <c r="D208" s="75" t="s">
        <v>202</v>
      </c>
      <c r="E208" s="56" t="s">
        <v>138</v>
      </c>
      <c r="F208" s="57"/>
      <c r="G208" s="57"/>
      <c r="H208" s="58"/>
      <c r="I208" s="59"/>
      <c r="J208" s="60">
        <f>18*10*29</f>
        <v>5220</v>
      </c>
      <c r="K208" s="61"/>
      <c r="L208" s="59"/>
      <c r="M208" s="60">
        <f>36*10*29</f>
        <v>10440</v>
      </c>
      <c r="N208" s="61"/>
      <c r="O208" s="59"/>
      <c r="P208" s="60">
        <f>48*10*29</f>
        <v>13920</v>
      </c>
      <c r="Q208" s="62"/>
      <c r="R208" s="59">
        <f t="shared" si="100"/>
        <v>0</v>
      </c>
      <c r="S208" s="60">
        <f t="shared" si="100"/>
        <v>29580</v>
      </c>
      <c r="T208" s="61">
        <f t="shared" si="100"/>
        <v>0</v>
      </c>
      <c r="U208" s="278">
        <f t="shared" si="77"/>
        <v>29580</v>
      </c>
    </row>
    <row r="209" spans="1:21" x14ac:dyDescent="0.25">
      <c r="A209" s="256"/>
      <c r="B209" s="247" t="s">
        <v>131</v>
      </c>
      <c r="C209" s="75" t="s">
        <v>15</v>
      </c>
      <c r="D209" s="75" t="s">
        <v>72</v>
      </c>
      <c r="E209" s="56" t="s">
        <v>138</v>
      </c>
      <c r="F209" s="57"/>
      <c r="G209" s="57"/>
      <c r="H209" s="58"/>
      <c r="I209" s="59">
        <v>0</v>
      </c>
      <c r="J209" s="60"/>
      <c r="K209" s="61"/>
      <c r="L209" s="59"/>
      <c r="M209" s="60">
        <f>9*800*36</f>
        <v>259200</v>
      </c>
      <c r="N209" s="61"/>
      <c r="O209" s="59"/>
      <c r="P209" s="60">
        <f>18*800*36</f>
        <v>518400</v>
      </c>
      <c r="Q209" s="62"/>
      <c r="R209" s="59">
        <f t="shared" si="100"/>
        <v>0</v>
      </c>
      <c r="S209" s="60">
        <f t="shared" si="100"/>
        <v>777600</v>
      </c>
      <c r="T209" s="61">
        <f t="shared" si="100"/>
        <v>0</v>
      </c>
      <c r="U209" s="278">
        <f t="shared" si="77"/>
        <v>777600</v>
      </c>
    </row>
    <row r="210" spans="1:21" ht="45" x14ac:dyDescent="0.25">
      <c r="A210" s="256"/>
      <c r="B210" s="247" t="s">
        <v>131</v>
      </c>
      <c r="C210" s="75" t="s">
        <v>13</v>
      </c>
      <c r="D210" s="75" t="s">
        <v>203</v>
      </c>
      <c r="E210" s="56" t="s">
        <v>138</v>
      </c>
      <c r="F210" s="57"/>
      <c r="G210" s="57"/>
      <c r="H210" s="58"/>
      <c r="I210" s="59"/>
      <c r="J210" s="60"/>
      <c r="K210" s="61"/>
      <c r="L210" s="59"/>
      <c r="M210" s="60"/>
      <c r="N210" s="61"/>
      <c r="O210" s="59"/>
      <c r="P210" s="60"/>
      <c r="Q210" s="62"/>
      <c r="R210" s="59">
        <f t="shared" si="100"/>
        <v>0</v>
      </c>
      <c r="S210" s="60">
        <f t="shared" si="100"/>
        <v>0</v>
      </c>
      <c r="T210" s="61">
        <f t="shared" si="100"/>
        <v>0</v>
      </c>
      <c r="U210" s="278">
        <f t="shared" si="77"/>
        <v>0</v>
      </c>
    </row>
    <row r="211" spans="1:21" x14ac:dyDescent="0.25">
      <c r="A211" s="255" t="s">
        <v>486</v>
      </c>
      <c r="B211" s="231" t="s">
        <v>131</v>
      </c>
      <c r="C211" s="227" t="s">
        <v>10</v>
      </c>
      <c r="D211" s="228"/>
      <c r="E211" s="229"/>
      <c r="F211" s="230"/>
      <c r="G211" s="230"/>
      <c r="H211" s="231"/>
      <c r="I211" s="232"/>
      <c r="J211" s="231"/>
      <c r="K211" s="233"/>
      <c r="L211" s="232"/>
      <c r="M211" s="231"/>
      <c r="N211" s="233"/>
      <c r="O211" s="232"/>
      <c r="P211" s="231"/>
      <c r="Q211" s="231"/>
      <c r="R211" s="232"/>
      <c r="S211" s="231"/>
      <c r="T211" s="233"/>
      <c r="U211" s="279"/>
    </row>
    <row r="212" spans="1:21" s="15" customFormat="1" ht="45" x14ac:dyDescent="0.25">
      <c r="A212" s="254"/>
      <c r="B212" s="247" t="s">
        <v>131</v>
      </c>
      <c r="C212" s="75" t="s">
        <v>32</v>
      </c>
      <c r="D212" s="18" t="s">
        <v>33</v>
      </c>
      <c r="E212" s="86" t="s">
        <v>135</v>
      </c>
      <c r="F212" s="94"/>
      <c r="G212" s="94"/>
      <c r="H212" s="95"/>
      <c r="I212" s="96">
        <v>102000</v>
      </c>
      <c r="J212" s="97"/>
      <c r="K212" s="98"/>
      <c r="L212" s="96">
        <v>110000</v>
      </c>
      <c r="M212" s="20"/>
      <c r="N212" s="24"/>
      <c r="O212" s="96">
        <v>120000</v>
      </c>
      <c r="P212" s="20"/>
      <c r="Q212" s="274"/>
      <c r="R212" s="59">
        <f t="shared" ref="R212" si="101">+O212+L212+I212</f>
        <v>332000</v>
      </c>
      <c r="S212" s="60">
        <f t="shared" ref="S212" si="102">+P212+M212+J212</f>
        <v>0</v>
      </c>
      <c r="T212" s="61">
        <f t="shared" ref="T212" si="103">+Q212+N212+K212</f>
        <v>0</v>
      </c>
      <c r="U212" s="278">
        <f t="shared" si="77"/>
        <v>332000</v>
      </c>
    </row>
    <row r="213" spans="1:21" x14ac:dyDescent="0.25">
      <c r="A213" s="255" t="s">
        <v>487</v>
      </c>
      <c r="B213" s="231" t="s">
        <v>131</v>
      </c>
      <c r="C213" s="227" t="s">
        <v>7</v>
      </c>
      <c r="D213" s="228"/>
      <c r="E213" s="229"/>
      <c r="F213" s="230"/>
      <c r="G213" s="230"/>
      <c r="H213" s="231"/>
      <c r="I213" s="232"/>
      <c r="J213" s="231"/>
      <c r="K213" s="233"/>
      <c r="L213" s="232"/>
      <c r="M213" s="231"/>
      <c r="N213" s="233"/>
      <c r="O213" s="232"/>
      <c r="P213" s="231"/>
      <c r="Q213" s="231"/>
      <c r="R213" s="232"/>
      <c r="S213" s="231"/>
      <c r="T213" s="233"/>
      <c r="U213" s="279"/>
    </row>
    <row r="214" spans="1:21" ht="30" x14ac:dyDescent="0.25">
      <c r="A214" s="256"/>
      <c r="B214" s="247" t="s">
        <v>131</v>
      </c>
      <c r="C214" s="75" t="s">
        <v>11</v>
      </c>
      <c r="D214" s="75" t="s">
        <v>31</v>
      </c>
      <c r="E214" s="56" t="s">
        <v>136</v>
      </c>
      <c r="F214" s="57"/>
      <c r="G214" s="57"/>
      <c r="H214" s="58"/>
      <c r="I214" s="91">
        <f>330*35*2+80*35*2*2</f>
        <v>34300</v>
      </c>
      <c r="J214" s="92"/>
      <c r="K214" s="93"/>
      <c r="L214" s="91">
        <v>46305</v>
      </c>
      <c r="M214" s="60"/>
      <c r="N214" s="61"/>
      <c r="O214" s="91">
        <v>67142</v>
      </c>
      <c r="P214" s="60"/>
      <c r="Q214" s="62"/>
      <c r="R214" s="59">
        <f t="shared" ref="R214:R217" si="104">+O214+L214+I214</f>
        <v>147747</v>
      </c>
      <c r="S214" s="60">
        <f t="shared" ref="S214:S217" si="105">+P214+M214+J214</f>
        <v>0</v>
      </c>
      <c r="T214" s="61">
        <f t="shared" ref="T214:T217" si="106">+Q214+N214+K214</f>
        <v>0</v>
      </c>
      <c r="U214" s="278">
        <f t="shared" si="77"/>
        <v>147747</v>
      </c>
    </row>
    <row r="215" spans="1:21" ht="30" x14ac:dyDescent="0.25">
      <c r="A215" s="256"/>
      <c r="B215" s="247" t="s">
        <v>131</v>
      </c>
      <c r="C215" s="75" t="s">
        <v>54</v>
      </c>
      <c r="D215" s="75" t="s">
        <v>31</v>
      </c>
      <c r="E215" s="56" t="s">
        <v>136</v>
      </c>
      <c r="F215" s="76"/>
      <c r="G215" s="76"/>
      <c r="H215" s="77"/>
      <c r="I215" s="91">
        <f>400*2*15</f>
        <v>12000</v>
      </c>
      <c r="J215" s="92"/>
      <c r="K215" s="93"/>
      <c r="L215" s="91">
        <v>15600</v>
      </c>
      <c r="M215" s="60"/>
      <c r="N215" s="61"/>
      <c r="O215" s="91">
        <v>17940</v>
      </c>
      <c r="P215" s="60"/>
      <c r="Q215" s="62"/>
      <c r="R215" s="59">
        <f t="shared" si="104"/>
        <v>45540</v>
      </c>
      <c r="S215" s="60">
        <f t="shared" si="105"/>
        <v>0</v>
      </c>
      <c r="T215" s="61">
        <f t="shared" si="106"/>
        <v>0</v>
      </c>
      <c r="U215" s="278">
        <f t="shared" si="77"/>
        <v>45540</v>
      </c>
    </row>
    <row r="216" spans="1:21" ht="45" x14ac:dyDescent="0.25">
      <c r="A216" s="256"/>
      <c r="B216" s="247" t="s">
        <v>131</v>
      </c>
      <c r="C216" s="75" t="s">
        <v>9</v>
      </c>
      <c r="D216" s="75" t="s">
        <v>112</v>
      </c>
      <c r="E216" s="56" t="s">
        <v>136</v>
      </c>
      <c r="F216" s="57"/>
      <c r="G216" s="57"/>
      <c r="H216" s="58"/>
      <c r="I216" s="91">
        <f>130*45</f>
        <v>5850</v>
      </c>
      <c r="J216" s="92"/>
      <c r="K216" s="93"/>
      <c r="L216" s="91">
        <v>7898</v>
      </c>
      <c r="M216" s="20"/>
      <c r="N216" s="24"/>
      <c r="O216" s="91">
        <v>11451</v>
      </c>
      <c r="P216" s="20"/>
      <c r="Q216" s="274"/>
      <c r="R216" s="59">
        <f t="shared" si="104"/>
        <v>25199</v>
      </c>
      <c r="S216" s="60">
        <f t="shared" si="105"/>
        <v>0</v>
      </c>
      <c r="T216" s="61">
        <f t="shared" si="106"/>
        <v>0</v>
      </c>
      <c r="U216" s="278">
        <f t="shared" si="77"/>
        <v>25199</v>
      </c>
    </row>
    <row r="217" spans="1:21" ht="30" x14ac:dyDescent="0.25">
      <c r="A217" s="256"/>
      <c r="B217" s="247" t="s">
        <v>131</v>
      </c>
      <c r="C217" s="75" t="s">
        <v>175</v>
      </c>
      <c r="D217" s="75" t="s">
        <v>31</v>
      </c>
      <c r="E217" s="56" t="s">
        <v>136</v>
      </c>
      <c r="F217" s="76"/>
      <c r="G217" s="76"/>
      <c r="H217" s="77"/>
      <c r="I217" s="91">
        <v>3000</v>
      </c>
      <c r="J217" s="92"/>
      <c r="K217" s="93"/>
      <c r="L217" s="91">
        <v>3900</v>
      </c>
      <c r="M217" s="60"/>
      <c r="N217" s="61"/>
      <c r="O217" s="91">
        <v>5070</v>
      </c>
      <c r="P217" s="60"/>
      <c r="Q217" s="62"/>
      <c r="R217" s="59">
        <f t="shared" si="104"/>
        <v>11970</v>
      </c>
      <c r="S217" s="60">
        <f t="shared" si="105"/>
        <v>0</v>
      </c>
      <c r="T217" s="61">
        <f t="shared" si="106"/>
        <v>0</v>
      </c>
      <c r="U217" s="278">
        <f t="shared" si="77"/>
        <v>11970</v>
      </c>
    </row>
    <row r="218" spans="1:21" x14ac:dyDescent="0.25">
      <c r="A218" s="253" t="s">
        <v>436</v>
      </c>
      <c r="B218" s="224" t="s">
        <v>131</v>
      </c>
      <c r="C218" s="221" t="s">
        <v>437</v>
      </c>
      <c r="D218" s="222"/>
      <c r="E218" s="223"/>
      <c r="F218" s="204"/>
      <c r="G218" s="204"/>
      <c r="H218" s="224"/>
      <c r="I218" s="225"/>
      <c r="J218" s="224"/>
      <c r="K218" s="226"/>
      <c r="L218" s="225"/>
      <c r="M218" s="224"/>
      <c r="N218" s="226"/>
      <c r="O218" s="225"/>
      <c r="P218" s="224"/>
      <c r="Q218" s="224"/>
      <c r="R218" s="225"/>
      <c r="S218" s="224"/>
      <c r="T218" s="226"/>
      <c r="U218" s="226"/>
    </row>
    <row r="219" spans="1:21" x14ac:dyDescent="0.25">
      <c r="A219" s="255" t="s">
        <v>488</v>
      </c>
      <c r="B219" s="231" t="s">
        <v>131</v>
      </c>
      <c r="C219" s="227" t="s">
        <v>489</v>
      </c>
      <c r="D219" s="228"/>
      <c r="E219" s="229"/>
      <c r="F219" s="230"/>
      <c r="G219" s="230"/>
      <c r="H219" s="231"/>
      <c r="I219" s="232"/>
      <c r="J219" s="231"/>
      <c r="K219" s="233"/>
      <c r="L219" s="232"/>
      <c r="M219" s="231"/>
      <c r="N219" s="233"/>
      <c r="O219" s="232"/>
      <c r="P219" s="231"/>
      <c r="Q219" s="231"/>
      <c r="R219" s="232"/>
      <c r="S219" s="231"/>
      <c r="T219" s="233"/>
      <c r="U219" s="279"/>
    </row>
    <row r="220" spans="1:21" x14ac:dyDescent="0.25">
      <c r="A220" s="255" t="s">
        <v>490</v>
      </c>
      <c r="B220" s="231" t="s">
        <v>131</v>
      </c>
      <c r="C220" s="227" t="s">
        <v>1</v>
      </c>
      <c r="D220" s="228"/>
      <c r="E220" s="229"/>
      <c r="F220" s="230">
        <v>104</v>
      </c>
      <c r="G220" s="230"/>
      <c r="H220" s="231"/>
      <c r="I220" s="232"/>
      <c r="J220" s="231"/>
      <c r="K220" s="233"/>
      <c r="L220" s="232"/>
      <c r="M220" s="231"/>
      <c r="N220" s="233"/>
      <c r="O220" s="232"/>
      <c r="P220" s="231"/>
      <c r="Q220" s="231"/>
      <c r="R220" s="232"/>
      <c r="S220" s="231"/>
      <c r="T220" s="233"/>
      <c r="U220" s="279"/>
    </row>
    <row r="221" spans="1:21" x14ac:dyDescent="0.25">
      <c r="A221" s="256"/>
      <c r="B221" s="247" t="s">
        <v>131</v>
      </c>
      <c r="C221" s="75" t="s">
        <v>85</v>
      </c>
      <c r="D221" s="75" t="s">
        <v>204</v>
      </c>
      <c r="E221" s="56" t="s">
        <v>132</v>
      </c>
      <c r="F221" s="57">
        <v>4</v>
      </c>
      <c r="G221" s="57"/>
      <c r="H221" s="58"/>
      <c r="I221" s="91"/>
      <c r="J221" s="92" t="e">
        <f>+#REF!</f>
        <v>#REF!</v>
      </c>
      <c r="K221" s="93"/>
      <c r="L221" s="91"/>
      <c r="M221" s="20" t="e">
        <f>+#REF!</f>
        <v>#REF!</v>
      </c>
      <c r="N221" s="24"/>
      <c r="O221" s="91"/>
      <c r="P221" s="20" t="e">
        <f>+#REF!</f>
        <v>#REF!</v>
      </c>
      <c r="Q221" s="274"/>
      <c r="R221" s="59">
        <f t="shared" ref="R221:R224" si="107">+O221+L221+I221</f>
        <v>0</v>
      </c>
      <c r="S221" s="60" t="e">
        <f t="shared" ref="S221:S224" si="108">+P221+M221+J221</f>
        <v>#REF!</v>
      </c>
      <c r="T221" s="61">
        <f t="shared" ref="T221:T224" si="109">+Q221+N221+K221</f>
        <v>0</v>
      </c>
      <c r="U221" s="278" t="e">
        <f t="shared" si="77"/>
        <v>#REF!</v>
      </c>
    </row>
    <row r="222" spans="1:21" ht="30" x14ac:dyDescent="0.25">
      <c r="A222" s="256"/>
      <c r="B222" s="247" t="s">
        <v>131</v>
      </c>
      <c r="C222" s="75" t="s">
        <v>205</v>
      </c>
      <c r="D222" s="75" t="s">
        <v>206</v>
      </c>
      <c r="E222" s="56" t="s">
        <v>132</v>
      </c>
      <c r="F222" s="57">
        <v>100</v>
      </c>
      <c r="G222" s="57"/>
      <c r="H222" s="58">
        <f>728*14</f>
        <v>10192</v>
      </c>
      <c r="I222" s="91"/>
      <c r="J222" s="92" t="e">
        <f>+#REF!</f>
        <v>#REF!</v>
      </c>
      <c r="K222" s="93"/>
      <c r="L222" s="91"/>
      <c r="M222" s="20" t="e">
        <f>+#REF!</f>
        <v>#REF!</v>
      </c>
      <c r="N222" s="24"/>
      <c r="O222" s="91"/>
      <c r="P222" s="20" t="e">
        <f>+#REF!</f>
        <v>#REF!</v>
      </c>
      <c r="Q222" s="274"/>
      <c r="R222" s="59">
        <f t="shared" si="107"/>
        <v>0</v>
      </c>
      <c r="S222" s="60" t="e">
        <f t="shared" si="108"/>
        <v>#REF!</v>
      </c>
      <c r="T222" s="61">
        <f t="shared" si="109"/>
        <v>0</v>
      </c>
      <c r="U222" s="278" t="e">
        <f t="shared" si="77"/>
        <v>#REF!</v>
      </c>
    </row>
    <row r="223" spans="1:21" ht="30" x14ac:dyDescent="0.25">
      <c r="A223" s="256"/>
      <c r="B223" s="247" t="s">
        <v>131</v>
      </c>
      <c r="C223" s="75" t="s">
        <v>74</v>
      </c>
      <c r="D223" s="75" t="s">
        <v>207</v>
      </c>
      <c r="E223" s="56" t="s">
        <v>132</v>
      </c>
      <c r="F223" s="57">
        <v>2</v>
      </c>
      <c r="G223" s="57"/>
      <c r="H223" s="58"/>
      <c r="I223" s="91"/>
      <c r="J223" s="92" t="e">
        <f>+#REF!</f>
        <v>#REF!</v>
      </c>
      <c r="K223" s="93"/>
      <c r="L223" s="91"/>
      <c r="M223" s="20" t="e">
        <f>+#REF!</f>
        <v>#REF!</v>
      </c>
      <c r="N223" s="24"/>
      <c r="O223" s="91"/>
      <c r="P223" s="20" t="e">
        <f>+#REF!</f>
        <v>#REF!</v>
      </c>
      <c r="Q223" s="274"/>
      <c r="R223" s="59">
        <f t="shared" si="107"/>
        <v>0</v>
      </c>
      <c r="S223" s="60" t="e">
        <f t="shared" si="108"/>
        <v>#REF!</v>
      </c>
      <c r="T223" s="61">
        <f t="shared" si="109"/>
        <v>0</v>
      </c>
      <c r="U223" s="278" t="e">
        <f t="shared" si="77"/>
        <v>#REF!</v>
      </c>
    </row>
    <row r="224" spans="1:21" ht="30" x14ac:dyDescent="0.25">
      <c r="A224" s="256"/>
      <c r="B224" s="247" t="s">
        <v>131</v>
      </c>
      <c r="C224" s="75" t="s">
        <v>6</v>
      </c>
      <c r="D224" s="75" t="s">
        <v>92</v>
      </c>
      <c r="E224" s="56" t="s">
        <v>215</v>
      </c>
      <c r="F224" s="57">
        <v>6</v>
      </c>
      <c r="G224" s="57"/>
      <c r="H224" s="58"/>
      <c r="I224" s="91"/>
      <c r="J224" s="92">
        <f>+(2800*12*6)/15</f>
        <v>13440</v>
      </c>
      <c r="K224" s="93"/>
      <c r="L224" s="91"/>
      <c r="M224" s="20">
        <f>+(3100*12*6)/15</f>
        <v>14880</v>
      </c>
      <c r="N224" s="24"/>
      <c r="O224" s="91"/>
      <c r="P224" s="20">
        <f>+(3260*12*6)/15</f>
        <v>15648</v>
      </c>
      <c r="Q224" s="274"/>
      <c r="R224" s="59">
        <f t="shared" si="107"/>
        <v>0</v>
      </c>
      <c r="S224" s="60">
        <f t="shared" si="108"/>
        <v>43968</v>
      </c>
      <c r="T224" s="61">
        <f t="shared" si="109"/>
        <v>0</v>
      </c>
      <c r="U224" s="278">
        <f t="shared" si="77"/>
        <v>43968</v>
      </c>
    </row>
    <row r="225" spans="1:21" x14ac:dyDescent="0.25">
      <c r="A225" s="255" t="s">
        <v>491</v>
      </c>
      <c r="B225" s="231" t="s">
        <v>131</v>
      </c>
      <c r="C225" s="227" t="s">
        <v>22</v>
      </c>
      <c r="D225" s="228"/>
      <c r="E225" s="229"/>
      <c r="F225" s="230"/>
      <c r="G225" s="230"/>
      <c r="H225" s="231"/>
      <c r="I225" s="232"/>
      <c r="J225" s="231"/>
      <c r="K225" s="233"/>
      <c r="L225" s="232"/>
      <c r="M225" s="231"/>
      <c r="N225" s="233"/>
      <c r="O225" s="232"/>
      <c r="P225" s="231"/>
      <c r="Q225" s="231"/>
      <c r="R225" s="232"/>
      <c r="S225" s="231"/>
      <c r="T225" s="233"/>
      <c r="U225" s="279"/>
    </row>
    <row r="226" spans="1:21" x14ac:dyDescent="0.25">
      <c r="A226" s="256"/>
      <c r="B226" s="247" t="s">
        <v>131</v>
      </c>
      <c r="C226" s="75" t="s">
        <v>23</v>
      </c>
      <c r="D226" s="75" t="s">
        <v>47</v>
      </c>
      <c r="E226" s="56" t="s">
        <v>133</v>
      </c>
      <c r="F226" s="57"/>
      <c r="G226" s="57"/>
      <c r="H226" s="58"/>
      <c r="I226" s="91">
        <f>24*1072</f>
        <v>25728</v>
      </c>
      <c r="J226" s="92"/>
      <c r="K226" s="93"/>
      <c r="L226" s="91">
        <f>24*1072</f>
        <v>25728</v>
      </c>
      <c r="M226" s="60"/>
      <c r="N226" s="61"/>
      <c r="O226" s="91">
        <f>16*1072</f>
        <v>17152</v>
      </c>
      <c r="P226" s="60"/>
      <c r="Q226" s="62"/>
      <c r="R226" s="59">
        <f t="shared" ref="R226" si="110">+O226+L226+I226</f>
        <v>68608</v>
      </c>
      <c r="S226" s="60">
        <f t="shared" ref="S226" si="111">+P226+M226+J226</f>
        <v>0</v>
      </c>
      <c r="T226" s="61">
        <f t="shared" ref="T226" si="112">+Q226+N226+K226</f>
        <v>0</v>
      </c>
      <c r="U226" s="278">
        <f t="shared" si="77"/>
        <v>68608</v>
      </c>
    </row>
    <row r="227" spans="1:21" x14ac:dyDescent="0.25">
      <c r="A227" s="255" t="s">
        <v>492</v>
      </c>
      <c r="B227" s="231" t="s">
        <v>131</v>
      </c>
      <c r="C227" s="227" t="s">
        <v>24</v>
      </c>
      <c r="D227" s="228"/>
      <c r="E227" s="229"/>
      <c r="F227" s="230"/>
      <c r="G227" s="230"/>
      <c r="H227" s="231"/>
      <c r="I227" s="232"/>
      <c r="J227" s="231"/>
      <c r="K227" s="233"/>
      <c r="L227" s="232"/>
      <c r="M227" s="231"/>
      <c r="N227" s="233"/>
      <c r="O227" s="232"/>
      <c r="P227" s="231"/>
      <c r="Q227" s="231"/>
      <c r="R227" s="232"/>
      <c r="S227" s="231"/>
      <c r="T227" s="233"/>
      <c r="U227" s="279"/>
    </row>
    <row r="228" spans="1:21" s="15" customFormat="1" ht="30" x14ac:dyDescent="0.25">
      <c r="A228" s="254"/>
      <c r="B228" s="244" t="s">
        <v>131</v>
      </c>
      <c r="C228" s="18" t="s">
        <v>14</v>
      </c>
      <c r="D228" s="18" t="s">
        <v>89</v>
      </c>
      <c r="E228" s="105" t="s">
        <v>135</v>
      </c>
      <c r="F228" s="100"/>
      <c r="G228" s="100"/>
      <c r="H228" s="99"/>
      <c r="I228" s="22">
        <v>42000</v>
      </c>
      <c r="J228" s="20"/>
      <c r="K228" s="24"/>
      <c r="L228" s="22">
        <v>44000</v>
      </c>
      <c r="M228" s="101"/>
      <c r="N228" s="102"/>
      <c r="O228" s="22">
        <v>49000</v>
      </c>
      <c r="P228" s="101"/>
      <c r="Q228" s="101"/>
      <c r="R228" s="59">
        <f t="shared" ref="R228:R229" si="113">+O228+L228+I228</f>
        <v>135000</v>
      </c>
      <c r="S228" s="60">
        <f t="shared" ref="S228:S229" si="114">+P228+M228+J228</f>
        <v>0</v>
      </c>
      <c r="T228" s="61">
        <f t="shared" ref="T228:T229" si="115">+Q228+N228+K228</f>
        <v>0</v>
      </c>
      <c r="U228" s="278">
        <f t="shared" si="77"/>
        <v>135000</v>
      </c>
    </row>
    <row r="229" spans="1:21" s="15" customFormat="1" ht="30" x14ac:dyDescent="0.25">
      <c r="A229" s="254"/>
      <c r="B229" s="244" t="s">
        <v>131</v>
      </c>
      <c r="C229" s="18" t="s">
        <v>11</v>
      </c>
      <c r="D229" s="18" t="s">
        <v>89</v>
      </c>
      <c r="E229" s="105" t="s">
        <v>136</v>
      </c>
      <c r="F229" s="100"/>
      <c r="G229" s="100"/>
      <c r="H229" s="99"/>
      <c r="I229" s="22">
        <f>330*2*56+80*56*2*2</f>
        <v>54880</v>
      </c>
      <c r="J229" s="20"/>
      <c r="K229" s="24"/>
      <c r="L229" s="22">
        <v>74088</v>
      </c>
      <c r="M229" s="99"/>
      <c r="N229" s="23"/>
      <c r="O229" s="22">
        <v>100019</v>
      </c>
      <c r="P229" s="99"/>
      <c r="Q229" s="99"/>
      <c r="R229" s="59">
        <f t="shared" si="113"/>
        <v>228987</v>
      </c>
      <c r="S229" s="60">
        <f t="shared" si="114"/>
        <v>0</v>
      </c>
      <c r="T229" s="61">
        <f t="shared" si="115"/>
        <v>0</v>
      </c>
      <c r="U229" s="278">
        <f t="shared" si="77"/>
        <v>228987</v>
      </c>
    </row>
    <row r="230" spans="1:21" x14ac:dyDescent="0.25">
      <c r="A230" s="255" t="s">
        <v>493</v>
      </c>
      <c r="B230" s="231" t="s">
        <v>131</v>
      </c>
      <c r="C230" s="227" t="s">
        <v>50</v>
      </c>
      <c r="D230" s="228"/>
      <c r="E230" s="229"/>
      <c r="F230" s="230"/>
      <c r="G230" s="230"/>
      <c r="H230" s="231"/>
      <c r="I230" s="232"/>
      <c r="J230" s="231"/>
      <c r="K230" s="233"/>
      <c r="L230" s="232"/>
      <c r="M230" s="231"/>
      <c r="N230" s="233"/>
      <c r="O230" s="232"/>
      <c r="P230" s="231"/>
      <c r="Q230" s="231"/>
      <c r="R230" s="232"/>
      <c r="S230" s="231"/>
      <c r="T230" s="233"/>
      <c r="U230" s="279"/>
    </row>
    <row r="231" spans="1:21" x14ac:dyDescent="0.25">
      <c r="A231" s="255" t="s">
        <v>494</v>
      </c>
      <c r="B231" s="231" t="s">
        <v>131</v>
      </c>
      <c r="C231" s="227" t="s">
        <v>76</v>
      </c>
      <c r="D231" s="228"/>
      <c r="E231" s="229"/>
      <c r="F231" s="230"/>
      <c r="G231" s="230"/>
      <c r="H231" s="231"/>
      <c r="I231" s="232"/>
      <c r="J231" s="231"/>
      <c r="K231" s="233"/>
      <c r="L231" s="232"/>
      <c r="M231" s="231"/>
      <c r="N231" s="233"/>
      <c r="O231" s="232"/>
      <c r="P231" s="231"/>
      <c r="Q231" s="231"/>
      <c r="R231" s="232"/>
      <c r="S231" s="231"/>
      <c r="T231" s="233"/>
      <c r="U231" s="279"/>
    </row>
    <row r="232" spans="1:21" s="15" customFormat="1" ht="30" x14ac:dyDescent="0.25">
      <c r="A232" s="254"/>
      <c r="B232" s="249" t="s">
        <v>131</v>
      </c>
      <c r="C232" s="103" t="s">
        <v>11</v>
      </c>
      <c r="D232" s="103" t="s">
        <v>77</v>
      </c>
      <c r="E232" s="105" t="s">
        <v>136</v>
      </c>
      <c r="F232" s="100"/>
      <c r="G232" s="100"/>
      <c r="H232" s="99"/>
      <c r="I232" s="22">
        <f>2*330*23+2*2*23*80+50*330+2*50*80</f>
        <v>47040</v>
      </c>
      <c r="J232" s="20"/>
      <c r="K232" s="24"/>
      <c r="L232" s="22">
        <v>63504</v>
      </c>
      <c r="M232" s="99"/>
      <c r="N232" s="23"/>
      <c r="O232" s="22">
        <v>92081</v>
      </c>
      <c r="P232" s="99"/>
      <c r="Q232" s="99"/>
      <c r="R232" s="59">
        <f t="shared" ref="R232:R233" si="116">+O232+L232+I232</f>
        <v>202625</v>
      </c>
      <c r="S232" s="60">
        <f t="shared" ref="S232:S233" si="117">+P232+M232+J232</f>
        <v>0</v>
      </c>
      <c r="T232" s="61">
        <f t="shared" ref="T232:T233" si="118">+Q232+N232+K232</f>
        <v>0</v>
      </c>
      <c r="U232" s="278">
        <f t="shared" si="77"/>
        <v>202625</v>
      </c>
    </row>
    <row r="233" spans="1:21" s="15" customFormat="1" ht="30" x14ac:dyDescent="0.25">
      <c r="A233" s="254"/>
      <c r="B233" s="249" t="s">
        <v>131</v>
      </c>
      <c r="C233" s="103" t="s">
        <v>9</v>
      </c>
      <c r="D233" s="103" t="s">
        <v>109</v>
      </c>
      <c r="E233" s="86" t="s">
        <v>136</v>
      </c>
      <c r="F233" s="80"/>
      <c r="G233" s="80"/>
      <c r="H233" s="81"/>
      <c r="I233" s="22">
        <f>50*130</f>
        <v>6500</v>
      </c>
      <c r="J233" s="20"/>
      <c r="K233" s="24"/>
      <c r="L233" s="22">
        <v>8775</v>
      </c>
      <c r="M233" s="20"/>
      <c r="N233" s="24"/>
      <c r="O233" s="22">
        <v>12724</v>
      </c>
      <c r="P233" s="20"/>
      <c r="Q233" s="274"/>
      <c r="R233" s="59">
        <f t="shared" si="116"/>
        <v>27999</v>
      </c>
      <c r="S233" s="60">
        <f t="shared" si="117"/>
        <v>0</v>
      </c>
      <c r="T233" s="61">
        <f t="shared" si="118"/>
        <v>0</v>
      </c>
      <c r="U233" s="278">
        <f t="shared" si="77"/>
        <v>27999</v>
      </c>
    </row>
    <row r="234" spans="1:21" x14ac:dyDescent="0.25">
      <c r="A234" s="255" t="s">
        <v>495</v>
      </c>
      <c r="B234" s="231" t="s">
        <v>131</v>
      </c>
      <c r="C234" s="227" t="s">
        <v>22</v>
      </c>
      <c r="D234" s="228"/>
      <c r="E234" s="229"/>
      <c r="F234" s="230"/>
      <c r="G234" s="230"/>
      <c r="H234" s="231"/>
      <c r="I234" s="232"/>
      <c r="J234" s="231"/>
      <c r="K234" s="233"/>
      <c r="L234" s="232"/>
      <c r="M234" s="231"/>
      <c r="N234" s="233"/>
      <c r="O234" s="232"/>
      <c r="P234" s="231"/>
      <c r="Q234" s="231"/>
      <c r="R234" s="232"/>
      <c r="S234" s="231"/>
      <c r="T234" s="233"/>
      <c r="U234" s="279"/>
    </row>
    <row r="235" spans="1:21" s="15" customFormat="1" x14ac:dyDescent="0.25">
      <c r="A235" s="254"/>
      <c r="B235" s="244" t="s">
        <v>131</v>
      </c>
      <c r="C235" s="18" t="s">
        <v>23</v>
      </c>
      <c r="D235" s="18" t="s">
        <v>78</v>
      </c>
      <c r="E235" s="105" t="s">
        <v>133</v>
      </c>
      <c r="F235" s="100"/>
      <c r="G235" s="100"/>
      <c r="H235" s="99"/>
      <c r="I235" s="22">
        <f>21*1400</f>
        <v>29400</v>
      </c>
      <c r="J235" s="20"/>
      <c r="K235" s="24"/>
      <c r="L235" s="22">
        <f>21*1400</f>
        <v>29400</v>
      </c>
      <c r="M235" s="101"/>
      <c r="N235" s="102"/>
      <c r="O235" s="22">
        <f>14*1400</f>
        <v>19600</v>
      </c>
      <c r="P235" s="101"/>
      <c r="Q235" s="101"/>
      <c r="R235" s="59">
        <f t="shared" ref="R235" si="119">+O235+L235+I235</f>
        <v>78400</v>
      </c>
      <c r="S235" s="60">
        <f t="shared" ref="S235" si="120">+P235+M235+J235</f>
        <v>0</v>
      </c>
      <c r="T235" s="61">
        <f t="shared" ref="T235" si="121">+Q235+N235+K235</f>
        <v>0</v>
      </c>
      <c r="U235" s="278">
        <f t="shared" si="77"/>
        <v>78400</v>
      </c>
    </row>
    <row r="236" spans="1:21" x14ac:dyDescent="0.25">
      <c r="A236" s="253" t="s">
        <v>438</v>
      </c>
      <c r="B236" s="224" t="s">
        <v>131</v>
      </c>
      <c r="C236" s="221" t="s">
        <v>439</v>
      </c>
      <c r="D236" s="222"/>
      <c r="E236" s="223"/>
      <c r="F236" s="204"/>
      <c r="G236" s="204"/>
      <c r="H236" s="224"/>
      <c r="I236" s="225"/>
      <c r="J236" s="224"/>
      <c r="K236" s="226"/>
      <c r="L236" s="225"/>
      <c r="M236" s="224"/>
      <c r="N236" s="226"/>
      <c r="O236" s="225"/>
      <c r="P236" s="224"/>
      <c r="Q236" s="224"/>
      <c r="R236" s="225"/>
      <c r="S236" s="224"/>
      <c r="T236" s="226"/>
      <c r="U236" s="226"/>
    </row>
    <row r="237" spans="1:21" x14ac:dyDescent="0.25">
      <c r="A237" s="255" t="s">
        <v>496</v>
      </c>
      <c r="B237" s="231" t="s">
        <v>131</v>
      </c>
      <c r="C237" s="227" t="s">
        <v>497</v>
      </c>
      <c r="D237" s="228"/>
      <c r="E237" s="229"/>
      <c r="F237" s="230"/>
      <c r="G237" s="230"/>
      <c r="H237" s="231"/>
      <c r="I237" s="232"/>
      <c r="J237" s="231"/>
      <c r="K237" s="233"/>
      <c r="L237" s="232"/>
      <c r="M237" s="231"/>
      <c r="N237" s="233"/>
      <c r="O237" s="232"/>
      <c r="P237" s="231"/>
      <c r="Q237" s="231"/>
      <c r="R237" s="232"/>
      <c r="S237" s="231"/>
      <c r="T237" s="233"/>
      <c r="U237" s="279"/>
    </row>
    <row r="238" spans="1:21" s="15" customFormat="1" ht="30" x14ac:dyDescent="0.25">
      <c r="A238" s="254"/>
      <c r="B238" s="249" t="s">
        <v>131</v>
      </c>
      <c r="C238" s="103" t="s">
        <v>11</v>
      </c>
      <c r="D238" s="103" t="s">
        <v>80</v>
      </c>
      <c r="E238" s="103" t="s">
        <v>136</v>
      </c>
      <c r="F238" s="21"/>
      <c r="G238" s="21"/>
      <c r="H238" s="104"/>
      <c r="I238" s="22">
        <v>176400</v>
      </c>
      <c r="J238" s="20"/>
      <c r="K238" s="24"/>
      <c r="L238" s="22">
        <v>238140</v>
      </c>
      <c r="M238" s="20"/>
      <c r="N238" s="24"/>
      <c r="O238" s="22">
        <v>345303</v>
      </c>
      <c r="P238" s="20"/>
      <c r="Q238" s="274"/>
      <c r="R238" s="59">
        <f t="shared" ref="R238:R244" si="122">+O238+L238+I238</f>
        <v>759843</v>
      </c>
      <c r="S238" s="60">
        <f t="shared" ref="S238:S244" si="123">+P238+M238+J238</f>
        <v>0</v>
      </c>
      <c r="T238" s="61">
        <f t="shared" ref="T238:T244" si="124">+Q238+N238+K238</f>
        <v>0</v>
      </c>
      <c r="U238" s="278">
        <f t="shared" si="77"/>
        <v>759843</v>
      </c>
    </row>
    <row r="239" spans="1:21" s="15" customFormat="1" ht="30" x14ac:dyDescent="0.25">
      <c r="A239" s="254"/>
      <c r="B239" s="249" t="s">
        <v>131</v>
      </c>
      <c r="C239" s="103" t="s">
        <v>14</v>
      </c>
      <c r="D239" s="103" t="s">
        <v>80</v>
      </c>
      <c r="E239" s="103" t="s">
        <v>136</v>
      </c>
      <c r="F239" s="27"/>
      <c r="G239" s="27"/>
      <c r="H239" s="79"/>
      <c r="I239" s="22">
        <v>88000</v>
      </c>
      <c r="J239" s="20"/>
      <c r="K239" s="24"/>
      <c r="L239" s="22">
        <v>114400</v>
      </c>
      <c r="M239" s="20"/>
      <c r="N239" s="24"/>
      <c r="O239" s="22">
        <v>131560</v>
      </c>
      <c r="P239" s="20"/>
      <c r="Q239" s="274"/>
      <c r="R239" s="59">
        <f t="shared" si="122"/>
        <v>333960</v>
      </c>
      <c r="S239" s="60">
        <f t="shared" si="123"/>
        <v>0</v>
      </c>
      <c r="T239" s="61">
        <f t="shared" si="124"/>
        <v>0</v>
      </c>
      <c r="U239" s="278">
        <f t="shared" si="77"/>
        <v>333960</v>
      </c>
    </row>
    <row r="240" spans="1:21" s="15" customFormat="1" ht="45" x14ac:dyDescent="0.25">
      <c r="A240" s="254"/>
      <c r="B240" s="249" t="s">
        <v>131</v>
      </c>
      <c r="C240" s="103" t="s">
        <v>9</v>
      </c>
      <c r="D240" s="103" t="s">
        <v>108</v>
      </c>
      <c r="E240" s="103" t="s">
        <v>136</v>
      </c>
      <c r="F240" s="27"/>
      <c r="G240" s="27"/>
      <c r="H240" s="79"/>
      <c r="I240" s="22">
        <v>16600</v>
      </c>
      <c r="J240" s="20"/>
      <c r="K240" s="24"/>
      <c r="L240" s="22">
        <v>22410</v>
      </c>
      <c r="M240" s="20"/>
      <c r="N240" s="24"/>
      <c r="O240" s="22">
        <v>32495</v>
      </c>
      <c r="P240" s="20"/>
      <c r="Q240" s="274"/>
      <c r="R240" s="59">
        <f t="shared" si="122"/>
        <v>71505</v>
      </c>
      <c r="S240" s="60">
        <f t="shared" si="123"/>
        <v>0</v>
      </c>
      <c r="T240" s="61">
        <f t="shared" si="124"/>
        <v>0</v>
      </c>
      <c r="U240" s="278">
        <f t="shared" si="77"/>
        <v>71505</v>
      </c>
    </row>
    <row r="241" spans="1:21" s="15" customFormat="1" ht="30" x14ac:dyDescent="0.25">
      <c r="A241" s="254"/>
      <c r="B241" s="244" t="s">
        <v>131</v>
      </c>
      <c r="C241" s="18" t="s">
        <v>79</v>
      </c>
      <c r="D241" s="103" t="s">
        <v>80</v>
      </c>
      <c r="E241" s="86" t="s">
        <v>136</v>
      </c>
      <c r="F241" s="80"/>
      <c r="G241" s="80"/>
      <c r="H241" s="81"/>
      <c r="I241" s="22">
        <v>30000</v>
      </c>
      <c r="J241" s="20"/>
      <c r="K241" s="24"/>
      <c r="L241" s="22">
        <v>50000</v>
      </c>
      <c r="M241" s="67"/>
      <c r="N241" s="68"/>
      <c r="O241" s="22"/>
      <c r="P241" s="67"/>
      <c r="Q241" s="270"/>
      <c r="R241" s="59">
        <f t="shared" si="122"/>
        <v>80000</v>
      </c>
      <c r="S241" s="60">
        <f t="shared" si="123"/>
        <v>0</v>
      </c>
      <c r="T241" s="61">
        <f t="shared" si="124"/>
        <v>0</v>
      </c>
      <c r="U241" s="278">
        <f t="shared" si="77"/>
        <v>80000</v>
      </c>
    </row>
    <row r="242" spans="1:21" s="15" customFormat="1" ht="30" x14ac:dyDescent="0.25">
      <c r="A242" s="254"/>
      <c r="B242" s="244" t="s">
        <v>131</v>
      </c>
      <c r="C242" s="18" t="s">
        <v>81</v>
      </c>
      <c r="D242" s="103" t="s">
        <v>208</v>
      </c>
      <c r="E242" s="86" t="s">
        <v>136</v>
      </c>
      <c r="F242" s="27"/>
      <c r="G242" s="27"/>
      <c r="H242" s="28"/>
      <c r="I242" s="22">
        <v>20000</v>
      </c>
      <c r="J242" s="20"/>
      <c r="K242" s="24"/>
      <c r="L242" s="22"/>
      <c r="M242" s="67"/>
      <c r="N242" s="68"/>
      <c r="O242" s="22"/>
      <c r="P242" s="67"/>
      <c r="Q242" s="270"/>
      <c r="R242" s="59">
        <f t="shared" si="122"/>
        <v>20000</v>
      </c>
      <c r="S242" s="60">
        <f t="shared" si="123"/>
        <v>0</v>
      </c>
      <c r="T242" s="61">
        <f t="shared" si="124"/>
        <v>0</v>
      </c>
      <c r="U242" s="278">
        <f t="shared" si="77"/>
        <v>20000</v>
      </c>
    </row>
    <row r="243" spans="1:21" s="15" customFormat="1" ht="30" x14ac:dyDescent="0.25">
      <c r="A243" s="254"/>
      <c r="B243" s="244" t="s">
        <v>131</v>
      </c>
      <c r="C243" s="18" t="s">
        <v>82</v>
      </c>
      <c r="D243" s="103" t="s">
        <v>113</v>
      </c>
      <c r="E243" s="86" t="s">
        <v>132</v>
      </c>
      <c r="F243" s="27">
        <v>2</v>
      </c>
      <c r="G243" s="27"/>
      <c r="H243" s="28"/>
      <c r="I243" s="22"/>
      <c r="J243" s="20" t="e">
        <f>+#REF!</f>
        <v>#REF!</v>
      </c>
      <c r="K243" s="24"/>
      <c r="L243" s="22"/>
      <c r="M243" s="67" t="e">
        <f>+#REF!</f>
        <v>#REF!</v>
      </c>
      <c r="N243" s="68"/>
      <c r="O243" s="22"/>
      <c r="P243" s="67" t="e">
        <f>+#REF!</f>
        <v>#REF!</v>
      </c>
      <c r="Q243" s="270"/>
      <c r="R243" s="59">
        <f t="shared" si="122"/>
        <v>0</v>
      </c>
      <c r="S243" s="60" t="e">
        <f t="shared" si="123"/>
        <v>#REF!</v>
      </c>
      <c r="T243" s="61">
        <f t="shared" si="124"/>
        <v>0</v>
      </c>
      <c r="U243" s="278" t="e">
        <f t="shared" si="77"/>
        <v>#REF!</v>
      </c>
    </row>
    <row r="244" spans="1:21" s="15" customFormat="1" ht="30" x14ac:dyDescent="0.25">
      <c r="A244" s="254"/>
      <c r="B244" s="244" t="s">
        <v>131</v>
      </c>
      <c r="C244" s="18" t="s">
        <v>83</v>
      </c>
      <c r="D244" s="103" t="s">
        <v>92</v>
      </c>
      <c r="E244" s="86" t="s">
        <v>215</v>
      </c>
      <c r="F244" s="27">
        <v>2</v>
      </c>
      <c r="G244" s="27"/>
      <c r="H244" s="28"/>
      <c r="I244" s="22"/>
      <c r="J244" s="20">
        <f>+(2800*12*2)/15</f>
        <v>4480</v>
      </c>
      <c r="K244" s="24"/>
      <c r="L244" s="22"/>
      <c r="M244" s="67">
        <f>+(3100*12*2)/15</f>
        <v>4960</v>
      </c>
      <c r="N244" s="68"/>
      <c r="O244" s="22"/>
      <c r="P244" s="67">
        <f>+(3260*12*2)/15</f>
        <v>5216</v>
      </c>
      <c r="Q244" s="270"/>
      <c r="R244" s="59">
        <f t="shared" si="122"/>
        <v>0</v>
      </c>
      <c r="S244" s="60">
        <f t="shared" si="123"/>
        <v>14656</v>
      </c>
      <c r="T244" s="61">
        <f t="shared" si="124"/>
        <v>0</v>
      </c>
      <c r="U244" s="278">
        <f t="shared" si="77"/>
        <v>14656</v>
      </c>
    </row>
    <row r="245" spans="1:21" ht="30" x14ac:dyDescent="0.25">
      <c r="A245" s="255" t="s">
        <v>498</v>
      </c>
      <c r="B245" s="231" t="s">
        <v>131</v>
      </c>
      <c r="C245" s="227" t="s">
        <v>216</v>
      </c>
      <c r="D245" s="228"/>
      <c r="E245" s="229"/>
      <c r="F245" s="230"/>
      <c r="G245" s="230"/>
      <c r="H245" s="231"/>
      <c r="I245" s="232"/>
      <c r="J245" s="231"/>
      <c r="K245" s="233"/>
      <c r="L245" s="232"/>
      <c r="M245" s="231"/>
      <c r="N245" s="233"/>
      <c r="O245" s="232">
        <f>SUM(P246)</f>
        <v>0</v>
      </c>
      <c r="P245" s="231"/>
      <c r="Q245" s="231"/>
      <c r="R245" s="232"/>
      <c r="S245" s="231"/>
      <c r="T245" s="233"/>
      <c r="U245" s="279"/>
    </row>
    <row r="246" spans="1:21" s="15" customFormat="1" ht="30" x14ac:dyDescent="0.25">
      <c r="A246" s="254"/>
      <c r="B246" s="244" t="s">
        <v>131</v>
      </c>
      <c r="C246" s="18" t="s">
        <v>94</v>
      </c>
      <c r="D246" s="103" t="s">
        <v>209</v>
      </c>
      <c r="E246" s="86" t="s">
        <v>132</v>
      </c>
      <c r="F246" s="27">
        <v>1</v>
      </c>
      <c r="G246" s="27"/>
      <c r="H246" s="28"/>
      <c r="I246" s="22"/>
      <c r="J246" s="20">
        <v>7000</v>
      </c>
      <c r="K246" s="24"/>
      <c r="L246" s="22"/>
      <c r="M246" s="67">
        <v>6000</v>
      </c>
      <c r="N246" s="68"/>
      <c r="O246" s="22"/>
      <c r="P246" s="67">
        <v>0</v>
      </c>
      <c r="Q246" s="270"/>
      <c r="R246" s="59">
        <f t="shared" ref="R246" si="125">+O246+L246+I246</f>
        <v>0</v>
      </c>
      <c r="S246" s="60">
        <f t="shared" ref="S246" si="126">+P246+M246+J246</f>
        <v>13000</v>
      </c>
      <c r="T246" s="61">
        <f t="shared" ref="T246" si="127">+Q246+N246+K246</f>
        <v>0</v>
      </c>
      <c r="U246" s="278">
        <f>+R246+S246+T246</f>
        <v>13000</v>
      </c>
    </row>
    <row r="247" spans="1:21" x14ac:dyDescent="0.25">
      <c r="A247" s="253" t="s">
        <v>440</v>
      </c>
      <c r="B247" s="224" t="s">
        <v>131</v>
      </c>
      <c r="C247" s="221" t="s">
        <v>441</v>
      </c>
      <c r="D247" s="222"/>
      <c r="E247" s="223"/>
      <c r="F247" s="204">
        <v>1</v>
      </c>
      <c r="G247" s="204"/>
      <c r="H247" s="224"/>
      <c r="I247" s="225"/>
      <c r="J247" s="224"/>
      <c r="K247" s="226"/>
      <c r="L247" s="225"/>
      <c r="M247" s="224"/>
      <c r="N247" s="226"/>
      <c r="O247" s="225"/>
      <c r="P247" s="224"/>
      <c r="Q247" s="224"/>
      <c r="R247" s="225"/>
      <c r="S247" s="224"/>
      <c r="T247" s="226"/>
      <c r="U247" s="226"/>
    </row>
    <row r="248" spans="1:21" x14ac:dyDescent="0.25">
      <c r="A248" s="255" t="s">
        <v>499</v>
      </c>
      <c r="B248" s="231" t="s">
        <v>131</v>
      </c>
      <c r="C248" s="227" t="s">
        <v>1</v>
      </c>
      <c r="D248" s="228"/>
      <c r="E248" s="229"/>
      <c r="F248" s="230">
        <v>1</v>
      </c>
      <c r="G248" s="230"/>
      <c r="H248" s="231"/>
      <c r="I248" s="232"/>
      <c r="J248" s="231"/>
      <c r="K248" s="233"/>
      <c r="L248" s="232"/>
      <c r="M248" s="231"/>
      <c r="N248" s="233"/>
      <c r="O248" s="232"/>
      <c r="P248" s="231"/>
      <c r="Q248" s="231"/>
      <c r="R248" s="232"/>
      <c r="S248" s="231"/>
      <c r="T248" s="233"/>
      <c r="U248" s="279"/>
    </row>
    <row r="249" spans="1:21" s="15" customFormat="1" ht="30" x14ac:dyDescent="0.25">
      <c r="A249" s="254"/>
      <c r="B249" s="244" t="s">
        <v>131</v>
      </c>
      <c r="C249" s="18" t="s">
        <v>210</v>
      </c>
      <c r="D249" s="103" t="s">
        <v>30</v>
      </c>
      <c r="E249" s="86" t="s">
        <v>132</v>
      </c>
      <c r="F249" s="27">
        <v>1</v>
      </c>
      <c r="G249" s="27"/>
      <c r="H249" s="28"/>
      <c r="I249" s="22"/>
      <c r="J249" s="20" t="e">
        <f>+#REF!</f>
        <v>#REF!</v>
      </c>
      <c r="K249" s="24"/>
      <c r="L249" s="22"/>
      <c r="M249" s="67" t="e">
        <f>+#REF!</f>
        <v>#REF!</v>
      </c>
      <c r="N249" s="68"/>
      <c r="O249" s="22"/>
      <c r="P249" s="67" t="e">
        <f>+#REF!</f>
        <v>#REF!</v>
      </c>
      <c r="Q249" s="270"/>
      <c r="R249" s="59">
        <f t="shared" ref="R249:R251" si="128">+O249+L249+I249</f>
        <v>0</v>
      </c>
      <c r="S249" s="60" t="e">
        <f t="shared" ref="S249:S251" si="129">+P249+M249+J249</f>
        <v>#REF!</v>
      </c>
      <c r="T249" s="61">
        <f t="shared" ref="T249:T251" si="130">+Q249+N249+K249</f>
        <v>0</v>
      </c>
      <c r="U249" s="278" t="e">
        <f>+R249+S249+T249</f>
        <v>#REF!</v>
      </c>
    </row>
    <row r="250" spans="1:21" s="15" customFormat="1" x14ac:dyDescent="0.25">
      <c r="A250" s="254"/>
      <c r="B250" s="244" t="s">
        <v>131</v>
      </c>
      <c r="C250" s="18" t="s">
        <v>211</v>
      </c>
      <c r="D250" s="103" t="s">
        <v>30</v>
      </c>
      <c r="E250" s="86" t="s">
        <v>132</v>
      </c>
      <c r="F250" s="27">
        <v>1</v>
      </c>
      <c r="G250" s="27"/>
      <c r="H250" s="28"/>
      <c r="I250" s="22"/>
      <c r="J250" s="20" t="e">
        <f>+#REF!</f>
        <v>#REF!</v>
      </c>
      <c r="K250" s="24"/>
      <c r="L250" s="22"/>
      <c r="M250" s="67" t="e">
        <f>+#REF!</f>
        <v>#REF!</v>
      </c>
      <c r="N250" s="68"/>
      <c r="O250" s="22"/>
      <c r="P250" s="67" t="e">
        <f>+#REF!</f>
        <v>#REF!</v>
      </c>
      <c r="Q250" s="270"/>
      <c r="R250" s="59">
        <f t="shared" si="128"/>
        <v>0</v>
      </c>
      <c r="S250" s="60" t="e">
        <f t="shared" si="129"/>
        <v>#REF!</v>
      </c>
      <c r="T250" s="61">
        <f t="shared" si="130"/>
        <v>0</v>
      </c>
      <c r="U250" s="278" t="e">
        <f>+R250+S250+T250</f>
        <v>#REF!</v>
      </c>
    </row>
    <row r="251" spans="1:21" s="15" customFormat="1" ht="30" x14ac:dyDescent="0.25">
      <c r="A251" s="254"/>
      <c r="B251" s="244" t="s">
        <v>131</v>
      </c>
      <c r="C251" s="18" t="s">
        <v>83</v>
      </c>
      <c r="D251" s="103" t="s">
        <v>92</v>
      </c>
      <c r="E251" s="86" t="s">
        <v>215</v>
      </c>
      <c r="F251" s="27">
        <v>2</v>
      </c>
      <c r="G251" s="27"/>
      <c r="H251" s="28"/>
      <c r="I251" s="22"/>
      <c r="J251" s="20">
        <f>+(2800*12*2)/15</f>
        <v>4480</v>
      </c>
      <c r="K251" s="24"/>
      <c r="L251" s="22"/>
      <c r="M251" s="67">
        <f>+(3100*12*2)/15</f>
        <v>4960</v>
      </c>
      <c r="N251" s="68"/>
      <c r="O251" s="22"/>
      <c r="P251" s="67">
        <f>+(3260*12*2)/15</f>
        <v>5216</v>
      </c>
      <c r="Q251" s="270"/>
      <c r="R251" s="59">
        <f t="shared" si="128"/>
        <v>0</v>
      </c>
      <c r="S251" s="60">
        <f t="shared" si="129"/>
        <v>14656</v>
      </c>
      <c r="T251" s="61">
        <f t="shared" si="130"/>
        <v>0</v>
      </c>
      <c r="U251" s="278">
        <f>+R251+S251+T251</f>
        <v>14656</v>
      </c>
    </row>
    <row r="252" spans="1:21" x14ac:dyDescent="0.25">
      <c r="A252" s="255" t="s">
        <v>500</v>
      </c>
      <c r="B252" s="231" t="s">
        <v>131</v>
      </c>
      <c r="C252" s="227" t="s">
        <v>27</v>
      </c>
      <c r="D252" s="228"/>
      <c r="E252" s="229"/>
      <c r="F252" s="230">
        <v>4</v>
      </c>
      <c r="G252" s="230"/>
      <c r="H252" s="231"/>
      <c r="I252" s="232"/>
      <c r="J252" s="231"/>
      <c r="K252" s="233"/>
      <c r="L252" s="232"/>
      <c r="M252" s="231"/>
      <c r="N252" s="233"/>
      <c r="O252" s="232"/>
      <c r="P252" s="231"/>
      <c r="Q252" s="231"/>
      <c r="R252" s="232"/>
      <c r="S252" s="231"/>
      <c r="T252" s="233"/>
      <c r="U252" s="279"/>
    </row>
    <row r="253" spans="1:21" s="15" customFormat="1" ht="45" x14ac:dyDescent="0.25">
      <c r="A253" s="254"/>
      <c r="B253" s="244" t="s">
        <v>131</v>
      </c>
      <c r="C253" s="18" t="s">
        <v>212</v>
      </c>
      <c r="D253" s="103" t="s">
        <v>123</v>
      </c>
      <c r="E253" s="86" t="s">
        <v>132</v>
      </c>
      <c r="F253" s="27">
        <v>1</v>
      </c>
      <c r="G253" s="27"/>
      <c r="H253" s="28"/>
      <c r="I253" s="22"/>
      <c r="J253" s="20" t="e">
        <f>+#REF!</f>
        <v>#REF!</v>
      </c>
      <c r="K253" s="24"/>
      <c r="L253" s="22"/>
      <c r="M253" s="67" t="e">
        <f>+#REF!</f>
        <v>#REF!</v>
      </c>
      <c r="N253" s="68"/>
      <c r="O253" s="22"/>
      <c r="P253" s="67" t="e">
        <f>+#REF!</f>
        <v>#REF!</v>
      </c>
      <c r="Q253" s="270"/>
      <c r="R253" s="59">
        <f t="shared" ref="R253:R256" si="131">+O253+L253+I253</f>
        <v>0</v>
      </c>
      <c r="S253" s="60" t="e">
        <f t="shared" ref="S253:S256" si="132">+P253+M253+J253</f>
        <v>#REF!</v>
      </c>
      <c r="T253" s="61">
        <f t="shared" ref="T253:T256" si="133">+Q253+N253+K253</f>
        <v>0</v>
      </c>
      <c r="U253" s="278" t="e">
        <f>+R253+S253+T253</f>
        <v>#REF!</v>
      </c>
    </row>
    <row r="254" spans="1:21" s="15" customFormat="1" ht="60" x14ac:dyDescent="0.25">
      <c r="A254" s="254"/>
      <c r="B254" s="244" t="s">
        <v>131</v>
      </c>
      <c r="C254" s="18" t="s">
        <v>213</v>
      </c>
      <c r="D254" s="103" t="s">
        <v>118</v>
      </c>
      <c r="E254" s="86" t="s">
        <v>132</v>
      </c>
      <c r="F254" s="27">
        <v>4</v>
      </c>
      <c r="G254" s="27"/>
      <c r="H254" s="28"/>
      <c r="I254" s="22"/>
      <c r="J254" s="20" t="e">
        <f>+#REF!</f>
        <v>#REF!</v>
      </c>
      <c r="K254" s="24"/>
      <c r="L254" s="22"/>
      <c r="M254" s="67" t="e">
        <f>+#REF!</f>
        <v>#REF!</v>
      </c>
      <c r="N254" s="68"/>
      <c r="O254" s="22"/>
      <c r="P254" s="67" t="e">
        <f>+#REF!</f>
        <v>#REF!</v>
      </c>
      <c r="Q254" s="270"/>
      <c r="R254" s="59">
        <f t="shared" si="131"/>
        <v>0</v>
      </c>
      <c r="S254" s="60" t="e">
        <f t="shared" si="132"/>
        <v>#REF!</v>
      </c>
      <c r="T254" s="61">
        <f t="shared" si="133"/>
        <v>0</v>
      </c>
      <c r="U254" s="278" t="e">
        <f>+R254+S254+T254</f>
        <v>#REF!</v>
      </c>
    </row>
    <row r="255" spans="1:21" s="15" customFormat="1" ht="60" x14ac:dyDescent="0.25">
      <c r="A255" s="254"/>
      <c r="B255" s="244" t="s">
        <v>131</v>
      </c>
      <c r="C255" s="18" t="s">
        <v>214</v>
      </c>
      <c r="D255" s="103" t="s">
        <v>117</v>
      </c>
      <c r="E255" s="86" t="s">
        <v>132</v>
      </c>
      <c r="F255" s="27">
        <v>4</v>
      </c>
      <c r="G255" s="27"/>
      <c r="H255" s="28"/>
      <c r="I255" s="22"/>
      <c r="J255" s="20" t="e">
        <f>+#REF!</f>
        <v>#REF!</v>
      </c>
      <c r="K255" s="24"/>
      <c r="L255" s="22"/>
      <c r="M255" s="67" t="e">
        <f>+#REF!</f>
        <v>#REF!</v>
      </c>
      <c r="N255" s="68"/>
      <c r="O255" s="22"/>
      <c r="P255" s="67" t="e">
        <f>+#REF!</f>
        <v>#REF!</v>
      </c>
      <c r="Q255" s="270"/>
      <c r="R255" s="59">
        <f t="shared" si="131"/>
        <v>0</v>
      </c>
      <c r="S255" s="60" t="e">
        <f t="shared" si="132"/>
        <v>#REF!</v>
      </c>
      <c r="T255" s="61">
        <f t="shared" si="133"/>
        <v>0</v>
      </c>
      <c r="U255" s="278" t="e">
        <f>+R255+S255+T255</f>
        <v>#REF!</v>
      </c>
    </row>
    <row r="256" spans="1:21" s="15" customFormat="1" ht="30" x14ac:dyDescent="0.25">
      <c r="A256" s="254"/>
      <c r="B256" s="244" t="s">
        <v>131</v>
      </c>
      <c r="C256" s="18" t="s">
        <v>83</v>
      </c>
      <c r="D256" s="103" t="s">
        <v>92</v>
      </c>
      <c r="E256" s="86" t="s">
        <v>215</v>
      </c>
      <c r="F256" s="27">
        <v>8</v>
      </c>
      <c r="G256" s="27"/>
      <c r="H256" s="28"/>
      <c r="I256" s="22"/>
      <c r="J256" s="20">
        <f>+(2800*12*8)/15</f>
        <v>17920</v>
      </c>
      <c r="K256" s="24"/>
      <c r="L256" s="22"/>
      <c r="M256" s="67">
        <f>+(3100*12*8)/15</f>
        <v>19840</v>
      </c>
      <c r="N256" s="68"/>
      <c r="O256" s="22"/>
      <c r="P256" s="67">
        <f>+(3260*12*8)/15</f>
        <v>20864</v>
      </c>
      <c r="Q256" s="270"/>
      <c r="R256" s="59">
        <f t="shared" si="131"/>
        <v>0</v>
      </c>
      <c r="S256" s="60">
        <f t="shared" si="132"/>
        <v>58624</v>
      </c>
      <c r="T256" s="61">
        <f t="shared" si="133"/>
        <v>0</v>
      </c>
      <c r="U256" s="278">
        <f>+R256+S256+T256</f>
        <v>58624</v>
      </c>
    </row>
    <row r="257" spans="1:21" x14ac:dyDescent="0.25">
      <c r="A257" s="255" t="s">
        <v>501</v>
      </c>
      <c r="B257" s="231" t="s">
        <v>131</v>
      </c>
      <c r="C257" s="227" t="s">
        <v>22</v>
      </c>
      <c r="D257" s="228"/>
      <c r="E257" s="229"/>
      <c r="F257" s="230"/>
      <c r="G257" s="230"/>
      <c r="H257" s="231"/>
      <c r="I257" s="232"/>
      <c r="J257" s="231"/>
      <c r="K257" s="233"/>
      <c r="L257" s="232"/>
      <c r="M257" s="231"/>
      <c r="N257" s="233"/>
      <c r="O257" s="232"/>
      <c r="P257" s="231"/>
      <c r="Q257" s="231"/>
      <c r="R257" s="232"/>
      <c r="S257" s="231"/>
      <c r="T257" s="233"/>
      <c r="U257" s="279"/>
    </row>
    <row r="258" spans="1:21" ht="30" x14ac:dyDescent="0.25">
      <c r="A258" s="256"/>
      <c r="B258" s="250" t="s">
        <v>131</v>
      </c>
      <c r="C258" s="75" t="s">
        <v>115</v>
      </c>
      <c r="D258" s="75" t="s">
        <v>116</v>
      </c>
      <c r="E258" s="75" t="s">
        <v>133</v>
      </c>
      <c r="F258" s="76"/>
      <c r="G258" s="76"/>
      <c r="H258" s="77"/>
      <c r="I258" s="91">
        <f>1200*6</f>
        <v>7200</v>
      </c>
      <c r="J258" s="92"/>
      <c r="K258" s="93"/>
      <c r="L258" s="91">
        <v>0</v>
      </c>
      <c r="M258" s="20"/>
      <c r="N258" s="24"/>
      <c r="O258" s="91">
        <v>0</v>
      </c>
      <c r="P258" s="20"/>
      <c r="Q258" s="274"/>
      <c r="R258" s="59">
        <f t="shared" ref="R258" si="134">+O258+L258+I258</f>
        <v>7200</v>
      </c>
      <c r="S258" s="60">
        <f t="shared" ref="S258" si="135">+P258+M258+J258</f>
        <v>0</v>
      </c>
      <c r="T258" s="61">
        <f t="shared" ref="T258" si="136">+Q258+N258+K258</f>
        <v>0</v>
      </c>
      <c r="U258" s="278">
        <f>+R258+S258+T258</f>
        <v>7200</v>
      </c>
    </row>
    <row r="259" spans="1:21" x14ac:dyDescent="0.25">
      <c r="A259" s="255" t="s">
        <v>502</v>
      </c>
      <c r="B259" s="231" t="s">
        <v>131</v>
      </c>
      <c r="C259" s="227" t="s">
        <v>7</v>
      </c>
      <c r="D259" s="228"/>
      <c r="E259" s="229"/>
      <c r="F259" s="230"/>
      <c r="G259" s="230"/>
      <c r="H259" s="231"/>
      <c r="I259" s="232"/>
      <c r="J259" s="231"/>
      <c r="K259" s="233"/>
      <c r="L259" s="232"/>
      <c r="M259" s="231"/>
      <c r="N259" s="233"/>
      <c r="O259" s="232"/>
      <c r="P259" s="231"/>
      <c r="Q259" s="231"/>
      <c r="R259" s="232"/>
      <c r="S259" s="231"/>
      <c r="T259" s="233"/>
      <c r="U259" s="279"/>
    </row>
    <row r="260" spans="1:21" s="15" customFormat="1" ht="60" x14ac:dyDescent="0.25">
      <c r="A260" s="254"/>
      <c r="B260" s="244" t="s">
        <v>131</v>
      </c>
      <c r="C260" s="18" t="s">
        <v>11</v>
      </c>
      <c r="D260" s="18" t="s">
        <v>114</v>
      </c>
      <c r="E260" s="18" t="s">
        <v>136</v>
      </c>
      <c r="F260" s="19"/>
      <c r="G260" s="19"/>
      <c r="H260" s="26"/>
      <c r="I260" s="22">
        <f>330*2*35+80*35*2*2</f>
        <v>34300</v>
      </c>
      <c r="J260" s="20"/>
      <c r="K260" s="24"/>
      <c r="L260" s="22">
        <v>46305</v>
      </c>
      <c r="M260" s="99"/>
      <c r="N260" s="23"/>
      <c r="O260" s="22">
        <v>67142</v>
      </c>
      <c r="P260" s="99"/>
      <c r="Q260" s="99"/>
      <c r="R260" s="59">
        <f t="shared" ref="R260:R261" si="137">+O260+L260+I260</f>
        <v>147747</v>
      </c>
      <c r="S260" s="60">
        <f t="shared" ref="S260:S261" si="138">+P260+M260+J260</f>
        <v>0</v>
      </c>
      <c r="T260" s="61">
        <f t="shared" ref="T260:T261" si="139">+Q260+N260+K260</f>
        <v>0</v>
      </c>
      <c r="U260" s="278">
        <f>+R260+S260+T260</f>
        <v>147747</v>
      </c>
    </row>
    <row r="261" spans="1:21" ht="45" x14ac:dyDescent="0.25">
      <c r="A261" s="256"/>
      <c r="B261" s="247" t="s">
        <v>131</v>
      </c>
      <c r="C261" s="75" t="s">
        <v>9</v>
      </c>
      <c r="D261" s="75" t="s">
        <v>107</v>
      </c>
      <c r="E261" s="75" t="s">
        <v>136</v>
      </c>
      <c r="F261" s="57"/>
      <c r="G261" s="57"/>
      <c r="H261" s="58"/>
      <c r="I261" s="91">
        <f>130*30</f>
        <v>3900</v>
      </c>
      <c r="J261" s="92"/>
      <c r="K261" s="93"/>
      <c r="L261" s="91">
        <v>5265</v>
      </c>
      <c r="M261" s="20"/>
      <c r="N261" s="24"/>
      <c r="O261" s="91">
        <v>7634</v>
      </c>
      <c r="P261" s="20"/>
      <c r="Q261" s="274"/>
      <c r="R261" s="59">
        <f t="shared" si="137"/>
        <v>16799</v>
      </c>
      <c r="S261" s="60">
        <f t="shared" si="138"/>
        <v>0</v>
      </c>
      <c r="T261" s="61">
        <f t="shared" si="139"/>
        <v>0</v>
      </c>
      <c r="U261" s="278">
        <f>+R261+S261+T261</f>
        <v>16799</v>
      </c>
    </row>
    <row r="262" spans="1:21" x14ac:dyDescent="0.25">
      <c r="A262" s="255" t="s">
        <v>503</v>
      </c>
      <c r="B262" s="231" t="s">
        <v>131</v>
      </c>
      <c r="C262" s="227" t="s">
        <v>10</v>
      </c>
      <c r="D262" s="228"/>
      <c r="E262" s="229"/>
      <c r="F262" s="230"/>
      <c r="G262" s="230"/>
      <c r="H262" s="231"/>
      <c r="I262" s="232"/>
      <c r="J262" s="231"/>
      <c r="K262" s="233"/>
      <c r="L262" s="232"/>
      <c r="M262" s="231"/>
      <c r="N262" s="233"/>
      <c r="O262" s="232"/>
      <c r="P262" s="231"/>
      <c r="Q262" s="231"/>
      <c r="R262" s="232"/>
      <c r="S262" s="231"/>
      <c r="T262" s="233"/>
      <c r="U262" s="279"/>
    </row>
    <row r="263" spans="1:21" x14ac:dyDescent="0.25">
      <c r="A263" s="256"/>
      <c r="B263" s="247" t="s">
        <v>131</v>
      </c>
      <c r="C263" s="75" t="s">
        <v>75</v>
      </c>
      <c r="D263" s="75"/>
      <c r="E263" s="105" t="s">
        <v>135</v>
      </c>
      <c r="F263" s="57"/>
      <c r="G263" s="57"/>
      <c r="H263" s="58"/>
      <c r="I263" s="91">
        <v>20000</v>
      </c>
      <c r="J263" s="92"/>
      <c r="K263" s="93"/>
      <c r="L263" s="91">
        <v>23000</v>
      </c>
      <c r="M263" s="20"/>
      <c r="N263" s="24"/>
      <c r="O263" s="91">
        <v>26000</v>
      </c>
      <c r="P263" s="20"/>
      <c r="Q263" s="274"/>
      <c r="R263" s="59">
        <f t="shared" ref="R263" si="140">+O263+L263+I263</f>
        <v>69000</v>
      </c>
      <c r="S263" s="60">
        <f t="shared" ref="S263" si="141">+P263+M263+J263</f>
        <v>0</v>
      </c>
      <c r="T263" s="61">
        <f t="shared" ref="T263" si="142">+Q263+N263+K263</f>
        <v>0</v>
      </c>
      <c r="U263" s="278">
        <f>+R263+S263+T263</f>
        <v>69000</v>
      </c>
    </row>
    <row r="264" spans="1:21" x14ac:dyDescent="0.25">
      <c r="A264" s="251">
        <v>3</v>
      </c>
      <c r="B264" s="242" t="s">
        <v>363</v>
      </c>
      <c r="C264" s="211"/>
      <c r="D264" s="212"/>
      <c r="E264" s="212"/>
      <c r="F264" s="212"/>
      <c r="G264" s="212"/>
      <c r="H264" s="212"/>
      <c r="I264" s="213"/>
      <c r="J264" s="214"/>
      <c r="K264" s="215"/>
      <c r="L264" s="213"/>
      <c r="M264" s="214"/>
      <c r="N264" s="215"/>
      <c r="O264" s="213"/>
      <c r="P264" s="214"/>
      <c r="Q264" s="214"/>
      <c r="R264" s="213"/>
      <c r="S264" s="214"/>
      <c r="T264" s="215"/>
      <c r="U264" s="276"/>
    </row>
    <row r="265" spans="1:21" s="15" customFormat="1" x14ac:dyDescent="0.25">
      <c r="A265" s="254"/>
      <c r="B265" s="244" t="s">
        <v>364</v>
      </c>
      <c r="C265" s="18" t="s">
        <v>365</v>
      </c>
      <c r="D265" s="103" t="s">
        <v>248</v>
      </c>
      <c r="E265" s="86" t="s">
        <v>248</v>
      </c>
      <c r="F265" s="27"/>
      <c r="G265" s="27"/>
      <c r="H265" s="28"/>
      <c r="I265" s="22">
        <v>247470</v>
      </c>
      <c r="J265" s="20">
        <v>0</v>
      </c>
      <c r="K265" s="24">
        <v>0</v>
      </c>
      <c r="L265" s="22">
        <v>247470</v>
      </c>
      <c r="M265" s="67">
        <v>0</v>
      </c>
      <c r="N265" s="68">
        <v>0</v>
      </c>
      <c r="O265" s="22">
        <v>247470</v>
      </c>
      <c r="P265" s="67">
        <v>0</v>
      </c>
      <c r="Q265" s="270">
        <v>0</v>
      </c>
      <c r="R265" s="59">
        <f t="shared" ref="R265:R270" si="143">+O265+L265+I265</f>
        <v>742410</v>
      </c>
      <c r="S265" s="60">
        <f t="shared" ref="S265:S270" si="144">+P265+M265+J265</f>
        <v>0</v>
      </c>
      <c r="T265" s="61">
        <f t="shared" ref="T265:T270" si="145">+Q265+N265+K265</f>
        <v>0</v>
      </c>
      <c r="U265" s="278">
        <f t="shared" ref="U265:U270" si="146">+R265+S265+T265</f>
        <v>742410</v>
      </c>
    </row>
    <row r="266" spans="1:21" s="15" customFormat="1" x14ac:dyDescent="0.25">
      <c r="A266" s="254"/>
      <c r="B266" s="244" t="s">
        <v>364</v>
      </c>
      <c r="C266" s="18" t="s">
        <v>366</v>
      </c>
      <c r="D266" s="103" t="s">
        <v>380</v>
      </c>
      <c r="E266" s="86" t="s">
        <v>380</v>
      </c>
      <c r="F266" s="27"/>
      <c r="G266" s="27"/>
      <c r="H266" s="28"/>
      <c r="I266" s="22">
        <f>(2333414*1.3)/15</f>
        <v>202229.21333333335</v>
      </c>
      <c r="J266" s="20">
        <v>0</v>
      </c>
      <c r="K266" s="24">
        <v>0</v>
      </c>
      <c r="L266" s="22">
        <f>+I266*1.25</f>
        <v>252786.51666666669</v>
      </c>
      <c r="M266" s="67">
        <v>0</v>
      </c>
      <c r="N266" s="68">
        <v>0</v>
      </c>
      <c r="O266" s="22">
        <f>+L266*1.25+2</f>
        <v>315985.14583333337</v>
      </c>
      <c r="P266" s="67">
        <v>0</v>
      </c>
      <c r="Q266" s="270">
        <v>0</v>
      </c>
      <c r="R266" s="59">
        <f t="shared" si="143"/>
        <v>771000.87583333347</v>
      </c>
      <c r="S266" s="60">
        <f t="shared" si="144"/>
        <v>0</v>
      </c>
      <c r="T266" s="61">
        <f t="shared" si="145"/>
        <v>0</v>
      </c>
      <c r="U266" s="278">
        <f t="shared" si="146"/>
        <v>771000.87583333347</v>
      </c>
    </row>
    <row r="267" spans="1:21" s="15" customFormat="1" x14ac:dyDescent="0.25">
      <c r="A267" s="254"/>
      <c r="B267" s="244" t="s">
        <v>364</v>
      </c>
      <c r="C267" s="18" t="s">
        <v>367</v>
      </c>
      <c r="D267" s="103" t="s">
        <v>380</v>
      </c>
      <c r="E267" s="86" t="s">
        <v>380</v>
      </c>
      <c r="F267" s="27"/>
      <c r="G267" s="27"/>
      <c r="H267" s="28"/>
      <c r="I267" s="22">
        <v>70000</v>
      </c>
      <c r="J267" s="20">
        <v>8000</v>
      </c>
      <c r="K267" s="24">
        <v>0</v>
      </c>
      <c r="L267" s="22">
        <v>80000</v>
      </c>
      <c r="M267" s="67">
        <v>12000</v>
      </c>
      <c r="N267" s="68">
        <v>0</v>
      </c>
      <c r="O267" s="22">
        <v>90000</v>
      </c>
      <c r="P267" s="67">
        <v>15000</v>
      </c>
      <c r="Q267" s="270">
        <v>0</v>
      </c>
      <c r="R267" s="59">
        <f t="shared" si="143"/>
        <v>240000</v>
      </c>
      <c r="S267" s="60">
        <f t="shared" si="144"/>
        <v>35000</v>
      </c>
      <c r="T267" s="61">
        <f t="shared" si="145"/>
        <v>0</v>
      </c>
      <c r="U267" s="278">
        <f t="shared" si="146"/>
        <v>275000</v>
      </c>
    </row>
    <row r="268" spans="1:21" s="15" customFormat="1" x14ac:dyDescent="0.25">
      <c r="A268" s="254"/>
      <c r="B268" s="244" t="s">
        <v>364</v>
      </c>
      <c r="C268" s="18" t="s">
        <v>368</v>
      </c>
      <c r="D268" s="103" t="s">
        <v>380</v>
      </c>
      <c r="E268" s="86" t="s">
        <v>380</v>
      </c>
      <c r="F268" s="27"/>
      <c r="G268" s="27"/>
      <c r="H268" s="28"/>
      <c r="I268" s="22">
        <v>0</v>
      </c>
      <c r="J268" s="20">
        <v>35000</v>
      </c>
      <c r="K268" s="24">
        <v>0</v>
      </c>
      <c r="L268" s="22">
        <v>0</v>
      </c>
      <c r="M268" s="67">
        <v>38000</v>
      </c>
      <c r="N268" s="68">
        <v>0</v>
      </c>
      <c r="O268" s="22">
        <v>0</v>
      </c>
      <c r="P268" s="67">
        <v>50000</v>
      </c>
      <c r="Q268" s="270">
        <v>0</v>
      </c>
      <c r="R268" s="59">
        <f t="shared" si="143"/>
        <v>0</v>
      </c>
      <c r="S268" s="60">
        <f t="shared" si="144"/>
        <v>123000</v>
      </c>
      <c r="T268" s="61">
        <f t="shared" si="145"/>
        <v>0</v>
      </c>
      <c r="U268" s="278">
        <f t="shared" si="146"/>
        <v>123000</v>
      </c>
    </row>
    <row r="269" spans="1:21" s="15" customFormat="1" x14ac:dyDescent="0.25">
      <c r="A269" s="254"/>
      <c r="B269" s="244" t="s">
        <v>364</v>
      </c>
      <c r="C269" s="18" t="s">
        <v>382</v>
      </c>
      <c r="D269" s="103" t="s">
        <v>310</v>
      </c>
      <c r="E269" s="86" t="s">
        <v>310</v>
      </c>
      <c r="F269" s="27">
        <v>70</v>
      </c>
      <c r="G269" s="27"/>
      <c r="H269" s="28"/>
      <c r="I269" s="22">
        <f>(800*1.05+174*1.21)*1.4*70</f>
        <v>102952.91999999998</v>
      </c>
      <c r="J269" s="20">
        <v>0</v>
      </c>
      <c r="K269" s="24">
        <v>0</v>
      </c>
      <c r="L269" s="22">
        <v>0</v>
      </c>
      <c r="M269" s="67">
        <v>0</v>
      </c>
      <c r="N269" s="68">
        <v>0</v>
      </c>
      <c r="O269" s="22">
        <v>0</v>
      </c>
      <c r="P269" s="67">
        <v>0</v>
      </c>
      <c r="Q269" s="270">
        <v>0</v>
      </c>
      <c r="R269" s="59">
        <f t="shared" si="143"/>
        <v>102952.91999999998</v>
      </c>
      <c r="S269" s="60">
        <f t="shared" si="144"/>
        <v>0</v>
      </c>
      <c r="T269" s="61">
        <f t="shared" si="145"/>
        <v>0</v>
      </c>
      <c r="U269" s="278">
        <f t="shared" si="146"/>
        <v>102952.91999999998</v>
      </c>
    </row>
    <row r="270" spans="1:21" s="15" customFormat="1" ht="15.75" thickBot="1" x14ac:dyDescent="0.3">
      <c r="A270" s="254"/>
      <c r="B270" s="257" t="s">
        <v>364</v>
      </c>
      <c r="C270" s="258" t="s">
        <v>380</v>
      </c>
      <c r="D270" s="259" t="s">
        <v>380</v>
      </c>
      <c r="E270" s="260" t="s">
        <v>380</v>
      </c>
      <c r="F270" s="261"/>
      <c r="G270" s="261"/>
      <c r="H270" s="262"/>
      <c r="I270" s="263"/>
      <c r="J270" s="264">
        <v>763800</v>
      </c>
      <c r="K270" s="265">
        <v>0</v>
      </c>
      <c r="L270" s="263"/>
      <c r="M270" s="266">
        <f>693388</f>
        <v>693388</v>
      </c>
      <c r="N270" s="267">
        <v>0</v>
      </c>
      <c r="O270" s="263"/>
      <c r="P270" s="266">
        <v>532432</v>
      </c>
      <c r="Q270" s="275">
        <v>0</v>
      </c>
      <c r="R270" s="268">
        <f t="shared" si="143"/>
        <v>0</v>
      </c>
      <c r="S270" s="269">
        <f t="shared" si="144"/>
        <v>1989620</v>
      </c>
      <c r="T270" s="283">
        <f t="shared" si="145"/>
        <v>0</v>
      </c>
      <c r="U270" s="281">
        <f t="shared" si="146"/>
        <v>1989620</v>
      </c>
    </row>
    <row r="271" spans="1:21" s="115" customFormat="1" ht="15.75" thickBot="1" x14ac:dyDescent="0.3">
      <c r="A271" s="135" t="s">
        <v>352</v>
      </c>
      <c r="B271" s="136"/>
      <c r="C271" s="150"/>
      <c r="D271" s="150"/>
      <c r="E271" s="150"/>
      <c r="F271" s="136"/>
      <c r="G271" s="137"/>
      <c r="H271" s="137"/>
      <c r="I271" s="285">
        <f>SUM(I8:I270)</f>
        <v>53599874.258411624</v>
      </c>
      <c r="J271" s="286" t="e">
        <f t="shared" ref="J271:U271" si="147">SUM(J8:J270)</f>
        <v>#REF!</v>
      </c>
      <c r="K271" s="140" t="e">
        <f t="shared" si="147"/>
        <v>#REF!</v>
      </c>
      <c r="L271" s="285">
        <f t="shared" si="147"/>
        <v>29983983.765407093</v>
      </c>
      <c r="M271" s="286" t="e">
        <f t="shared" si="147"/>
        <v>#REF!</v>
      </c>
      <c r="N271" s="140" t="e">
        <f t="shared" si="147"/>
        <v>#REF!</v>
      </c>
      <c r="O271" s="285">
        <f t="shared" si="147"/>
        <v>16416142.147742853</v>
      </c>
      <c r="P271" s="286" t="e">
        <f t="shared" si="147"/>
        <v>#REF!</v>
      </c>
      <c r="Q271" s="140" t="e">
        <f t="shared" si="147"/>
        <v>#REF!</v>
      </c>
      <c r="R271" s="285">
        <f t="shared" si="147"/>
        <v>100000000.17156157</v>
      </c>
      <c r="S271" s="286" t="e">
        <f t="shared" si="147"/>
        <v>#REF!</v>
      </c>
      <c r="T271" s="140" t="e">
        <f t="shared" si="147"/>
        <v>#REF!</v>
      </c>
      <c r="U271" s="284" t="e">
        <f t="shared" si="147"/>
        <v>#REF!</v>
      </c>
    </row>
    <row r="272" spans="1:21" x14ac:dyDescent="0.25">
      <c r="R272" s="172"/>
    </row>
    <row r="273" spans="1:18" x14ac:dyDescent="0.25">
      <c r="A273" s="287" t="s">
        <v>504</v>
      </c>
    </row>
    <row r="274" spans="1:18" x14ac:dyDescent="0.25">
      <c r="R274" s="172"/>
    </row>
  </sheetData>
  <mergeCells count="13">
    <mergeCell ref="U3:U4"/>
    <mergeCell ref="L3:N3"/>
    <mergeCell ref="O3:Q3"/>
    <mergeCell ref="A3:A4"/>
    <mergeCell ref="B3:B4"/>
    <mergeCell ref="C3:C4"/>
    <mergeCell ref="D3:D4"/>
    <mergeCell ref="E3:E4"/>
    <mergeCell ref="F3:F4"/>
    <mergeCell ref="G3:G4"/>
    <mergeCell ref="H3:H4"/>
    <mergeCell ref="I3:K3"/>
    <mergeCell ref="R3:T3"/>
  </mergeCells>
  <pageMargins left="0.23622047244094491" right="0.23622047244094491" top="0.74803149606299213" bottom="0.74803149606299213" header="0.31496062992125984" footer="0.31496062992125984"/>
  <pageSetup paperSize="5" scale="50" fitToHeight="13" orientation="landscape" horizontalDpi="4294967295" verticalDpi="4294967295"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20"/>
  <sheetViews>
    <sheetView topLeftCell="A3" workbookViewId="0">
      <selection activeCell="E31" sqref="E31"/>
    </sheetView>
  </sheetViews>
  <sheetFormatPr defaultColWidth="11.42578125" defaultRowHeight="15" x14ac:dyDescent="0.25"/>
  <cols>
    <col min="1" max="1" width="24.85546875" customWidth="1"/>
    <col min="2" max="5" width="14.28515625" customWidth="1"/>
    <col min="7" max="7" width="12" bestFit="1" customWidth="1"/>
  </cols>
  <sheetData>
    <row r="2" spans="1:5" x14ac:dyDescent="0.25">
      <c r="A2" s="2" t="s">
        <v>142</v>
      </c>
      <c r="E2" t="s">
        <v>153</v>
      </c>
    </row>
    <row r="3" spans="1:5" x14ac:dyDescent="0.25">
      <c r="A3" s="336" t="s">
        <v>143</v>
      </c>
      <c r="B3" s="338" t="s">
        <v>144</v>
      </c>
      <c r="C3" s="339"/>
      <c r="D3" s="339"/>
      <c r="E3" s="339"/>
    </row>
    <row r="4" spans="1:5" x14ac:dyDescent="0.25">
      <c r="A4" s="337"/>
      <c r="B4" s="4" t="s">
        <v>145</v>
      </c>
      <c r="C4" s="1" t="s">
        <v>146</v>
      </c>
      <c r="D4" s="1" t="s">
        <v>147</v>
      </c>
      <c r="E4" s="5" t="s">
        <v>148</v>
      </c>
    </row>
    <row r="5" spans="1:5" x14ac:dyDescent="0.25">
      <c r="A5" s="6" t="s">
        <v>149</v>
      </c>
      <c r="B5" s="7">
        <v>26238</v>
      </c>
      <c r="C5" s="8">
        <v>27748</v>
      </c>
      <c r="D5" s="8"/>
      <c r="E5" s="9"/>
    </row>
    <row r="6" spans="1:5" x14ac:dyDescent="0.25">
      <c r="A6" s="6" t="s">
        <v>150</v>
      </c>
      <c r="B6" s="7">
        <v>18876</v>
      </c>
      <c r="C6" s="8">
        <v>20386</v>
      </c>
      <c r="D6" s="8">
        <v>21896</v>
      </c>
      <c r="E6" s="9">
        <v>23406</v>
      </c>
    </row>
    <row r="7" spans="1:5" x14ac:dyDescent="0.25">
      <c r="A7" s="6" t="s">
        <v>151</v>
      </c>
      <c r="B7" s="7">
        <v>13968</v>
      </c>
      <c r="C7" s="8">
        <v>15101</v>
      </c>
      <c r="D7" s="8">
        <v>16234</v>
      </c>
      <c r="E7" s="9">
        <v>17366</v>
      </c>
    </row>
    <row r="8" spans="1:5" x14ac:dyDescent="0.25">
      <c r="A8" s="6" t="s">
        <v>152</v>
      </c>
      <c r="B8" s="7">
        <v>10193</v>
      </c>
      <c r="C8" s="8">
        <v>11137</v>
      </c>
      <c r="D8" s="8">
        <v>12080</v>
      </c>
      <c r="E8" s="9">
        <v>13025</v>
      </c>
    </row>
    <row r="9" spans="1:5" x14ac:dyDescent="0.25">
      <c r="A9" s="10" t="s">
        <v>156</v>
      </c>
      <c r="B9" s="11">
        <v>5285</v>
      </c>
      <c r="C9" s="12">
        <v>6418</v>
      </c>
      <c r="D9" s="12">
        <v>7550</v>
      </c>
      <c r="E9" s="13"/>
    </row>
    <row r="11" spans="1:5" x14ac:dyDescent="0.25">
      <c r="E11" t="s">
        <v>130</v>
      </c>
    </row>
    <row r="12" spans="1:5" x14ac:dyDescent="0.25">
      <c r="A12" s="336" t="s">
        <v>143</v>
      </c>
      <c r="B12" s="338" t="s">
        <v>144</v>
      </c>
      <c r="C12" s="339"/>
      <c r="D12" s="339"/>
      <c r="E12" s="339"/>
    </row>
    <row r="13" spans="1:5" x14ac:dyDescent="0.25">
      <c r="A13" s="337"/>
      <c r="B13" s="4" t="s">
        <v>145</v>
      </c>
      <c r="C13" s="1" t="s">
        <v>146</v>
      </c>
      <c r="D13" s="1" t="s">
        <v>147</v>
      </c>
      <c r="E13" s="5" t="s">
        <v>148</v>
      </c>
    </row>
    <row r="14" spans="1:5" x14ac:dyDescent="0.25">
      <c r="A14" s="6" t="s">
        <v>149</v>
      </c>
      <c r="B14" s="7">
        <f>+B5/15</f>
        <v>1749.2</v>
      </c>
      <c r="C14" s="8">
        <f>+C5/15</f>
        <v>1849.8666666666666</v>
      </c>
      <c r="D14" s="8"/>
      <c r="E14" s="9"/>
    </row>
    <row r="15" spans="1:5" x14ac:dyDescent="0.25">
      <c r="A15" s="6" t="s">
        <v>150</v>
      </c>
      <c r="B15" s="7">
        <f t="shared" ref="B15:E18" si="0">+B6/15</f>
        <v>1258.4000000000001</v>
      </c>
      <c r="C15" s="8">
        <f t="shared" si="0"/>
        <v>1359.0666666666666</v>
      </c>
      <c r="D15" s="8">
        <f t="shared" si="0"/>
        <v>1459.7333333333333</v>
      </c>
      <c r="E15" s="9">
        <f t="shared" si="0"/>
        <v>1560.4</v>
      </c>
    </row>
    <row r="16" spans="1:5" x14ac:dyDescent="0.25">
      <c r="A16" s="6" t="s">
        <v>151</v>
      </c>
      <c r="B16" s="7">
        <f t="shared" si="0"/>
        <v>931.2</v>
      </c>
      <c r="C16" s="8">
        <f t="shared" ref="C16:E16" si="1">+C7/15</f>
        <v>1006.7333333333333</v>
      </c>
      <c r="D16" s="8">
        <f t="shared" si="1"/>
        <v>1082.2666666666667</v>
      </c>
      <c r="E16" s="9">
        <f t="shared" si="1"/>
        <v>1157.7333333333333</v>
      </c>
    </row>
    <row r="17" spans="1:5" x14ac:dyDescent="0.25">
      <c r="A17" s="6" t="s">
        <v>152</v>
      </c>
      <c r="B17" s="7">
        <f t="shared" si="0"/>
        <v>679.5333333333333</v>
      </c>
      <c r="C17" s="8">
        <f t="shared" ref="C17:E17" si="2">+C8/15</f>
        <v>742.4666666666667</v>
      </c>
      <c r="D17" s="8">
        <f t="shared" si="2"/>
        <v>805.33333333333337</v>
      </c>
      <c r="E17" s="9">
        <f t="shared" si="2"/>
        <v>868.33333333333337</v>
      </c>
    </row>
    <row r="18" spans="1:5" x14ac:dyDescent="0.25">
      <c r="A18" s="10" t="s">
        <v>156</v>
      </c>
      <c r="B18" s="11">
        <f t="shared" si="0"/>
        <v>352.33333333333331</v>
      </c>
      <c r="C18" s="12">
        <f t="shared" si="0"/>
        <v>427.86666666666667</v>
      </c>
      <c r="D18" s="12">
        <f t="shared" si="0"/>
        <v>503.33333333333331</v>
      </c>
      <c r="E18" s="13"/>
    </row>
    <row r="20" spans="1:5" x14ac:dyDescent="0.25">
      <c r="A20" t="s">
        <v>155</v>
      </c>
      <c r="B20" s="16"/>
    </row>
  </sheetData>
  <mergeCells count="4">
    <mergeCell ref="A3:A4"/>
    <mergeCell ref="B3:E3"/>
    <mergeCell ref="A12:A13"/>
    <mergeCell ref="B12: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207"/>
  <sheetViews>
    <sheetView topLeftCell="A25" zoomScale="90" zoomScaleNormal="90" workbookViewId="0">
      <selection activeCell="B223" sqref="B223"/>
    </sheetView>
  </sheetViews>
  <sheetFormatPr defaultColWidth="11.42578125" defaultRowHeight="15" x14ac:dyDescent="0.25"/>
  <cols>
    <col min="1" max="1" width="17.140625" style="29" customWidth="1"/>
    <col min="2" max="2" width="35.42578125" style="29" customWidth="1"/>
    <col min="3" max="3" width="68" style="142" customWidth="1"/>
    <col min="4" max="4" width="39.7109375" style="142" customWidth="1"/>
    <col min="5" max="5" width="28" style="142" customWidth="1"/>
    <col min="6" max="6" width="13.85546875" style="29" customWidth="1"/>
    <col min="7" max="7" width="13.42578125" style="29" bestFit="1" customWidth="1"/>
    <col min="8" max="9" width="13.42578125" style="29" customWidth="1"/>
    <col min="10" max="10" width="13.42578125" style="29" bestFit="1" customWidth="1"/>
    <col min="11" max="12" width="13.42578125" style="29" customWidth="1"/>
    <col min="13" max="13" width="13.42578125" style="29" bestFit="1" customWidth="1"/>
    <col min="14" max="14" width="13.42578125" style="29" customWidth="1"/>
    <col min="15" max="15" width="15.7109375" style="29" bestFit="1" customWidth="1"/>
    <col min="16" max="16" width="13.42578125" style="29" bestFit="1" customWidth="1"/>
    <col min="17" max="17" width="13.42578125" style="29" customWidth="1"/>
    <col min="18" max="18" width="13.85546875" style="14" customWidth="1"/>
    <col min="19" max="16384" width="11.42578125" style="29"/>
  </cols>
  <sheetData>
    <row r="1" spans="1:18" x14ac:dyDescent="0.25">
      <c r="A1" s="201" t="s">
        <v>355</v>
      </c>
      <c r="B1" s="202" t="s">
        <v>402</v>
      </c>
      <c r="C1" s="202" t="s">
        <v>353</v>
      </c>
      <c r="D1" s="202" t="s">
        <v>354</v>
      </c>
      <c r="E1" s="202" t="s">
        <v>356</v>
      </c>
      <c r="F1" s="30" t="s">
        <v>385</v>
      </c>
      <c r="G1" s="31" t="s">
        <v>386</v>
      </c>
      <c r="H1" s="32" t="s">
        <v>387</v>
      </c>
      <c r="I1" s="30" t="s">
        <v>388</v>
      </c>
      <c r="J1" s="31" t="s">
        <v>389</v>
      </c>
      <c r="K1" s="32" t="s">
        <v>390</v>
      </c>
      <c r="L1" s="30" t="s">
        <v>391</v>
      </c>
      <c r="M1" s="31" t="s">
        <v>392</v>
      </c>
      <c r="N1" s="32" t="s">
        <v>393</v>
      </c>
      <c r="O1" s="30" t="s">
        <v>394</v>
      </c>
      <c r="P1" s="31" t="s">
        <v>395</v>
      </c>
      <c r="Q1" s="32" t="s">
        <v>396</v>
      </c>
      <c r="R1" s="192" t="s">
        <v>154</v>
      </c>
    </row>
    <row r="2" spans="1:18" x14ac:dyDescent="0.25">
      <c r="A2" s="55" t="s">
        <v>131</v>
      </c>
      <c r="B2" s="203" t="s">
        <v>358</v>
      </c>
      <c r="C2" s="56" t="s">
        <v>16</v>
      </c>
      <c r="D2" s="56" t="s">
        <v>157</v>
      </c>
      <c r="E2" s="56" t="s">
        <v>132</v>
      </c>
      <c r="F2" s="66"/>
      <c r="G2" s="67" t="e">
        <f>+#REF!</f>
        <v>#REF!</v>
      </c>
      <c r="H2" s="68"/>
      <c r="I2" s="66"/>
      <c r="J2" s="67" t="e">
        <f>+#REF!</f>
        <v>#REF!</v>
      </c>
      <c r="K2" s="68"/>
      <c r="L2" s="66"/>
      <c r="M2" s="67" t="e">
        <f>+#REF!</f>
        <v>#REF!</v>
      </c>
      <c r="N2" s="68"/>
      <c r="O2" s="59">
        <f>+L2+I2+F2</f>
        <v>0</v>
      </c>
      <c r="P2" s="60" t="e">
        <f>+M2+J2+G2</f>
        <v>#REF!</v>
      </c>
      <c r="Q2" s="62">
        <f>+N2+K2+H2</f>
        <v>0</v>
      </c>
      <c r="R2" s="161" t="e">
        <f>+O2+P2+Q2</f>
        <v>#REF!</v>
      </c>
    </row>
    <row r="3" spans="1:18" x14ac:dyDescent="0.25">
      <c r="A3" s="55" t="s">
        <v>131</v>
      </c>
      <c r="B3" s="203" t="s">
        <v>358</v>
      </c>
      <c r="C3" s="56" t="s">
        <v>16</v>
      </c>
      <c r="D3" s="56" t="s">
        <v>158</v>
      </c>
      <c r="E3" s="56" t="s">
        <v>132</v>
      </c>
      <c r="F3" s="69"/>
      <c r="G3" s="70" t="e">
        <f>+#REF!</f>
        <v>#REF!</v>
      </c>
      <c r="H3" s="71"/>
      <c r="I3" s="69"/>
      <c r="J3" s="70" t="e">
        <f>+#REF!</f>
        <v>#REF!</v>
      </c>
      <c r="K3" s="71"/>
      <c r="L3" s="69"/>
      <c r="M3" s="70" t="e">
        <f>+#REF!</f>
        <v>#REF!</v>
      </c>
      <c r="N3" s="71"/>
      <c r="O3" s="59">
        <f t="shared" ref="O3:Q16" si="0">+L3+I3+F3</f>
        <v>0</v>
      </c>
      <c r="P3" s="60" t="e">
        <f t="shared" si="0"/>
        <v>#REF!</v>
      </c>
      <c r="Q3" s="62">
        <f t="shared" si="0"/>
        <v>0</v>
      </c>
      <c r="R3" s="161" t="e">
        <f t="shared" ref="R3:R56" si="1">+O3+P3+Q3</f>
        <v>#REF!</v>
      </c>
    </row>
    <row r="4" spans="1:18" ht="30" x14ac:dyDescent="0.25">
      <c r="A4" s="55" t="s">
        <v>131</v>
      </c>
      <c r="B4" s="203" t="s">
        <v>358</v>
      </c>
      <c r="C4" s="56" t="s">
        <v>16</v>
      </c>
      <c r="D4" s="56" t="s">
        <v>159</v>
      </c>
      <c r="E4" s="56" t="s">
        <v>132</v>
      </c>
      <c r="F4" s="72"/>
      <c r="G4" s="73" t="e">
        <f>+#REF!</f>
        <v>#REF!</v>
      </c>
      <c r="H4" s="74"/>
      <c r="I4" s="72"/>
      <c r="J4" s="73" t="e">
        <f>+#REF!</f>
        <v>#REF!</v>
      </c>
      <c r="K4" s="74"/>
      <c r="L4" s="72"/>
      <c r="M4" s="73" t="e">
        <f>+#REF!</f>
        <v>#REF!</v>
      </c>
      <c r="N4" s="74"/>
      <c r="O4" s="59">
        <f t="shared" si="0"/>
        <v>0</v>
      </c>
      <c r="P4" s="60" t="e">
        <f t="shared" si="0"/>
        <v>#REF!</v>
      </c>
      <c r="Q4" s="62">
        <f t="shared" si="0"/>
        <v>0</v>
      </c>
      <c r="R4" s="161" t="e">
        <f t="shared" si="1"/>
        <v>#REF!</v>
      </c>
    </row>
    <row r="5" spans="1:18" x14ac:dyDescent="0.25">
      <c r="A5" s="55" t="s">
        <v>131</v>
      </c>
      <c r="B5" s="203" t="s">
        <v>358</v>
      </c>
      <c r="C5" s="56" t="s">
        <v>160</v>
      </c>
      <c r="D5" s="56" t="s">
        <v>161</v>
      </c>
      <c r="E5" s="56" t="s">
        <v>132</v>
      </c>
      <c r="F5" s="66"/>
      <c r="G5" s="67" t="e">
        <f>+#REF!</f>
        <v>#REF!</v>
      </c>
      <c r="H5" s="68"/>
      <c r="I5" s="66"/>
      <c r="J5" s="67" t="e">
        <f>+#REF!</f>
        <v>#REF!</v>
      </c>
      <c r="K5" s="68"/>
      <c r="L5" s="66"/>
      <c r="M5" s="67" t="e">
        <f>+#REF!</f>
        <v>#REF!</v>
      </c>
      <c r="N5" s="68"/>
      <c r="O5" s="59">
        <f t="shared" si="0"/>
        <v>0</v>
      </c>
      <c r="P5" s="60" t="e">
        <f t="shared" si="0"/>
        <v>#REF!</v>
      </c>
      <c r="Q5" s="62">
        <f t="shared" si="0"/>
        <v>0</v>
      </c>
      <c r="R5" s="161" t="e">
        <f t="shared" si="1"/>
        <v>#REF!</v>
      </c>
    </row>
    <row r="6" spans="1:18" ht="30" x14ac:dyDescent="0.25">
      <c r="A6" s="55" t="s">
        <v>131</v>
      </c>
      <c r="B6" s="203" t="s">
        <v>358</v>
      </c>
      <c r="C6" s="56" t="s">
        <v>162</v>
      </c>
      <c r="D6" s="56" t="s">
        <v>163</v>
      </c>
      <c r="E6" s="56" t="s">
        <v>132</v>
      </c>
      <c r="F6" s="69"/>
      <c r="G6" s="70" t="e">
        <f>+#REF!</f>
        <v>#REF!</v>
      </c>
      <c r="H6" s="71"/>
      <c r="I6" s="69"/>
      <c r="J6" s="70" t="e">
        <f>+#REF!</f>
        <v>#REF!</v>
      </c>
      <c r="K6" s="71"/>
      <c r="L6" s="69"/>
      <c r="M6" s="70" t="e">
        <f>+#REF!</f>
        <v>#REF!</v>
      </c>
      <c r="N6" s="71"/>
      <c r="O6" s="59">
        <f t="shared" si="0"/>
        <v>0</v>
      </c>
      <c r="P6" s="60" t="e">
        <f t="shared" si="0"/>
        <v>#REF!</v>
      </c>
      <c r="Q6" s="62">
        <f t="shared" si="0"/>
        <v>0</v>
      </c>
      <c r="R6" s="161" t="e">
        <f t="shared" si="1"/>
        <v>#REF!</v>
      </c>
    </row>
    <row r="7" spans="1:18" ht="30" x14ac:dyDescent="0.25">
      <c r="A7" s="55" t="s">
        <v>131</v>
      </c>
      <c r="B7" s="203" t="s">
        <v>358</v>
      </c>
      <c r="C7" s="56" t="s">
        <v>164</v>
      </c>
      <c r="D7" s="56" t="s">
        <v>163</v>
      </c>
      <c r="E7" s="56" t="s">
        <v>132</v>
      </c>
      <c r="F7" s="72"/>
      <c r="G7" s="73" t="e">
        <f>+#REF!</f>
        <v>#REF!</v>
      </c>
      <c r="H7" s="74"/>
      <c r="I7" s="72"/>
      <c r="J7" s="73" t="e">
        <f>+#REF!</f>
        <v>#REF!</v>
      </c>
      <c r="K7" s="74"/>
      <c r="L7" s="72"/>
      <c r="M7" s="73" t="e">
        <f>+#REF!</f>
        <v>#REF!</v>
      </c>
      <c r="N7" s="74"/>
      <c r="O7" s="59">
        <f t="shared" si="0"/>
        <v>0</v>
      </c>
      <c r="P7" s="60" t="e">
        <f t="shared" si="0"/>
        <v>#REF!</v>
      </c>
      <c r="Q7" s="62">
        <f t="shared" si="0"/>
        <v>0</v>
      </c>
      <c r="R7" s="161" t="e">
        <f t="shared" si="1"/>
        <v>#REF!</v>
      </c>
    </row>
    <row r="8" spans="1:18" ht="30" x14ac:dyDescent="0.25">
      <c r="A8" s="55" t="s">
        <v>131</v>
      </c>
      <c r="B8" s="203" t="s">
        <v>358</v>
      </c>
      <c r="C8" s="56" t="s">
        <v>165</v>
      </c>
      <c r="D8" s="56" t="s">
        <v>163</v>
      </c>
      <c r="E8" s="56" t="s">
        <v>132</v>
      </c>
      <c r="F8" s="66"/>
      <c r="G8" s="67" t="e">
        <f>+#REF!</f>
        <v>#REF!</v>
      </c>
      <c r="H8" s="68"/>
      <c r="I8" s="66"/>
      <c r="J8" s="67" t="e">
        <f>+#REF!</f>
        <v>#REF!</v>
      </c>
      <c r="K8" s="68"/>
      <c r="L8" s="66"/>
      <c r="M8" s="67" t="e">
        <f>+#REF!</f>
        <v>#REF!</v>
      </c>
      <c r="N8" s="68"/>
      <c r="O8" s="59">
        <f t="shared" si="0"/>
        <v>0</v>
      </c>
      <c r="P8" s="60" t="e">
        <f t="shared" si="0"/>
        <v>#REF!</v>
      </c>
      <c r="Q8" s="62">
        <f t="shared" si="0"/>
        <v>0</v>
      </c>
      <c r="R8" s="161" t="e">
        <f t="shared" si="1"/>
        <v>#REF!</v>
      </c>
    </row>
    <row r="9" spans="1:18" x14ac:dyDescent="0.25">
      <c r="A9" s="55" t="s">
        <v>131</v>
      </c>
      <c r="B9" s="203" t="s">
        <v>358</v>
      </c>
      <c r="C9" s="56" t="s">
        <v>55</v>
      </c>
      <c r="D9" s="56" t="s">
        <v>166</v>
      </c>
      <c r="E9" s="56" t="s">
        <v>132</v>
      </c>
      <c r="F9" s="69"/>
      <c r="G9" s="70" t="e">
        <f>+#REF!</f>
        <v>#REF!</v>
      </c>
      <c r="H9" s="71"/>
      <c r="I9" s="69"/>
      <c r="J9" s="70" t="e">
        <f>+#REF!</f>
        <v>#REF!</v>
      </c>
      <c r="K9" s="71"/>
      <c r="L9" s="69"/>
      <c r="M9" s="70" t="e">
        <f>+#REF!</f>
        <v>#REF!</v>
      </c>
      <c r="N9" s="71"/>
      <c r="O9" s="59">
        <f t="shared" si="0"/>
        <v>0</v>
      </c>
      <c r="P9" s="60" t="e">
        <f t="shared" si="0"/>
        <v>#REF!</v>
      </c>
      <c r="Q9" s="62">
        <f t="shared" si="0"/>
        <v>0</v>
      </c>
      <c r="R9" s="161" t="e">
        <f t="shared" si="1"/>
        <v>#REF!</v>
      </c>
    </row>
    <row r="10" spans="1:18" x14ac:dyDescent="0.25">
      <c r="A10" s="55" t="s">
        <v>131</v>
      </c>
      <c r="B10" s="203" t="s">
        <v>358</v>
      </c>
      <c r="C10" s="56" t="s">
        <v>56</v>
      </c>
      <c r="D10" s="56" t="s">
        <v>167</v>
      </c>
      <c r="E10" s="56" t="s">
        <v>132</v>
      </c>
      <c r="F10" s="72"/>
      <c r="G10" s="73" t="e">
        <f>+#REF!</f>
        <v>#REF!</v>
      </c>
      <c r="H10" s="74"/>
      <c r="I10" s="72"/>
      <c r="J10" s="73" t="e">
        <f>+#REF!</f>
        <v>#REF!</v>
      </c>
      <c r="K10" s="74"/>
      <c r="L10" s="72"/>
      <c r="M10" s="73" t="e">
        <f>+#REF!</f>
        <v>#REF!</v>
      </c>
      <c r="N10" s="74"/>
      <c r="O10" s="59">
        <f t="shared" si="0"/>
        <v>0</v>
      </c>
      <c r="P10" s="60" t="e">
        <f t="shared" si="0"/>
        <v>#REF!</v>
      </c>
      <c r="Q10" s="62">
        <f t="shared" si="0"/>
        <v>0</v>
      </c>
      <c r="R10" s="161" t="e">
        <f t="shared" si="1"/>
        <v>#REF!</v>
      </c>
    </row>
    <row r="11" spans="1:18" x14ac:dyDescent="0.25">
      <c r="A11" s="55" t="s">
        <v>131</v>
      </c>
      <c r="B11" s="203" t="s">
        <v>358</v>
      </c>
      <c r="C11" s="56" t="s">
        <v>168</v>
      </c>
      <c r="D11" s="56" t="s">
        <v>166</v>
      </c>
      <c r="E11" s="56" t="s">
        <v>132</v>
      </c>
      <c r="F11" s="66"/>
      <c r="G11" s="67" t="e">
        <f>+#REF!</f>
        <v>#REF!</v>
      </c>
      <c r="H11" s="68"/>
      <c r="I11" s="66"/>
      <c r="J11" s="67" t="e">
        <f>+#REF!</f>
        <v>#REF!</v>
      </c>
      <c r="K11" s="68"/>
      <c r="L11" s="66"/>
      <c r="M11" s="67" t="e">
        <f>+#REF!</f>
        <v>#REF!</v>
      </c>
      <c r="N11" s="68"/>
      <c r="O11" s="59">
        <f t="shared" si="0"/>
        <v>0</v>
      </c>
      <c r="P11" s="60" t="e">
        <f t="shared" si="0"/>
        <v>#REF!</v>
      </c>
      <c r="Q11" s="62">
        <f t="shared" si="0"/>
        <v>0</v>
      </c>
      <c r="R11" s="161" t="e">
        <f t="shared" si="1"/>
        <v>#REF!</v>
      </c>
    </row>
    <row r="12" spans="1:18" ht="30" x14ac:dyDescent="0.25">
      <c r="A12" s="55" t="s">
        <v>131</v>
      </c>
      <c r="B12" s="203" t="s">
        <v>358</v>
      </c>
      <c r="C12" s="56" t="s">
        <v>169</v>
      </c>
      <c r="D12" s="56" t="s">
        <v>170</v>
      </c>
      <c r="E12" s="56" t="s">
        <v>132</v>
      </c>
      <c r="F12" s="69"/>
      <c r="G12" s="70" t="e">
        <f>+#REF!</f>
        <v>#REF!</v>
      </c>
      <c r="H12" s="71"/>
      <c r="I12" s="69"/>
      <c r="J12" s="70" t="e">
        <f>+#REF!</f>
        <v>#REF!</v>
      </c>
      <c r="K12" s="71"/>
      <c r="L12" s="69"/>
      <c r="M12" s="70" t="e">
        <f>+#REF!</f>
        <v>#REF!</v>
      </c>
      <c r="N12" s="71"/>
      <c r="O12" s="59">
        <f t="shared" si="0"/>
        <v>0</v>
      </c>
      <c r="P12" s="60" t="e">
        <f t="shared" si="0"/>
        <v>#REF!</v>
      </c>
      <c r="Q12" s="62">
        <f t="shared" si="0"/>
        <v>0</v>
      </c>
      <c r="R12" s="161" t="e">
        <f t="shared" si="1"/>
        <v>#REF!</v>
      </c>
    </row>
    <row r="13" spans="1:18" ht="30" x14ac:dyDescent="0.25">
      <c r="A13" s="55" t="s">
        <v>131</v>
      </c>
      <c r="B13" s="203" t="s">
        <v>358</v>
      </c>
      <c r="C13" s="56" t="s">
        <v>57</v>
      </c>
      <c r="D13" s="56" t="s">
        <v>171</v>
      </c>
      <c r="E13" s="56" t="s">
        <v>132</v>
      </c>
      <c r="F13" s="72"/>
      <c r="G13" s="73" t="e">
        <f>+#REF!</f>
        <v>#REF!</v>
      </c>
      <c r="H13" s="74"/>
      <c r="I13" s="72"/>
      <c r="J13" s="73" t="e">
        <f>+#REF!</f>
        <v>#REF!</v>
      </c>
      <c r="K13" s="74"/>
      <c r="L13" s="72"/>
      <c r="M13" s="73" t="e">
        <f>+#REF!</f>
        <v>#REF!</v>
      </c>
      <c r="N13" s="74"/>
      <c r="O13" s="59">
        <f t="shared" si="0"/>
        <v>0</v>
      </c>
      <c r="P13" s="60" t="e">
        <f t="shared" si="0"/>
        <v>#REF!</v>
      </c>
      <c r="Q13" s="62">
        <f t="shared" si="0"/>
        <v>0</v>
      </c>
      <c r="R13" s="161" t="e">
        <f t="shared" si="1"/>
        <v>#REF!</v>
      </c>
    </row>
    <row r="14" spans="1:18" ht="30" x14ac:dyDescent="0.25">
      <c r="A14" s="55" t="s">
        <v>131</v>
      </c>
      <c r="B14" s="203" t="s">
        <v>358</v>
      </c>
      <c r="C14" s="56" t="s">
        <v>172</v>
      </c>
      <c r="D14" s="56" t="s">
        <v>173</v>
      </c>
      <c r="E14" s="56" t="s">
        <v>132</v>
      </c>
      <c r="F14" s="66"/>
      <c r="G14" s="67" t="e">
        <f>+#REF!</f>
        <v>#REF!</v>
      </c>
      <c r="H14" s="68"/>
      <c r="I14" s="66"/>
      <c r="J14" s="67" t="e">
        <f>+#REF!</f>
        <v>#REF!</v>
      </c>
      <c r="K14" s="68"/>
      <c r="L14" s="66"/>
      <c r="M14" s="67" t="e">
        <f>+#REF!</f>
        <v>#REF!</v>
      </c>
      <c r="N14" s="68"/>
      <c r="O14" s="59">
        <f t="shared" si="0"/>
        <v>0</v>
      </c>
      <c r="P14" s="60" t="e">
        <f t="shared" si="0"/>
        <v>#REF!</v>
      </c>
      <c r="Q14" s="62">
        <f t="shared" si="0"/>
        <v>0</v>
      </c>
      <c r="R14" s="161" t="e">
        <f t="shared" si="1"/>
        <v>#REF!</v>
      </c>
    </row>
    <row r="15" spans="1:18" x14ac:dyDescent="0.25">
      <c r="A15" s="55" t="s">
        <v>131</v>
      </c>
      <c r="B15" s="203" t="s">
        <v>358</v>
      </c>
      <c r="C15" s="56" t="s">
        <v>59</v>
      </c>
      <c r="D15" s="56" t="s">
        <v>174</v>
      </c>
      <c r="E15" s="56" t="s">
        <v>132</v>
      </c>
      <c r="F15" s="69"/>
      <c r="G15" s="70" t="e">
        <f>+#REF!</f>
        <v>#REF!</v>
      </c>
      <c r="H15" s="71"/>
      <c r="I15" s="69"/>
      <c r="J15" s="70" t="e">
        <f>+#REF!</f>
        <v>#REF!</v>
      </c>
      <c r="K15" s="71"/>
      <c r="L15" s="69"/>
      <c r="M15" s="70" t="e">
        <f>+#REF!</f>
        <v>#REF!</v>
      </c>
      <c r="N15" s="71"/>
      <c r="O15" s="59">
        <f t="shared" si="0"/>
        <v>0</v>
      </c>
      <c r="P15" s="60" t="e">
        <f t="shared" si="0"/>
        <v>#REF!</v>
      </c>
      <c r="Q15" s="62">
        <f t="shared" si="0"/>
        <v>0</v>
      </c>
      <c r="R15" s="161" t="e">
        <f t="shared" si="1"/>
        <v>#REF!</v>
      </c>
    </row>
    <row r="16" spans="1:18" ht="30" x14ac:dyDescent="0.25">
      <c r="A16" s="55" t="s">
        <v>131</v>
      </c>
      <c r="B16" s="203" t="s">
        <v>358</v>
      </c>
      <c r="C16" s="56" t="s">
        <v>36</v>
      </c>
      <c r="D16" s="56" t="s">
        <v>92</v>
      </c>
      <c r="E16" s="56" t="s">
        <v>215</v>
      </c>
      <c r="F16" s="72"/>
      <c r="G16" s="73">
        <f>+(2800*12*30)/15</f>
        <v>67200</v>
      </c>
      <c r="H16" s="74"/>
      <c r="I16" s="72"/>
      <c r="J16" s="73">
        <f>+(3100*12*30)/15</f>
        <v>74400</v>
      </c>
      <c r="K16" s="74"/>
      <c r="L16" s="72"/>
      <c r="M16" s="73">
        <f>+(3260*12*30)/15</f>
        <v>78240</v>
      </c>
      <c r="N16" s="74"/>
      <c r="O16" s="59">
        <f t="shared" si="0"/>
        <v>0</v>
      </c>
      <c r="P16" s="60">
        <f t="shared" si="0"/>
        <v>219840</v>
      </c>
      <c r="Q16" s="62">
        <f t="shared" si="0"/>
        <v>0</v>
      </c>
      <c r="R16" s="161">
        <f t="shared" si="1"/>
        <v>219840</v>
      </c>
    </row>
    <row r="17" spans="1:18" x14ac:dyDescent="0.25">
      <c r="A17" s="55" t="s">
        <v>131</v>
      </c>
      <c r="B17" s="203" t="s">
        <v>358</v>
      </c>
      <c r="C17" s="56" t="s">
        <v>17</v>
      </c>
      <c r="D17" s="56" t="s">
        <v>51</v>
      </c>
      <c r="E17" s="56" t="s">
        <v>133</v>
      </c>
      <c r="F17" s="66">
        <v>37532</v>
      </c>
      <c r="G17" s="67"/>
      <c r="H17" s="68"/>
      <c r="I17" s="66">
        <v>37532</v>
      </c>
      <c r="J17" s="67"/>
      <c r="K17" s="68"/>
      <c r="L17" s="66">
        <v>20816</v>
      </c>
      <c r="M17" s="67"/>
      <c r="N17" s="68"/>
      <c r="O17" s="59">
        <f t="shared" ref="O17:Q19" si="2">+L17+I17+F17</f>
        <v>95880</v>
      </c>
      <c r="P17" s="60">
        <f t="shared" si="2"/>
        <v>0</v>
      </c>
      <c r="Q17" s="62">
        <f t="shared" si="2"/>
        <v>0</v>
      </c>
      <c r="R17" s="161">
        <f t="shared" si="1"/>
        <v>95880</v>
      </c>
    </row>
    <row r="18" spans="1:18" x14ac:dyDescent="0.25">
      <c r="A18" s="55" t="s">
        <v>131</v>
      </c>
      <c r="B18" s="203" t="s">
        <v>358</v>
      </c>
      <c r="C18" s="56" t="s">
        <v>18</v>
      </c>
      <c r="D18" s="56" t="s">
        <v>52</v>
      </c>
      <c r="E18" s="56" t="s">
        <v>134</v>
      </c>
      <c r="F18" s="69">
        <v>35000</v>
      </c>
      <c r="G18" s="70"/>
      <c r="H18" s="71"/>
      <c r="I18" s="69">
        <v>0</v>
      </c>
      <c r="J18" s="70"/>
      <c r="K18" s="71"/>
      <c r="L18" s="69">
        <v>0</v>
      </c>
      <c r="M18" s="70"/>
      <c r="N18" s="71"/>
      <c r="O18" s="59">
        <f t="shared" si="2"/>
        <v>35000</v>
      </c>
      <c r="P18" s="60">
        <f t="shared" si="2"/>
        <v>0</v>
      </c>
      <c r="Q18" s="62">
        <f t="shared" si="2"/>
        <v>0</v>
      </c>
      <c r="R18" s="161">
        <f t="shared" si="1"/>
        <v>35000</v>
      </c>
    </row>
    <row r="19" spans="1:18" ht="30" x14ac:dyDescent="0.25">
      <c r="A19" s="55" t="s">
        <v>131</v>
      </c>
      <c r="B19" s="203" t="s">
        <v>358</v>
      </c>
      <c r="C19" s="56" t="s">
        <v>19</v>
      </c>
      <c r="D19" s="56" t="s">
        <v>38</v>
      </c>
      <c r="E19" s="56" t="s">
        <v>135</v>
      </c>
      <c r="F19" s="72">
        <v>20000</v>
      </c>
      <c r="G19" s="73"/>
      <c r="H19" s="74"/>
      <c r="I19" s="72">
        <v>22000</v>
      </c>
      <c r="J19" s="73"/>
      <c r="K19" s="74"/>
      <c r="L19" s="72">
        <v>25000</v>
      </c>
      <c r="M19" s="73"/>
      <c r="N19" s="74"/>
      <c r="O19" s="59">
        <f t="shared" si="2"/>
        <v>67000</v>
      </c>
      <c r="P19" s="60">
        <f t="shared" si="2"/>
        <v>0</v>
      </c>
      <c r="Q19" s="62">
        <f t="shared" si="2"/>
        <v>0</v>
      </c>
      <c r="R19" s="161">
        <f t="shared" si="1"/>
        <v>67000</v>
      </c>
    </row>
    <row r="20" spans="1:18" ht="30" x14ac:dyDescent="0.25">
      <c r="A20" s="65" t="s">
        <v>131</v>
      </c>
      <c r="B20" s="203" t="s">
        <v>358</v>
      </c>
      <c r="C20" s="75" t="s">
        <v>34</v>
      </c>
      <c r="D20" s="75" t="s">
        <v>41</v>
      </c>
      <c r="E20" s="56" t="s">
        <v>136</v>
      </c>
      <c r="F20" s="72">
        <v>34300</v>
      </c>
      <c r="G20" s="73"/>
      <c r="H20" s="74"/>
      <c r="I20" s="72">
        <v>46305</v>
      </c>
      <c r="J20" s="73"/>
      <c r="K20" s="74"/>
      <c r="L20" s="72">
        <v>64826.999999999993</v>
      </c>
      <c r="M20" s="73"/>
      <c r="N20" s="74"/>
      <c r="O20" s="59">
        <f t="shared" ref="O20:Q24" si="3">+L20+I20+F20</f>
        <v>145432</v>
      </c>
      <c r="P20" s="60">
        <f t="shared" si="3"/>
        <v>0</v>
      </c>
      <c r="Q20" s="62">
        <f t="shared" si="3"/>
        <v>0</v>
      </c>
      <c r="R20" s="161">
        <f t="shared" si="1"/>
        <v>145432</v>
      </c>
    </row>
    <row r="21" spans="1:18" ht="30" x14ac:dyDescent="0.25">
      <c r="A21" s="65" t="s">
        <v>131</v>
      </c>
      <c r="B21" s="203" t="s">
        <v>358</v>
      </c>
      <c r="C21" s="75" t="s">
        <v>8</v>
      </c>
      <c r="D21" s="75" t="s">
        <v>41</v>
      </c>
      <c r="E21" s="56" t="s">
        <v>136</v>
      </c>
      <c r="F21" s="72">
        <v>16000</v>
      </c>
      <c r="G21" s="73"/>
      <c r="H21" s="74"/>
      <c r="I21" s="72">
        <v>16000</v>
      </c>
      <c r="J21" s="73"/>
      <c r="K21" s="74"/>
      <c r="L21" s="72">
        <v>16000</v>
      </c>
      <c r="M21" s="73"/>
      <c r="N21" s="74"/>
      <c r="O21" s="59">
        <f t="shared" si="3"/>
        <v>48000</v>
      </c>
      <c r="P21" s="60">
        <f t="shared" si="3"/>
        <v>0</v>
      </c>
      <c r="Q21" s="62">
        <f t="shared" si="3"/>
        <v>0</v>
      </c>
      <c r="R21" s="161">
        <f t="shared" si="1"/>
        <v>48000</v>
      </c>
    </row>
    <row r="22" spans="1:18" ht="45" x14ac:dyDescent="0.25">
      <c r="A22" s="65" t="s">
        <v>131</v>
      </c>
      <c r="B22" s="203" t="s">
        <v>358</v>
      </c>
      <c r="C22" s="75" t="s">
        <v>9</v>
      </c>
      <c r="D22" s="75" t="s">
        <v>110</v>
      </c>
      <c r="E22" s="56" t="s">
        <v>136</v>
      </c>
      <c r="F22" s="72">
        <v>2600</v>
      </c>
      <c r="G22" s="73"/>
      <c r="H22" s="74"/>
      <c r="I22" s="72">
        <v>4550</v>
      </c>
      <c r="J22" s="73"/>
      <c r="K22" s="74"/>
      <c r="L22" s="72">
        <v>4550</v>
      </c>
      <c r="M22" s="73"/>
      <c r="N22" s="74"/>
      <c r="O22" s="59">
        <f t="shared" si="3"/>
        <v>11700</v>
      </c>
      <c r="P22" s="60">
        <f t="shared" si="3"/>
        <v>0</v>
      </c>
      <c r="Q22" s="62">
        <f t="shared" si="3"/>
        <v>0</v>
      </c>
      <c r="R22" s="161">
        <f t="shared" si="1"/>
        <v>11700</v>
      </c>
    </row>
    <row r="23" spans="1:18" x14ac:dyDescent="0.25">
      <c r="A23" s="55" t="s">
        <v>131</v>
      </c>
      <c r="B23" s="203" t="s">
        <v>358</v>
      </c>
      <c r="C23" s="56" t="s">
        <v>20</v>
      </c>
      <c r="D23" s="56" t="s">
        <v>39</v>
      </c>
      <c r="E23" s="56" t="s">
        <v>135</v>
      </c>
      <c r="F23" s="72">
        <v>40000</v>
      </c>
      <c r="G23" s="73"/>
      <c r="H23" s="74"/>
      <c r="I23" s="72">
        <v>50000</v>
      </c>
      <c r="J23" s="73"/>
      <c r="K23" s="74"/>
      <c r="L23" s="72">
        <v>50000</v>
      </c>
      <c r="M23" s="73"/>
      <c r="N23" s="74"/>
      <c r="O23" s="59">
        <f t="shared" si="3"/>
        <v>140000</v>
      </c>
      <c r="P23" s="60">
        <f t="shared" si="3"/>
        <v>0</v>
      </c>
      <c r="Q23" s="62">
        <f t="shared" si="3"/>
        <v>0</v>
      </c>
      <c r="R23" s="161">
        <f t="shared" si="1"/>
        <v>140000</v>
      </c>
    </row>
    <row r="24" spans="1:18" ht="30" x14ac:dyDescent="0.25">
      <c r="A24" s="55" t="s">
        <v>131</v>
      </c>
      <c r="B24" s="203" t="s">
        <v>358</v>
      </c>
      <c r="C24" s="56" t="s">
        <v>175</v>
      </c>
      <c r="D24" s="75" t="s">
        <v>41</v>
      </c>
      <c r="E24" s="56" t="s">
        <v>136</v>
      </c>
      <c r="F24" s="72">
        <v>3000</v>
      </c>
      <c r="G24" s="73"/>
      <c r="H24" s="74"/>
      <c r="I24" s="72">
        <v>3900</v>
      </c>
      <c r="J24" s="73"/>
      <c r="K24" s="74"/>
      <c r="L24" s="72">
        <v>5070</v>
      </c>
      <c r="M24" s="73"/>
      <c r="N24" s="74"/>
      <c r="O24" s="59">
        <f t="shared" si="3"/>
        <v>11970</v>
      </c>
      <c r="P24" s="60">
        <f t="shared" si="3"/>
        <v>0</v>
      </c>
      <c r="Q24" s="62">
        <f t="shared" si="3"/>
        <v>0</v>
      </c>
      <c r="R24" s="161">
        <f t="shared" si="1"/>
        <v>11970</v>
      </c>
    </row>
    <row r="25" spans="1:18" x14ac:dyDescent="0.25">
      <c r="A25" s="55" t="s">
        <v>131</v>
      </c>
      <c r="B25" s="26" t="s">
        <v>397</v>
      </c>
      <c r="C25" s="56" t="s">
        <v>160</v>
      </c>
      <c r="D25" s="56" t="s">
        <v>176</v>
      </c>
      <c r="E25" s="56" t="s">
        <v>132</v>
      </c>
      <c r="F25" s="72"/>
      <c r="G25" s="73" t="e">
        <f>+#REF!</f>
        <v>#REF!</v>
      </c>
      <c r="H25" s="74"/>
      <c r="I25" s="72"/>
      <c r="J25" s="73" t="e">
        <f>+#REF!</f>
        <v>#REF!</v>
      </c>
      <c r="K25" s="74"/>
      <c r="L25" s="72"/>
      <c r="M25" s="73" t="e">
        <f>+#REF!</f>
        <v>#REF!</v>
      </c>
      <c r="N25" s="74"/>
      <c r="O25" s="59">
        <f t="shared" ref="O25:Q26" si="4">+L25+I25+F25</f>
        <v>0</v>
      </c>
      <c r="P25" s="60" t="e">
        <f t="shared" si="4"/>
        <v>#REF!</v>
      </c>
      <c r="Q25" s="62">
        <f t="shared" si="4"/>
        <v>0</v>
      </c>
      <c r="R25" s="161" t="e">
        <f t="shared" si="1"/>
        <v>#REF!</v>
      </c>
    </row>
    <row r="26" spans="1:18" ht="30" x14ac:dyDescent="0.25">
      <c r="A26" s="55" t="s">
        <v>131</v>
      </c>
      <c r="B26" s="26" t="s">
        <v>397</v>
      </c>
      <c r="C26" s="56" t="s">
        <v>36</v>
      </c>
      <c r="D26" s="75" t="s">
        <v>92</v>
      </c>
      <c r="E26" s="56" t="s">
        <v>6</v>
      </c>
      <c r="F26" s="72"/>
      <c r="G26" s="73">
        <f>+(2800*12*5)/15</f>
        <v>11200</v>
      </c>
      <c r="H26" s="74"/>
      <c r="I26" s="72"/>
      <c r="J26" s="73">
        <f>+(3100*12*5)/15</f>
        <v>12400</v>
      </c>
      <c r="K26" s="74"/>
      <c r="L26" s="72"/>
      <c r="M26" s="73">
        <f>+(3260*12*5)/15</f>
        <v>13040</v>
      </c>
      <c r="N26" s="74"/>
      <c r="O26" s="59">
        <f t="shared" si="4"/>
        <v>0</v>
      </c>
      <c r="P26" s="60">
        <f t="shared" si="4"/>
        <v>36640</v>
      </c>
      <c r="Q26" s="62">
        <f t="shared" si="4"/>
        <v>0</v>
      </c>
      <c r="R26" s="161">
        <f t="shared" si="1"/>
        <v>36640</v>
      </c>
    </row>
    <row r="27" spans="1:18" ht="30" x14ac:dyDescent="0.25">
      <c r="A27" s="55" t="s">
        <v>131</v>
      </c>
      <c r="B27" s="26" t="s">
        <v>397</v>
      </c>
      <c r="C27" s="56" t="s">
        <v>28</v>
      </c>
      <c r="D27" s="75" t="s">
        <v>119</v>
      </c>
      <c r="E27" s="56" t="s">
        <v>132</v>
      </c>
      <c r="F27" s="72"/>
      <c r="G27" s="73" t="e">
        <f>+#REF!</f>
        <v>#REF!</v>
      </c>
      <c r="H27" s="74"/>
      <c r="I27" s="72"/>
      <c r="J27" s="73" t="e">
        <f>+#REF!</f>
        <v>#REF!</v>
      </c>
      <c r="K27" s="74"/>
      <c r="L27" s="72"/>
      <c r="M27" s="73" t="e">
        <f>+#REF!</f>
        <v>#REF!</v>
      </c>
      <c r="N27" s="74"/>
      <c r="O27" s="59">
        <f t="shared" ref="O27:Q27" si="5">+L27+I27+F27</f>
        <v>0</v>
      </c>
      <c r="P27" s="60" t="e">
        <f t="shared" si="5"/>
        <v>#REF!</v>
      </c>
      <c r="Q27" s="62">
        <f t="shared" si="5"/>
        <v>0</v>
      </c>
      <c r="R27" s="161" t="e">
        <f t="shared" si="1"/>
        <v>#REF!</v>
      </c>
    </row>
    <row r="28" spans="1:18" x14ac:dyDescent="0.25">
      <c r="A28" s="65" t="s">
        <v>131</v>
      </c>
      <c r="B28" s="26" t="s">
        <v>397</v>
      </c>
      <c r="C28" s="75" t="s">
        <v>11</v>
      </c>
      <c r="D28" s="75" t="s">
        <v>86</v>
      </c>
      <c r="E28" s="56" t="s">
        <v>136</v>
      </c>
      <c r="F28" s="59">
        <v>14700</v>
      </c>
      <c r="G28" s="60"/>
      <c r="H28" s="61"/>
      <c r="I28" s="59">
        <f>+F28*1.35</f>
        <v>19845</v>
      </c>
      <c r="J28" s="60"/>
      <c r="K28" s="61"/>
      <c r="L28" s="59">
        <f>+I28*1.45</f>
        <v>28775.25</v>
      </c>
      <c r="M28" s="60"/>
      <c r="N28" s="61"/>
      <c r="O28" s="59">
        <f t="shared" ref="O28:Q29" si="6">+L28+I28+F28</f>
        <v>63320.25</v>
      </c>
      <c r="P28" s="60">
        <f t="shared" si="6"/>
        <v>0</v>
      </c>
      <c r="Q28" s="62">
        <f t="shared" si="6"/>
        <v>0</v>
      </c>
      <c r="R28" s="161">
        <f t="shared" si="1"/>
        <v>63320.25</v>
      </c>
    </row>
    <row r="29" spans="1:18" ht="30" x14ac:dyDescent="0.25">
      <c r="A29" s="3" t="s">
        <v>131</v>
      </c>
      <c r="B29" s="26" t="s">
        <v>397</v>
      </c>
      <c r="C29" s="86" t="s">
        <v>9</v>
      </c>
      <c r="D29" s="75" t="s">
        <v>111</v>
      </c>
      <c r="E29" s="56" t="s">
        <v>136</v>
      </c>
      <c r="F29" s="59">
        <v>3900</v>
      </c>
      <c r="G29" s="60"/>
      <c r="H29" s="61"/>
      <c r="I29" s="59">
        <f>+F29*1.35</f>
        <v>5265</v>
      </c>
      <c r="J29" s="60"/>
      <c r="K29" s="61"/>
      <c r="L29" s="59">
        <f>+I29*1.45</f>
        <v>7634.25</v>
      </c>
      <c r="M29" s="60"/>
      <c r="N29" s="61"/>
      <c r="O29" s="59">
        <f t="shared" si="6"/>
        <v>16799.25</v>
      </c>
      <c r="P29" s="60">
        <f t="shared" si="6"/>
        <v>0</v>
      </c>
      <c r="Q29" s="62">
        <f t="shared" si="6"/>
        <v>0</v>
      </c>
      <c r="R29" s="161">
        <f t="shared" si="1"/>
        <v>16799.25</v>
      </c>
    </row>
    <row r="30" spans="1:18" x14ac:dyDescent="0.25">
      <c r="A30" s="65" t="s">
        <v>131</v>
      </c>
      <c r="B30" s="26" t="s">
        <v>398</v>
      </c>
      <c r="C30" s="75" t="s">
        <v>84</v>
      </c>
      <c r="D30" s="75" t="s">
        <v>177</v>
      </c>
      <c r="E30" s="56" t="s">
        <v>132</v>
      </c>
      <c r="F30" s="59"/>
      <c r="G30" s="60" t="e">
        <f>+#REF!</f>
        <v>#REF!</v>
      </c>
      <c r="H30" s="61"/>
      <c r="I30" s="59"/>
      <c r="J30" s="60" t="e">
        <f>+#REF!</f>
        <v>#REF!</v>
      </c>
      <c r="K30" s="61"/>
      <c r="L30" s="59"/>
      <c r="M30" s="60" t="e">
        <f>+#REF!</f>
        <v>#REF!</v>
      </c>
      <c r="N30" s="61"/>
      <c r="O30" s="59">
        <f t="shared" ref="O30:Q55" si="7">+L30+I30+F30</f>
        <v>0</v>
      </c>
      <c r="P30" s="60" t="e">
        <f t="shared" si="7"/>
        <v>#REF!</v>
      </c>
      <c r="Q30" s="62">
        <f t="shared" si="7"/>
        <v>0</v>
      </c>
      <c r="R30" s="161" t="e">
        <f t="shared" si="1"/>
        <v>#REF!</v>
      </c>
    </row>
    <row r="31" spans="1:18" ht="30" x14ac:dyDescent="0.25">
      <c r="A31" s="65" t="s">
        <v>131</v>
      </c>
      <c r="B31" s="26" t="s">
        <v>398</v>
      </c>
      <c r="C31" s="75" t="s">
        <v>84</v>
      </c>
      <c r="D31" s="75" t="s">
        <v>178</v>
      </c>
      <c r="E31" s="56" t="s">
        <v>132</v>
      </c>
      <c r="F31" s="59"/>
      <c r="G31" s="60" t="e">
        <f>+#REF!</f>
        <v>#REF!</v>
      </c>
      <c r="H31" s="61"/>
      <c r="I31" s="59"/>
      <c r="J31" s="60" t="e">
        <f>+#REF!</f>
        <v>#REF!</v>
      </c>
      <c r="K31" s="61"/>
      <c r="L31" s="59"/>
      <c r="M31" s="60" t="e">
        <f>+#REF!</f>
        <v>#REF!</v>
      </c>
      <c r="N31" s="61"/>
      <c r="O31" s="59">
        <f t="shared" si="7"/>
        <v>0</v>
      </c>
      <c r="P31" s="60" t="e">
        <f t="shared" si="7"/>
        <v>#REF!</v>
      </c>
      <c r="Q31" s="62">
        <f t="shared" si="7"/>
        <v>0</v>
      </c>
      <c r="R31" s="161" t="e">
        <f t="shared" si="1"/>
        <v>#REF!</v>
      </c>
    </row>
    <row r="32" spans="1:18" x14ac:dyDescent="0.25">
      <c r="A32" s="65" t="s">
        <v>131</v>
      </c>
      <c r="B32" s="26" t="s">
        <v>398</v>
      </c>
      <c r="C32" s="75" t="s">
        <v>160</v>
      </c>
      <c r="D32" s="75" t="s">
        <v>179</v>
      </c>
      <c r="E32" s="56" t="s">
        <v>132</v>
      </c>
      <c r="F32" s="59"/>
      <c r="G32" s="60" t="e">
        <f>+#REF!</f>
        <v>#REF!</v>
      </c>
      <c r="H32" s="61"/>
      <c r="I32" s="59"/>
      <c r="J32" s="60" t="e">
        <f>+#REF!</f>
        <v>#REF!</v>
      </c>
      <c r="K32" s="61"/>
      <c r="L32" s="59"/>
      <c r="M32" s="60" t="e">
        <f>+#REF!</f>
        <v>#REF!</v>
      </c>
      <c r="N32" s="61"/>
      <c r="O32" s="59">
        <f t="shared" si="7"/>
        <v>0</v>
      </c>
      <c r="P32" s="60" t="e">
        <f t="shared" si="7"/>
        <v>#REF!</v>
      </c>
      <c r="Q32" s="62">
        <f t="shared" si="7"/>
        <v>0</v>
      </c>
      <c r="R32" s="161" t="e">
        <f t="shared" si="1"/>
        <v>#REF!</v>
      </c>
    </row>
    <row r="33" spans="1:18" x14ac:dyDescent="0.25">
      <c r="A33" s="65" t="s">
        <v>131</v>
      </c>
      <c r="B33" s="26" t="s">
        <v>398</v>
      </c>
      <c r="C33" s="75" t="s">
        <v>62</v>
      </c>
      <c r="D33" s="75" t="s">
        <v>180</v>
      </c>
      <c r="E33" s="56" t="s">
        <v>132</v>
      </c>
      <c r="F33" s="59"/>
      <c r="G33" s="60" t="e">
        <f>+#REF!</f>
        <v>#REF!</v>
      </c>
      <c r="H33" s="61"/>
      <c r="I33" s="59"/>
      <c r="J33" s="60" t="e">
        <f>+#REF!</f>
        <v>#REF!</v>
      </c>
      <c r="K33" s="61"/>
      <c r="L33" s="59"/>
      <c r="M33" s="60" t="e">
        <f>+#REF!</f>
        <v>#REF!</v>
      </c>
      <c r="N33" s="61"/>
      <c r="O33" s="59">
        <f t="shared" si="7"/>
        <v>0</v>
      </c>
      <c r="P33" s="60" t="e">
        <f t="shared" si="7"/>
        <v>#REF!</v>
      </c>
      <c r="Q33" s="62">
        <f t="shared" si="7"/>
        <v>0</v>
      </c>
      <c r="R33" s="161" t="e">
        <f t="shared" si="1"/>
        <v>#REF!</v>
      </c>
    </row>
    <row r="34" spans="1:18" ht="30" x14ac:dyDescent="0.25">
      <c r="A34" s="65" t="s">
        <v>131</v>
      </c>
      <c r="B34" s="26" t="s">
        <v>398</v>
      </c>
      <c r="C34" s="75" t="s">
        <v>56</v>
      </c>
      <c r="D34" s="75" t="s">
        <v>181</v>
      </c>
      <c r="E34" s="56" t="s">
        <v>132</v>
      </c>
      <c r="F34" s="59"/>
      <c r="G34" s="60" t="e">
        <f>+#REF!</f>
        <v>#REF!</v>
      </c>
      <c r="H34" s="61"/>
      <c r="I34" s="59"/>
      <c r="J34" s="60" t="e">
        <f>+#REF!</f>
        <v>#REF!</v>
      </c>
      <c r="K34" s="61"/>
      <c r="L34" s="59"/>
      <c r="M34" s="60" t="e">
        <f>+#REF!</f>
        <v>#REF!</v>
      </c>
      <c r="N34" s="61"/>
      <c r="O34" s="59">
        <f t="shared" si="7"/>
        <v>0</v>
      </c>
      <c r="P34" s="60" t="e">
        <f t="shared" si="7"/>
        <v>#REF!</v>
      </c>
      <c r="Q34" s="62">
        <f t="shared" si="7"/>
        <v>0</v>
      </c>
      <c r="R34" s="161" t="e">
        <f t="shared" si="1"/>
        <v>#REF!</v>
      </c>
    </row>
    <row r="35" spans="1:18" ht="30" x14ac:dyDescent="0.25">
      <c r="A35" s="65" t="s">
        <v>131</v>
      </c>
      <c r="B35" s="26" t="s">
        <v>398</v>
      </c>
      <c r="C35" s="75" t="s">
        <v>56</v>
      </c>
      <c r="D35" s="75" t="s">
        <v>182</v>
      </c>
      <c r="E35" s="56" t="s">
        <v>132</v>
      </c>
      <c r="F35" s="59"/>
      <c r="G35" s="60" t="e">
        <f>+#REF!</f>
        <v>#REF!</v>
      </c>
      <c r="H35" s="61"/>
      <c r="I35" s="59"/>
      <c r="J35" s="60" t="e">
        <f>+#REF!</f>
        <v>#REF!</v>
      </c>
      <c r="K35" s="61"/>
      <c r="L35" s="59"/>
      <c r="M35" s="60" t="e">
        <f>+#REF!</f>
        <v>#REF!</v>
      </c>
      <c r="N35" s="61"/>
      <c r="O35" s="59">
        <f t="shared" si="7"/>
        <v>0</v>
      </c>
      <c r="P35" s="60" t="e">
        <f t="shared" si="7"/>
        <v>#REF!</v>
      </c>
      <c r="Q35" s="62">
        <f t="shared" si="7"/>
        <v>0</v>
      </c>
      <c r="R35" s="161" t="e">
        <f t="shared" si="1"/>
        <v>#REF!</v>
      </c>
    </row>
    <row r="36" spans="1:18" ht="30" x14ac:dyDescent="0.25">
      <c r="A36" s="65" t="s">
        <v>131</v>
      </c>
      <c r="B36" s="26" t="s">
        <v>398</v>
      </c>
      <c r="C36" s="75" t="s">
        <v>56</v>
      </c>
      <c r="D36" s="75" t="s">
        <v>183</v>
      </c>
      <c r="E36" s="56" t="s">
        <v>132</v>
      </c>
      <c r="F36" s="59"/>
      <c r="G36" s="60" t="e">
        <f>+#REF!</f>
        <v>#REF!</v>
      </c>
      <c r="H36" s="61"/>
      <c r="I36" s="59"/>
      <c r="J36" s="60" t="e">
        <f>+#REF!</f>
        <v>#REF!</v>
      </c>
      <c r="K36" s="61"/>
      <c r="L36" s="59"/>
      <c r="M36" s="60" t="e">
        <f>+#REF!</f>
        <v>#REF!</v>
      </c>
      <c r="N36" s="61"/>
      <c r="O36" s="59">
        <f t="shared" si="7"/>
        <v>0</v>
      </c>
      <c r="P36" s="60" t="e">
        <f t="shared" si="7"/>
        <v>#REF!</v>
      </c>
      <c r="Q36" s="62">
        <f t="shared" si="7"/>
        <v>0</v>
      </c>
      <c r="R36" s="161" t="e">
        <f t="shared" si="1"/>
        <v>#REF!</v>
      </c>
    </row>
    <row r="37" spans="1:18" ht="30" x14ac:dyDescent="0.25">
      <c r="A37" s="65" t="s">
        <v>131</v>
      </c>
      <c r="B37" s="26" t="s">
        <v>398</v>
      </c>
      <c r="C37" s="75" t="s">
        <v>58</v>
      </c>
      <c r="D37" s="75" t="s">
        <v>184</v>
      </c>
      <c r="E37" s="56" t="s">
        <v>132</v>
      </c>
      <c r="F37" s="59"/>
      <c r="G37" s="60" t="e">
        <f>+#REF!</f>
        <v>#REF!</v>
      </c>
      <c r="H37" s="61"/>
      <c r="I37" s="59"/>
      <c r="J37" s="60" t="e">
        <f>+#REF!</f>
        <v>#REF!</v>
      </c>
      <c r="K37" s="61"/>
      <c r="L37" s="59"/>
      <c r="M37" s="60" t="e">
        <f>+#REF!</f>
        <v>#REF!</v>
      </c>
      <c r="N37" s="61"/>
      <c r="O37" s="59">
        <f t="shared" si="7"/>
        <v>0</v>
      </c>
      <c r="P37" s="60" t="e">
        <f t="shared" si="7"/>
        <v>#REF!</v>
      </c>
      <c r="Q37" s="62">
        <f t="shared" si="7"/>
        <v>0</v>
      </c>
      <c r="R37" s="161" t="e">
        <f t="shared" si="1"/>
        <v>#REF!</v>
      </c>
    </row>
    <row r="38" spans="1:18" ht="30" x14ac:dyDescent="0.25">
      <c r="A38" s="65" t="s">
        <v>131</v>
      </c>
      <c r="B38" s="26" t="s">
        <v>398</v>
      </c>
      <c r="C38" s="75" t="s">
        <v>57</v>
      </c>
      <c r="D38" s="75" t="s">
        <v>185</v>
      </c>
      <c r="E38" s="56" t="s">
        <v>132</v>
      </c>
      <c r="F38" s="59"/>
      <c r="G38" s="60" t="e">
        <f>+#REF!</f>
        <v>#REF!</v>
      </c>
      <c r="H38" s="61"/>
      <c r="I38" s="59"/>
      <c r="J38" s="60" t="e">
        <f>+#REF!</f>
        <v>#REF!</v>
      </c>
      <c r="K38" s="61"/>
      <c r="L38" s="59"/>
      <c r="M38" s="60" t="e">
        <f>+#REF!</f>
        <v>#REF!</v>
      </c>
      <c r="N38" s="61"/>
      <c r="O38" s="59">
        <f t="shared" si="7"/>
        <v>0</v>
      </c>
      <c r="P38" s="60" t="e">
        <f t="shared" si="7"/>
        <v>#REF!</v>
      </c>
      <c r="Q38" s="62">
        <f t="shared" si="7"/>
        <v>0</v>
      </c>
      <c r="R38" s="161" t="e">
        <f t="shared" si="1"/>
        <v>#REF!</v>
      </c>
    </row>
    <row r="39" spans="1:18" ht="30" x14ac:dyDescent="0.25">
      <c r="A39" s="65" t="s">
        <v>131</v>
      </c>
      <c r="B39" s="26" t="s">
        <v>398</v>
      </c>
      <c r="C39" s="75" t="s">
        <v>186</v>
      </c>
      <c r="D39" s="75" t="s">
        <v>101</v>
      </c>
      <c r="E39" s="56" t="s">
        <v>132</v>
      </c>
      <c r="F39" s="59"/>
      <c r="G39" s="60" t="e">
        <f>+#REF!</f>
        <v>#REF!</v>
      </c>
      <c r="H39" s="61"/>
      <c r="I39" s="59"/>
      <c r="J39" s="60" t="e">
        <f>+#REF!</f>
        <v>#REF!</v>
      </c>
      <c r="K39" s="61"/>
      <c r="L39" s="59"/>
      <c r="M39" s="60" t="e">
        <f>+#REF!</f>
        <v>#REF!</v>
      </c>
      <c r="N39" s="61"/>
      <c r="O39" s="59">
        <f t="shared" si="7"/>
        <v>0</v>
      </c>
      <c r="P39" s="60" t="e">
        <f t="shared" si="7"/>
        <v>#REF!</v>
      </c>
      <c r="Q39" s="62">
        <f t="shared" si="7"/>
        <v>0</v>
      </c>
      <c r="R39" s="161" t="e">
        <f t="shared" si="1"/>
        <v>#REF!</v>
      </c>
    </row>
    <row r="40" spans="1:18" x14ac:dyDescent="0.25">
      <c r="A40" s="65" t="s">
        <v>131</v>
      </c>
      <c r="B40" s="26" t="s">
        <v>398</v>
      </c>
      <c r="C40" s="75" t="s">
        <v>187</v>
      </c>
      <c r="D40" s="75" t="s">
        <v>102</v>
      </c>
      <c r="E40" s="56" t="s">
        <v>132</v>
      </c>
      <c r="F40" s="59"/>
      <c r="G40" s="60" t="e">
        <f>+#REF!</f>
        <v>#REF!</v>
      </c>
      <c r="H40" s="61"/>
      <c r="I40" s="59"/>
      <c r="J40" s="60" t="e">
        <f>+#REF!</f>
        <v>#REF!</v>
      </c>
      <c r="K40" s="61"/>
      <c r="L40" s="59"/>
      <c r="M40" s="60" t="e">
        <f>+#REF!</f>
        <v>#REF!</v>
      </c>
      <c r="N40" s="61"/>
      <c r="O40" s="59">
        <f t="shared" si="7"/>
        <v>0</v>
      </c>
      <c r="P40" s="60" t="e">
        <f t="shared" si="7"/>
        <v>#REF!</v>
      </c>
      <c r="Q40" s="62">
        <f t="shared" si="7"/>
        <v>0</v>
      </c>
      <c r="R40" s="161" t="e">
        <f t="shared" si="1"/>
        <v>#REF!</v>
      </c>
    </row>
    <row r="41" spans="1:18" ht="30" x14ac:dyDescent="0.25">
      <c r="A41" s="65" t="s">
        <v>131</v>
      </c>
      <c r="B41" s="26" t="s">
        <v>398</v>
      </c>
      <c r="C41" s="75" t="s">
        <v>63</v>
      </c>
      <c r="D41" s="75" t="s">
        <v>184</v>
      </c>
      <c r="E41" s="56" t="s">
        <v>132</v>
      </c>
      <c r="F41" s="59"/>
      <c r="G41" s="60" t="e">
        <f>+#REF!</f>
        <v>#REF!</v>
      </c>
      <c r="H41" s="61"/>
      <c r="I41" s="59"/>
      <c r="J41" s="60" t="e">
        <f>+#REF!</f>
        <v>#REF!</v>
      </c>
      <c r="K41" s="61"/>
      <c r="L41" s="59"/>
      <c r="M41" s="60" t="e">
        <f>+#REF!</f>
        <v>#REF!</v>
      </c>
      <c r="N41" s="61"/>
      <c r="O41" s="59">
        <f t="shared" si="7"/>
        <v>0</v>
      </c>
      <c r="P41" s="60" t="e">
        <f t="shared" si="7"/>
        <v>#REF!</v>
      </c>
      <c r="Q41" s="62">
        <f t="shared" si="7"/>
        <v>0</v>
      </c>
      <c r="R41" s="161" t="e">
        <f t="shared" si="1"/>
        <v>#REF!</v>
      </c>
    </row>
    <row r="42" spans="1:18" ht="30" x14ac:dyDescent="0.25">
      <c r="A42" s="65" t="s">
        <v>131</v>
      </c>
      <c r="B42" s="26" t="s">
        <v>398</v>
      </c>
      <c r="C42" s="75" t="s">
        <v>64</v>
      </c>
      <c r="D42" s="75" t="s">
        <v>188</v>
      </c>
      <c r="E42" s="56" t="s">
        <v>132</v>
      </c>
      <c r="F42" s="59"/>
      <c r="G42" s="60" t="e">
        <f>+#REF!</f>
        <v>#REF!</v>
      </c>
      <c r="H42" s="61"/>
      <c r="I42" s="59"/>
      <c r="J42" s="60" t="e">
        <f>+#REF!</f>
        <v>#REF!</v>
      </c>
      <c r="K42" s="61"/>
      <c r="L42" s="59"/>
      <c r="M42" s="60" t="e">
        <f>+#REF!</f>
        <v>#REF!</v>
      </c>
      <c r="N42" s="61"/>
      <c r="O42" s="59">
        <f t="shared" si="7"/>
        <v>0</v>
      </c>
      <c r="P42" s="60" t="e">
        <f t="shared" si="7"/>
        <v>#REF!</v>
      </c>
      <c r="Q42" s="62">
        <f t="shared" si="7"/>
        <v>0</v>
      </c>
      <c r="R42" s="161" t="e">
        <f t="shared" si="1"/>
        <v>#REF!</v>
      </c>
    </row>
    <row r="43" spans="1:18" x14ac:dyDescent="0.25">
      <c r="A43" s="65" t="s">
        <v>131</v>
      </c>
      <c r="B43" s="26" t="s">
        <v>398</v>
      </c>
      <c r="C43" s="75" t="s">
        <v>189</v>
      </c>
      <c r="D43" s="75" t="s">
        <v>190</v>
      </c>
      <c r="E43" s="56" t="s">
        <v>132</v>
      </c>
      <c r="F43" s="59"/>
      <c r="G43" s="60" t="e">
        <f>+#REF!</f>
        <v>#REF!</v>
      </c>
      <c r="H43" s="61"/>
      <c r="I43" s="59"/>
      <c r="J43" s="60" t="e">
        <f>+#REF!</f>
        <v>#REF!</v>
      </c>
      <c r="K43" s="61"/>
      <c r="L43" s="59"/>
      <c r="M43" s="60" t="e">
        <f>+#REF!</f>
        <v>#REF!</v>
      </c>
      <c r="N43" s="61"/>
      <c r="O43" s="59">
        <f t="shared" si="7"/>
        <v>0</v>
      </c>
      <c r="P43" s="60" t="e">
        <f t="shared" si="7"/>
        <v>#REF!</v>
      </c>
      <c r="Q43" s="62">
        <f t="shared" si="7"/>
        <v>0</v>
      </c>
      <c r="R43" s="161" t="e">
        <f t="shared" si="1"/>
        <v>#REF!</v>
      </c>
    </row>
    <row r="44" spans="1:18" x14ac:dyDescent="0.25">
      <c r="A44" s="65" t="s">
        <v>131</v>
      </c>
      <c r="B44" s="26" t="s">
        <v>398</v>
      </c>
      <c r="C44" s="75" t="s">
        <v>65</v>
      </c>
      <c r="D44" s="75" t="s">
        <v>190</v>
      </c>
      <c r="E44" s="56" t="s">
        <v>132</v>
      </c>
      <c r="F44" s="59"/>
      <c r="G44" s="60" t="e">
        <f>+#REF!</f>
        <v>#REF!</v>
      </c>
      <c r="H44" s="61"/>
      <c r="I44" s="59"/>
      <c r="J44" s="60" t="e">
        <f>+#REF!</f>
        <v>#REF!</v>
      </c>
      <c r="K44" s="61"/>
      <c r="L44" s="59"/>
      <c r="M44" s="60" t="e">
        <f>+#REF!</f>
        <v>#REF!</v>
      </c>
      <c r="N44" s="61"/>
      <c r="O44" s="59">
        <f t="shared" si="7"/>
        <v>0</v>
      </c>
      <c r="P44" s="60" t="e">
        <f t="shared" si="7"/>
        <v>#REF!</v>
      </c>
      <c r="Q44" s="62">
        <f t="shared" si="7"/>
        <v>0</v>
      </c>
      <c r="R44" s="161" t="e">
        <f t="shared" si="1"/>
        <v>#REF!</v>
      </c>
    </row>
    <row r="45" spans="1:18" x14ac:dyDescent="0.25">
      <c r="A45" s="65" t="s">
        <v>131</v>
      </c>
      <c r="B45" s="26" t="s">
        <v>398</v>
      </c>
      <c r="C45" s="75" t="s">
        <v>55</v>
      </c>
      <c r="D45" s="75" t="s">
        <v>191</v>
      </c>
      <c r="E45" s="56" t="s">
        <v>132</v>
      </c>
      <c r="F45" s="59"/>
      <c r="G45" s="60" t="e">
        <f>+#REF!</f>
        <v>#REF!</v>
      </c>
      <c r="H45" s="61"/>
      <c r="I45" s="59"/>
      <c r="J45" s="60" t="e">
        <f>+#REF!</f>
        <v>#REF!</v>
      </c>
      <c r="K45" s="61"/>
      <c r="L45" s="59"/>
      <c r="M45" s="60" t="e">
        <f>+#REF!</f>
        <v>#REF!</v>
      </c>
      <c r="N45" s="61"/>
      <c r="O45" s="59">
        <f t="shared" si="7"/>
        <v>0</v>
      </c>
      <c r="P45" s="60" t="e">
        <f t="shared" si="7"/>
        <v>#REF!</v>
      </c>
      <c r="Q45" s="62">
        <f t="shared" si="7"/>
        <v>0</v>
      </c>
      <c r="R45" s="161" t="e">
        <f t="shared" si="1"/>
        <v>#REF!</v>
      </c>
    </row>
    <row r="46" spans="1:18" x14ac:dyDescent="0.25">
      <c r="A46" s="65" t="s">
        <v>131</v>
      </c>
      <c r="B46" s="26" t="s">
        <v>398</v>
      </c>
      <c r="C46" s="75" t="s">
        <v>55</v>
      </c>
      <c r="D46" s="75" t="s">
        <v>192</v>
      </c>
      <c r="E46" s="56" t="s">
        <v>132</v>
      </c>
      <c r="F46" s="59"/>
      <c r="G46" s="60" t="e">
        <f>+#REF!</f>
        <v>#REF!</v>
      </c>
      <c r="H46" s="61"/>
      <c r="I46" s="59"/>
      <c r="J46" s="60" t="e">
        <f>+#REF!</f>
        <v>#REF!</v>
      </c>
      <c r="K46" s="61"/>
      <c r="L46" s="59"/>
      <c r="M46" s="60" t="e">
        <f>+#REF!</f>
        <v>#REF!</v>
      </c>
      <c r="N46" s="61"/>
      <c r="O46" s="59">
        <f t="shared" si="7"/>
        <v>0</v>
      </c>
      <c r="P46" s="60" t="e">
        <f t="shared" si="7"/>
        <v>#REF!</v>
      </c>
      <c r="Q46" s="62">
        <f t="shared" si="7"/>
        <v>0</v>
      </c>
      <c r="R46" s="161" t="e">
        <f t="shared" si="1"/>
        <v>#REF!</v>
      </c>
    </row>
    <row r="47" spans="1:18" x14ac:dyDescent="0.25">
      <c r="A47" s="65" t="s">
        <v>131</v>
      </c>
      <c r="B47" s="26" t="s">
        <v>398</v>
      </c>
      <c r="C47" s="75" t="s">
        <v>66</v>
      </c>
      <c r="D47" s="75" t="s">
        <v>193</v>
      </c>
      <c r="E47" s="56" t="s">
        <v>132</v>
      </c>
      <c r="F47" s="59"/>
      <c r="G47" s="60" t="e">
        <f>+#REF!</f>
        <v>#REF!</v>
      </c>
      <c r="H47" s="61"/>
      <c r="I47" s="59"/>
      <c r="J47" s="60" t="e">
        <f>+#REF!</f>
        <v>#REF!</v>
      </c>
      <c r="K47" s="61"/>
      <c r="L47" s="59"/>
      <c r="M47" s="60" t="e">
        <f>+#REF!</f>
        <v>#REF!</v>
      </c>
      <c r="N47" s="61"/>
      <c r="O47" s="59">
        <f t="shared" si="7"/>
        <v>0</v>
      </c>
      <c r="P47" s="60" t="e">
        <f t="shared" si="7"/>
        <v>#REF!</v>
      </c>
      <c r="Q47" s="62">
        <f t="shared" si="7"/>
        <v>0</v>
      </c>
      <c r="R47" s="161" t="e">
        <f t="shared" si="1"/>
        <v>#REF!</v>
      </c>
    </row>
    <row r="48" spans="1:18" x14ac:dyDescent="0.25">
      <c r="A48" s="65" t="s">
        <v>131</v>
      </c>
      <c r="B48" s="26" t="s">
        <v>398</v>
      </c>
      <c r="C48" s="75" t="s">
        <v>66</v>
      </c>
      <c r="D48" s="75" t="s">
        <v>194</v>
      </c>
      <c r="E48" s="56" t="s">
        <v>132</v>
      </c>
      <c r="F48" s="59"/>
      <c r="G48" s="60" t="e">
        <f>+#REF!</f>
        <v>#REF!</v>
      </c>
      <c r="H48" s="61"/>
      <c r="I48" s="59"/>
      <c r="J48" s="60" t="e">
        <f>+#REF!</f>
        <v>#REF!</v>
      </c>
      <c r="K48" s="61"/>
      <c r="L48" s="59"/>
      <c r="M48" s="60" t="e">
        <f>+#REF!</f>
        <v>#REF!</v>
      </c>
      <c r="N48" s="61"/>
      <c r="O48" s="59">
        <f t="shared" si="7"/>
        <v>0</v>
      </c>
      <c r="P48" s="60" t="e">
        <f t="shared" si="7"/>
        <v>#REF!</v>
      </c>
      <c r="Q48" s="62">
        <f t="shared" si="7"/>
        <v>0</v>
      </c>
      <c r="R48" s="161" t="e">
        <f t="shared" si="1"/>
        <v>#REF!</v>
      </c>
    </row>
    <row r="49" spans="1:91" x14ac:dyDescent="0.25">
      <c r="A49" s="65" t="s">
        <v>131</v>
      </c>
      <c r="B49" s="26" t="s">
        <v>398</v>
      </c>
      <c r="C49" s="75" t="s">
        <v>66</v>
      </c>
      <c r="D49" s="75" t="s">
        <v>195</v>
      </c>
      <c r="E49" s="56" t="s">
        <v>132</v>
      </c>
      <c r="F49" s="59"/>
      <c r="G49" s="60" t="e">
        <f>+#REF!</f>
        <v>#REF!</v>
      </c>
      <c r="H49" s="61"/>
      <c r="I49" s="59"/>
      <c r="J49" s="60" t="e">
        <f>+#REF!</f>
        <v>#REF!</v>
      </c>
      <c r="K49" s="61"/>
      <c r="L49" s="59"/>
      <c r="M49" s="60" t="e">
        <f>+#REF!</f>
        <v>#REF!</v>
      </c>
      <c r="N49" s="61"/>
      <c r="O49" s="59">
        <f t="shared" si="7"/>
        <v>0</v>
      </c>
      <c r="P49" s="60" t="e">
        <f t="shared" si="7"/>
        <v>#REF!</v>
      </c>
      <c r="Q49" s="62">
        <f t="shared" si="7"/>
        <v>0</v>
      </c>
      <c r="R49" s="161" t="e">
        <f t="shared" si="1"/>
        <v>#REF!</v>
      </c>
    </row>
    <row r="50" spans="1:91" x14ac:dyDescent="0.25">
      <c r="A50" s="65" t="s">
        <v>131</v>
      </c>
      <c r="B50" s="26" t="s">
        <v>398</v>
      </c>
      <c r="C50" s="75" t="s">
        <v>67</v>
      </c>
      <c r="D50" s="75" t="s">
        <v>190</v>
      </c>
      <c r="E50" s="56" t="s">
        <v>132</v>
      </c>
      <c r="F50" s="59"/>
      <c r="G50" s="60" t="e">
        <f>+#REF!</f>
        <v>#REF!</v>
      </c>
      <c r="H50" s="61"/>
      <c r="I50" s="59"/>
      <c r="J50" s="60" t="e">
        <f>+#REF!</f>
        <v>#REF!</v>
      </c>
      <c r="K50" s="61"/>
      <c r="L50" s="59"/>
      <c r="M50" s="60" t="e">
        <f>+#REF!</f>
        <v>#REF!</v>
      </c>
      <c r="N50" s="61"/>
      <c r="O50" s="59">
        <f t="shared" si="7"/>
        <v>0</v>
      </c>
      <c r="P50" s="60" t="e">
        <f t="shared" si="7"/>
        <v>#REF!</v>
      </c>
      <c r="Q50" s="62">
        <f t="shared" si="7"/>
        <v>0</v>
      </c>
      <c r="R50" s="161" t="e">
        <f t="shared" si="1"/>
        <v>#REF!</v>
      </c>
    </row>
    <row r="51" spans="1:91" x14ac:dyDescent="0.25">
      <c r="A51" s="65" t="s">
        <v>131</v>
      </c>
      <c r="B51" s="26" t="s">
        <v>398</v>
      </c>
      <c r="C51" s="75" t="s">
        <v>68</v>
      </c>
      <c r="D51" s="75" t="s">
        <v>196</v>
      </c>
      <c r="E51" s="56" t="s">
        <v>132</v>
      </c>
      <c r="F51" s="59"/>
      <c r="G51" s="60" t="e">
        <f>+#REF!</f>
        <v>#REF!</v>
      </c>
      <c r="H51" s="61"/>
      <c r="I51" s="59"/>
      <c r="J51" s="60" t="e">
        <f>+#REF!</f>
        <v>#REF!</v>
      </c>
      <c r="K51" s="61"/>
      <c r="L51" s="59"/>
      <c r="M51" s="60" t="e">
        <f>+#REF!</f>
        <v>#REF!</v>
      </c>
      <c r="N51" s="61"/>
      <c r="O51" s="59">
        <f t="shared" si="7"/>
        <v>0</v>
      </c>
      <c r="P51" s="60" t="e">
        <f t="shared" si="7"/>
        <v>#REF!</v>
      </c>
      <c r="Q51" s="62">
        <f t="shared" si="7"/>
        <v>0</v>
      </c>
      <c r="R51" s="161" t="e">
        <f t="shared" si="1"/>
        <v>#REF!</v>
      </c>
    </row>
    <row r="52" spans="1:91" x14ac:dyDescent="0.25">
      <c r="A52" s="65" t="s">
        <v>131</v>
      </c>
      <c r="B52" s="26" t="s">
        <v>398</v>
      </c>
      <c r="C52" s="75" t="s">
        <v>69</v>
      </c>
      <c r="D52" s="75" t="s">
        <v>100</v>
      </c>
      <c r="E52" s="56" t="s">
        <v>132</v>
      </c>
      <c r="F52" s="59"/>
      <c r="G52" s="60" t="e">
        <f>+#REF!</f>
        <v>#REF!</v>
      </c>
      <c r="H52" s="61"/>
      <c r="I52" s="59"/>
      <c r="J52" s="60" t="e">
        <f>+#REF!</f>
        <v>#REF!</v>
      </c>
      <c r="K52" s="61"/>
      <c r="L52" s="59"/>
      <c r="M52" s="60" t="e">
        <f>+#REF!</f>
        <v>#REF!</v>
      </c>
      <c r="N52" s="61"/>
      <c r="O52" s="59">
        <f t="shared" si="7"/>
        <v>0</v>
      </c>
      <c r="P52" s="60" t="e">
        <f t="shared" si="7"/>
        <v>#REF!</v>
      </c>
      <c r="Q52" s="62">
        <f t="shared" si="7"/>
        <v>0</v>
      </c>
      <c r="R52" s="161" t="e">
        <f t="shared" si="1"/>
        <v>#REF!</v>
      </c>
    </row>
    <row r="53" spans="1:91" ht="30" x14ac:dyDescent="0.25">
      <c r="A53" s="65" t="s">
        <v>131</v>
      </c>
      <c r="B53" s="26" t="s">
        <v>398</v>
      </c>
      <c r="C53" s="75" t="s">
        <v>70</v>
      </c>
      <c r="D53" s="75" t="s">
        <v>100</v>
      </c>
      <c r="E53" s="56" t="s">
        <v>132</v>
      </c>
      <c r="F53" s="59"/>
      <c r="G53" s="60" t="e">
        <f>+#REF!</f>
        <v>#REF!</v>
      </c>
      <c r="H53" s="61"/>
      <c r="I53" s="59"/>
      <c r="J53" s="60" t="e">
        <f>+#REF!</f>
        <v>#REF!</v>
      </c>
      <c r="K53" s="61"/>
      <c r="L53" s="59"/>
      <c r="M53" s="60" t="e">
        <f>+#REF!</f>
        <v>#REF!</v>
      </c>
      <c r="N53" s="61"/>
      <c r="O53" s="59">
        <f t="shared" si="7"/>
        <v>0</v>
      </c>
      <c r="P53" s="60" t="e">
        <f t="shared" si="7"/>
        <v>#REF!</v>
      </c>
      <c r="Q53" s="62">
        <f t="shared" si="7"/>
        <v>0</v>
      </c>
      <c r="R53" s="161" t="e">
        <f t="shared" si="1"/>
        <v>#REF!</v>
      </c>
    </row>
    <row r="54" spans="1:91" ht="30" x14ac:dyDescent="0.25">
      <c r="A54" s="65" t="s">
        <v>131</v>
      </c>
      <c r="B54" s="26" t="s">
        <v>398</v>
      </c>
      <c r="C54" s="75" t="s">
        <v>197</v>
      </c>
      <c r="D54" s="75" t="s">
        <v>103</v>
      </c>
      <c r="E54" s="56" t="s">
        <v>132</v>
      </c>
      <c r="F54" s="59"/>
      <c r="G54" s="60" t="e">
        <f>+#REF!</f>
        <v>#REF!</v>
      </c>
      <c r="H54" s="61"/>
      <c r="I54" s="59"/>
      <c r="J54" s="60" t="e">
        <f>+#REF!</f>
        <v>#REF!</v>
      </c>
      <c r="K54" s="61"/>
      <c r="L54" s="59"/>
      <c r="M54" s="60" t="e">
        <f>+#REF!</f>
        <v>#REF!</v>
      </c>
      <c r="N54" s="61"/>
      <c r="O54" s="59">
        <f t="shared" si="7"/>
        <v>0</v>
      </c>
      <c r="P54" s="60" t="e">
        <f t="shared" si="7"/>
        <v>#REF!</v>
      </c>
      <c r="Q54" s="62">
        <f t="shared" si="7"/>
        <v>0</v>
      </c>
      <c r="R54" s="161" t="e">
        <f t="shared" si="1"/>
        <v>#REF!</v>
      </c>
    </row>
    <row r="55" spans="1:91" ht="30" x14ac:dyDescent="0.25">
      <c r="A55" s="65" t="s">
        <v>131</v>
      </c>
      <c r="B55" s="26" t="s">
        <v>398</v>
      </c>
      <c r="C55" s="75" t="s">
        <v>36</v>
      </c>
      <c r="D55" s="75" t="s">
        <v>92</v>
      </c>
      <c r="E55" s="56" t="s">
        <v>6</v>
      </c>
      <c r="F55" s="59"/>
      <c r="G55" s="60">
        <f>+(2800*12*70)/15</f>
        <v>156800</v>
      </c>
      <c r="H55" s="61"/>
      <c r="I55" s="59"/>
      <c r="J55" s="60">
        <f>+(3100*12*70)/15</f>
        <v>173600</v>
      </c>
      <c r="K55" s="61"/>
      <c r="L55" s="59"/>
      <c r="M55" s="60">
        <f>+(3260*12*70)/15</f>
        <v>182560</v>
      </c>
      <c r="N55" s="61"/>
      <c r="O55" s="59">
        <f t="shared" si="7"/>
        <v>0</v>
      </c>
      <c r="P55" s="60">
        <f t="shared" si="7"/>
        <v>512960</v>
      </c>
      <c r="Q55" s="62">
        <f t="shared" si="7"/>
        <v>0</v>
      </c>
      <c r="R55" s="161">
        <f t="shared" si="1"/>
        <v>512960</v>
      </c>
    </row>
    <row r="56" spans="1:91" s="85" customFormat="1" x14ac:dyDescent="0.25">
      <c r="A56" s="55" t="s">
        <v>131</v>
      </c>
      <c r="B56" s="26" t="s">
        <v>398</v>
      </c>
      <c r="C56" s="56" t="s">
        <v>17</v>
      </c>
      <c r="D56" s="86" t="s">
        <v>53</v>
      </c>
      <c r="E56" s="56" t="s">
        <v>133</v>
      </c>
      <c r="F56" s="72">
        <v>24000</v>
      </c>
      <c r="G56" s="73"/>
      <c r="H56" s="74"/>
      <c r="I56" s="72">
        <v>48000</v>
      </c>
      <c r="J56" s="73"/>
      <c r="K56" s="74"/>
      <c r="L56" s="72"/>
      <c r="M56" s="73"/>
      <c r="N56" s="74"/>
      <c r="O56" s="59">
        <f t="shared" ref="O56:Q57" si="8">+L56+I56+F56</f>
        <v>72000</v>
      </c>
      <c r="P56" s="60">
        <f t="shared" si="8"/>
        <v>0</v>
      </c>
      <c r="Q56" s="62">
        <f t="shared" si="8"/>
        <v>0</v>
      </c>
      <c r="R56" s="161">
        <f t="shared" si="1"/>
        <v>72000</v>
      </c>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15"/>
    </row>
    <row r="57" spans="1:91" x14ac:dyDescent="0.25">
      <c r="A57" s="55" t="s">
        <v>131</v>
      </c>
      <c r="B57" s="26" t="s">
        <v>398</v>
      </c>
      <c r="C57" s="56" t="s">
        <v>45</v>
      </c>
      <c r="D57" s="56" t="s">
        <v>90</v>
      </c>
      <c r="E57" s="56" t="s">
        <v>135</v>
      </c>
      <c r="F57" s="72">
        <v>30000</v>
      </c>
      <c r="G57" s="73"/>
      <c r="H57" s="74"/>
      <c r="I57" s="72">
        <v>45000</v>
      </c>
      <c r="J57" s="73"/>
      <c r="K57" s="74"/>
      <c r="L57" s="72">
        <v>50000</v>
      </c>
      <c r="M57" s="73"/>
      <c r="N57" s="74"/>
      <c r="O57" s="59">
        <f t="shared" si="8"/>
        <v>125000</v>
      </c>
      <c r="P57" s="60">
        <f t="shared" si="8"/>
        <v>0</v>
      </c>
      <c r="Q57" s="62">
        <f t="shared" si="8"/>
        <v>0</v>
      </c>
      <c r="R57" s="161">
        <f t="shared" ref="R57:R98" si="9">+O57+P57+Q57</f>
        <v>125000</v>
      </c>
    </row>
    <row r="58" spans="1:91" ht="45" x14ac:dyDescent="0.25">
      <c r="A58" s="55" t="s">
        <v>131</v>
      </c>
      <c r="B58" s="26" t="s">
        <v>398</v>
      </c>
      <c r="C58" s="56" t="s">
        <v>11</v>
      </c>
      <c r="D58" s="75" t="s">
        <v>11</v>
      </c>
      <c r="E58" s="56" t="s">
        <v>46</v>
      </c>
      <c r="F58" s="59">
        <v>34300</v>
      </c>
      <c r="G58" s="60"/>
      <c r="H58" s="61"/>
      <c r="I58" s="59">
        <f>+F58*1.35</f>
        <v>46305</v>
      </c>
      <c r="J58" s="60"/>
      <c r="K58" s="61"/>
      <c r="L58" s="59">
        <f>+I58*1.45</f>
        <v>67142.25</v>
      </c>
      <c r="M58" s="60"/>
      <c r="N58" s="61"/>
      <c r="O58" s="59">
        <f t="shared" ref="O58:Q59" si="10">+L58+I58+F58</f>
        <v>147747.25</v>
      </c>
      <c r="P58" s="60">
        <f t="shared" si="10"/>
        <v>0</v>
      </c>
      <c r="Q58" s="62">
        <f t="shared" si="10"/>
        <v>0</v>
      </c>
      <c r="R58" s="161">
        <f t="shared" si="9"/>
        <v>147747.25</v>
      </c>
    </row>
    <row r="59" spans="1:91" ht="45" x14ac:dyDescent="0.25">
      <c r="A59" s="55" t="s">
        <v>131</v>
      </c>
      <c r="B59" s="26" t="s">
        <v>398</v>
      </c>
      <c r="C59" s="56" t="s">
        <v>54</v>
      </c>
      <c r="D59" s="75" t="s">
        <v>54</v>
      </c>
      <c r="E59" s="56" t="s">
        <v>46</v>
      </c>
      <c r="F59" s="22">
        <v>12000</v>
      </c>
      <c r="G59" s="20"/>
      <c r="H59" s="24"/>
      <c r="I59" s="22">
        <f t="shared" ref="I59:L59" si="11">400*2*15</f>
        <v>12000</v>
      </c>
      <c r="J59" s="20"/>
      <c r="K59" s="24"/>
      <c r="L59" s="22">
        <f t="shared" si="11"/>
        <v>12000</v>
      </c>
      <c r="M59" s="20"/>
      <c r="N59" s="24"/>
      <c r="O59" s="59">
        <f t="shared" si="10"/>
        <v>36000</v>
      </c>
      <c r="P59" s="60">
        <f t="shared" si="10"/>
        <v>0</v>
      </c>
      <c r="Q59" s="62">
        <f t="shared" si="10"/>
        <v>0</v>
      </c>
      <c r="R59" s="161">
        <f t="shared" si="9"/>
        <v>36000</v>
      </c>
    </row>
    <row r="60" spans="1:91" ht="30" x14ac:dyDescent="0.25">
      <c r="A60" s="17" t="s">
        <v>131</v>
      </c>
      <c r="B60" s="26" t="s">
        <v>398</v>
      </c>
      <c r="C60" s="18" t="s">
        <v>26</v>
      </c>
      <c r="D60" s="18" t="s">
        <v>91</v>
      </c>
      <c r="E60" s="86" t="s">
        <v>134</v>
      </c>
      <c r="F60" s="22">
        <v>17000</v>
      </c>
      <c r="G60" s="20"/>
      <c r="H60" s="24"/>
      <c r="I60" s="22">
        <v>17000</v>
      </c>
      <c r="J60" s="20"/>
      <c r="K60" s="24"/>
      <c r="L60" s="22">
        <v>0</v>
      </c>
      <c r="M60" s="20"/>
      <c r="N60" s="24"/>
      <c r="O60" s="59">
        <f t="shared" ref="O60:Q60" si="12">+L60+I60+F60</f>
        <v>34000</v>
      </c>
      <c r="P60" s="60">
        <f t="shared" si="12"/>
        <v>0</v>
      </c>
      <c r="Q60" s="62">
        <f t="shared" si="12"/>
        <v>0</v>
      </c>
      <c r="R60" s="161">
        <f t="shared" si="9"/>
        <v>34000</v>
      </c>
    </row>
    <row r="61" spans="1:91" x14ac:dyDescent="0.25">
      <c r="A61" s="65" t="s">
        <v>131</v>
      </c>
      <c r="B61" s="26" t="s">
        <v>398</v>
      </c>
      <c r="C61" s="75" t="s">
        <v>35</v>
      </c>
      <c r="D61" s="75" t="s">
        <v>87</v>
      </c>
      <c r="E61" s="56" t="s">
        <v>138</v>
      </c>
      <c r="G61" s="59">
        <v>1852891.6923076923</v>
      </c>
      <c r="H61" s="61"/>
      <c r="J61" s="59">
        <f>(132589*16+177905*5)/13*10</f>
        <v>2316114.6153846155</v>
      </c>
      <c r="K61" s="61"/>
      <c r="M61" s="59">
        <f>(132589*16+177905*5)/13*13</f>
        <v>3010949</v>
      </c>
      <c r="N61" s="61"/>
      <c r="O61" s="59">
        <f>+L61+I61+F61</f>
        <v>0</v>
      </c>
      <c r="P61" s="60">
        <f>+M61+J61+G61</f>
        <v>7179955.307692308</v>
      </c>
      <c r="Q61" s="62">
        <f>+N61+K61+H61</f>
        <v>0</v>
      </c>
      <c r="R61" s="161">
        <f t="shared" si="9"/>
        <v>7179955.307692308</v>
      </c>
    </row>
    <row r="62" spans="1:91" ht="30" x14ac:dyDescent="0.25">
      <c r="A62" s="65" t="s">
        <v>131</v>
      </c>
      <c r="B62" s="26" t="s">
        <v>398</v>
      </c>
      <c r="C62" s="75" t="s">
        <v>10</v>
      </c>
      <c r="D62" s="75" t="s">
        <v>88</v>
      </c>
      <c r="E62" s="56" t="s">
        <v>135</v>
      </c>
      <c r="F62" s="59">
        <v>80000</v>
      </c>
      <c r="G62" s="60"/>
      <c r="H62" s="61"/>
      <c r="I62" s="59">
        <v>120000</v>
      </c>
      <c r="J62" s="60"/>
      <c r="K62" s="61"/>
      <c r="L62" s="59">
        <v>130000</v>
      </c>
      <c r="M62" s="60"/>
      <c r="N62" s="61"/>
      <c r="O62" s="59">
        <f t="shared" ref="O62:Q62" si="13">+L62+I62+F62</f>
        <v>330000</v>
      </c>
      <c r="P62" s="60">
        <f t="shared" si="13"/>
        <v>0</v>
      </c>
      <c r="Q62" s="62">
        <f t="shared" si="13"/>
        <v>0</v>
      </c>
      <c r="R62" s="161">
        <f t="shared" si="9"/>
        <v>330000</v>
      </c>
    </row>
    <row r="63" spans="1:91" ht="30" x14ac:dyDescent="0.25">
      <c r="A63" s="65" t="s">
        <v>131</v>
      </c>
      <c r="B63" s="26" t="s">
        <v>398</v>
      </c>
      <c r="C63" s="75" t="s">
        <v>11</v>
      </c>
      <c r="D63" s="75" t="s">
        <v>88</v>
      </c>
      <c r="E63" s="56" t="s">
        <v>136</v>
      </c>
      <c r="F63" s="59">
        <v>17640</v>
      </c>
      <c r="G63" s="60"/>
      <c r="H63" s="61"/>
      <c r="I63" s="59">
        <f>+F63*1.35</f>
        <v>23814</v>
      </c>
      <c r="J63" s="60"/>
      <c r="K63" s="61"/>
      <c r="L63" s="59">
        <f>+I63*1.45</f>
        <v>34530.299999999996</v>
      </c>
      <c r="M63" s="60"/>
      <c r="N63" s="61"/>
      <c r="O63" s="59">
        <f t="shared" ref="O63:Q64" si="14">+L63+I63+F63</f>
        <v>75984.299999999988</v>
      </c>
      <c r="P63" s="60">
        <f t="shared" si="14"/>
        <v>0</v>
      </c>
      <c r="Q63" s="62">
        <f t="shared" si="14"/>
        <v>0</v>
      </c>
      <c r="R63" s="161">
        <f t="shared" si="9"/>
        <v>75984.299999999988</v>
      </c>
    </row>
    <row r="64" spans="1:91" ht="30" x14ac:dyDescent="0.25">
      <c r="A64" s="55" t="s">
        <v>131</v>
      </c>
      <c r="B64" s="26" t="s">
        <v>398</v>
      </c>
      <c r="C64" s="56" t="s">
        <v>175</v>
      </c>
      <c r="D64" s="75" t="s">
        <v>88</v>
      </c>
      <c r="E64" s="56" t="s">
        <v>137</v>
      </c>
      <c r="F64" s="59">
        <v>3000</v>
      </c>
      <c r="G64" s="60"/>
      <c r="H64" s="61"/>
      <c r="I64" s="59">
        <f>+F64*1.3</f>
        <v>3900</v>
      </c>
      <c r="J64" s="60"/>
      <c r="K64" s="61"/>
      <c r="L64" s="59">
        <v>5070</v>
      </c>
      <c r="M64" s="60"/>
      <c r="N64" s="61"/>
      <c r="O64" s="59">
        <f t="shared" si="14"/>
        <v>11970</v>
      </c>
      <c r="P64" s="60">
        <f t="shared" si="14"/>
        <v>0</v>
      </c>
      <c r="Q64" s="62">
        <f t="shared" si="14"/>
        <v>0</v>
      </c>
      <c r="R64" s="161">
        <f t="shared" si="9"/>
        <v>11970</v>
      </c>
    </row>
    <row r="65" spans="1:18" x14ac:dyDescent="0.25">
      <c r="A65" s="65" t="s">
        <v>131</v>
      </c>
      <c r="B65" s="26" t="s">
        <v>398</v>
      </c>
      <c r="C65" s="75" t="s">
        <v>43</v>
      </c>
      <c r="D65" s="75" t="s">
        <v>198</v>
      </c>
      <c r="E65" s="56" t="s">
        <v>132</v>
      </c>
      <c r="F65" s="59"/>
      <c r="G65" s="60" t="e">
        <f>+#REF!</f>
        <v>#REF!</v>
      </c>
      <c r="H65" s="61"/>
      <c r="I65" s="59"/>
      <c r="J65" s="60" t="e">
        <f>+#REF!</f>
        <v>#REF!</v>
      </c>
      <c r="K65" s="61"/>
      <c r="L65" s="59"/>
      <c r="M65" s="60" t="e">
        <f>+#REF!</f>
        <v>#REF!</v>
      </c>
      <c r="N65" s="61"/>
      <c r="O65" s="59">
        <f t="shared" ref="O65:Q67" si="15">+L65+I65+F65</f>
        <v>0</v>
      </c>
      <c r="P65" s="60" t="e">
        <f t="shared" si="15"/>
        <v>#REF!</v>
      </c>
      <c r="Q65" s="62">
        <f t="shared" si="15"/>
        <v>0</v>
      </c>
      <c r="R65" s="161" t="e">
        <f t="shared" si="9"/>
        <v>#REF!</v>
      </c>
    </row>
    <row r="66" spans="1:18" x14ac:dyDescent="0.25">
      <c r="A66" s="55" t="s">
        <v>131</v>
      </c>
      <c r="B66" s="26" t="s">
        <v>398</v>
      </c>
      <c r="C66" s="56" t="s">
        <v>44</v>
      </c>
      <c r="D66" s="75" t="s">
        <v>104</v>
      </c>
      <c r="E66" s="56" t="s">
        <v>132</v>
      </c>
      <c r="F66" s="59"/>
      <c r="G66" s="60" t="e">
        <f>+#REF!</f>
        <v>#REF!</v>
      </c>
      <c r="H66" s="61"/>
      <c r="I66" s="59"/>
      <c r="J66" s="60" t="e">
        <f>+#REF!</f>
        <v>#REF!</v>
      </c>
      <c r="K66" s="61"/>
      <c r="L66" s="59"/>
      <c r="M66" s="60" t="e">
        <f>+#REF!</f>
        <v>#REF!</v>
      </c>
      <c r="N66" s="61"/>
      <c r="O66" s="59">
        <f t="shared" si="15"/>
        <v>0</v>
      </c>
      <c r="P66" s="60" t="e">
        <f t="shared" si="15"/>
        <v>#REF!</v>
      </c>
      <c r="Q66" s="62">
        <f t="shared" si="15"/>
        <v>0</v>
      </c>
      <c r="R66" s="161" t="e">
        <f t="shared" si="9"/>
        <v>#REF!</v>
      </c>
    </row>
    <row r="67" spans="1:18" x14ac:dyDescent="0.25">
      <c r="A67" s="3" t="s">
        <v>131</v>
      </c>
      <c r="B67" s="26" t="s">
        <v>398</v>
      </c>
      <c r="C67" s="86" t="s">
        <v>40</v>
      </c>
      <c r="D67" s="86" t="s">
        <v>42</v>
      </c>
      <c r="E67" s="56" t="s">
        <v>133</v>
      </c>
      <c r="F67" s="88"/>
      <c r="G67" s="89"/>
      <c r="H67" s="90"/>
      <c r="I67" s="69">
        <f>1200*15</f>
        <v>18000</v>
      </c>
      <c r="J67" s="70"/>
      <c r="K67" s="71"/>
      <c r="L67" s="69"/>
      <c r="M67" s="70"/>
      <c r="N67" s="71"/>
      <c r="O67" s="59">
        <f t="shared" si="15"/>
        <v>18000</v>
      </c>
      <c r="P67" s="60">
        <f t="shared" si="15"/>
        <v>0</v>
      </c>
      <c r="Q67" s="62">
        <f t="shared" si="15"/>
        <v>0</v>
      </c>
      <c r="R67" s="161">
        <f t="shared" si="9"/>
        <v>18000</v>
      </c>
    </row>
    <row r="68" spans="1:18" ht="30" x14ac:dyDescent="0.25">
      <c r="A68" s="65" t="s">
        <v>131</v>
      </c>
      <c r="B68" s="25" t="s">
        <v>359</v>
      </c>
      <c r="C68" s="75" t="s">
        <v>61</v>
      </c>
      <c r="D68" s="75" t="s">
        <v>188</v>
      </c>
      <c r="E68" s="56" t="s">
        <v>132</v>
      </c>
      <c r="F68" s="59"/>
      <c r="G68" s="60" t="e">
        <f>+#REF!</f>
        <v>#REF!</v>
      </c>
      <c r="H68" s="61"/>
      <c r="I68" s="59"/>
      <c r="J68" s="60" t="e">
        <f>+#REF!</f>
        <v>#REF!</v>
      </c>
      <c r="K68" s="61"/>
      <c r="L68" s="59"/>
      <c r="M68" s="60" t="e">
        <f>+#REF!</f>
        <v>#REF!</v>
      </c>
      <c r="N68" s="61"/>
      <c r="O68" s="59">
        <f t="shared" ref="O68:Q71" si="16">+L68+I68+F68</f>
        <v>0</v>
      </c>
      <c r="P68" s="60" t="e">
        <f t="shared" si="16"/>
        <v>#REF!</v>
      </c>
      <c r="Q68" s="62">
        <f t="shared" si="16"/>
        <v>0</v>
      </c>
      <c r="R68" s="161" t="e">
        <f t="shared" si="9"/>
        <v>#REF!</v>
      </c>
    </row>
    <row r="69" spans="1:18" ht="30" x14ac:dyDescent="0.25">
      <c r="A69" s="65" t="s">
        <v>131</v>
      </c>
      <c r="B69" s="25" t="s">
        <v>359</v>
      </c>
      <c r="C69" s="75" t="s">
        <v>199</v>
      </c>
      <c r="D69" s="75" t="s">
        <v>105</v>
      </c>
      <c r="E69" s="56" t="s">
        <v>132</v>
      </c>
      <c r="F69" s="59"/>
      <c r="G69" s="60" t="e">
        <f>+#REF!</f>
        <v>#REF!</v>
      </c>
      <c r="H69" s="61"/>
      <c r="I69" s="59"/>
      <c r="J69" s="60" t="e">
        <f>+#REF!</f>
        <v>#REF!</v>
      </c>
      <c r="K69" s="61"/>
      <c r="L69" s="59"/>
      <c r="M69" s="60" t="e">
        <f>+#REF!</f>
        <v>#REF!</v>
      </c>
      <c r="N69" s="61"/>
      <c r="O69" s="59">
        <f t="shared" si="16"/>
        <v>0</v>
      </c>
      <c r="P69" s="60" t="e">
        <f t="shared" si="16"/>
        <v>#REF!</v>
      </c>
      <c r="Q69" s="62">
        <f t="shared" si="16"/>
        <v>0</v>
      </c>
      <c r="R69" s="161" t="e">
        <f t="shared" si="9"/>
        <v>#REF!</v>
      </c>
    </row>
    <row r="70" spans="1:18" ht="30" x14ac:dyDescent="0.25">
      <c r="A70" s="65" t="s">
        <v>131</v>
      </c>
      <c r="B70" s="25" t="s">
        <v>359</v>
      </c>
      <c r="C70" s="75" t="s">
        <v>200</v>
      </c>
      <c r="D70" s="75" t="s">
        <v>106</v>
      </c>
      <c r="E70" s="56" t="s">
        <v>132</v>
      </c>
      <c r="F70" s="59"/>
      <c r="G70" s="60" t="e">
        <f>+#REF!</f>
        <v>#REF!</v>
      </c>
      <c r="H70" s="61"/>
      <c r="I70" s="59"/>
      <c r="J70" s="60" t="e">
        <f>+#REF!</f>
        <v>#REF!</v>
      </c>
      <c r="K70" s="61"/>
      <c r="L70" s="59"/>
      <c r="M70" s="60" t="e">
        <f>+#REF!</f>
        <v>#REF!</v>
      </c>
      <c r="N70" s="61"/>
      <c r="O70" s="59">
        <f t="shared" si="16"/>
        <v>0</v>
      </c>
      <c r="P70" s="60" t="e">
        <f t="shared" si="16"/>
        <v>#REF!</v>
      </c>
      <c r="Q70" s="62">
        <f t="shared" si="16"/>
        <v>0</v>
      </c>
      <c r="R70" s="161" t="e">
        <f t="shared" si="9"/>
        <v>#REF!</v>
      </c>
    </row>
    <row r="71" spans="1:18" ht="30" x14ac:dyDescent="0.25">
      <c r="A71" s="65" t="s">
        <v>131</v>
      </c>
      <c r="B71" s="25" t="s">
        <v>359</v>
      </c>
      <c r="C71" s="75" t="s">
        <v>6</v>
      </c>
      <c r="D71" s="75" t="s">
        <v>92</v>
      </c>
      <c r="E71" s="56" t="s">
        <v>215</v>
      </c>
      <c r="F71" s="59"/>
      <c r="G71" s="60">
        <f>+(2800*12*21)/15</f>
        <v>47040</v>
      </c>
      <c r="H71" s="61"/>
      <c r="I71" s="59"/>
      <c r="J71" s="60">
        <f>+(3100*12*21)/15</f>
        <v>52080</v>
      </c>
      <c r="K71" s="61"/>
      <c r="L71" s="59"/>
      <c r="M71" s="60">
        <f>+(3260*12*21)/15</f>
        <v>54768</v>
      </c>
      <c r="N71" s="61"/>
      <c r="O71" s="59">
        <f t="shared" si="16"/>
        <v>0</v>
      </c>
      <c r="P71" s="60">
        <f t="shared" si="16"/>
        <v>153888</v>
      </c>
      <c r="Q71" s="62">
        <f t="shared" si="16"/>
        <v>0</v>
      </c>
      <c r="R71" s="161">
        <f t="shared" si="9"/>
        <v>153888</v>
      </c>
    </row>
    <row r="72" spans="1:18" ht="60" x14ac:dyDescent="0.25">
      <c r="A72" s="65" t="s">
        <v>131</v>
      </c>
      <c r="B72" s="25" t="s">
        <v>359</v>
      </c>
      <c r="C72" s="75" t="s">
        <v>0</v>
      </c>
      <c r="D72" s="75" t="s">
        <v>122</v>
      </c>
      <c r="E72" s="56" t="s">
        <v>139</v>
      </c>
      <c r="F72" s="59">
        <v>0</v>
      </c>
      <c r="G72" s="60"/>
      <c r="H72" s="61"/>
      <c r="I72" s="59">
        <v>0</v>
      </c>
      <c r="J72" s="60"/>
      <c r="K72" s="61"/>
      <c r="L72" s="59">
        <v>0</v>
      </c>
      <c r="M72" s="60"/>
      <c r="N72" s="61"/>
      <c r="O72" s="59">
        <f t="shared" ref="O72:Q72" si="17">+L72+I72+F72</f>
        <v>0</v>
      </c>
      <c r="P72" s="60">
        <f t="shared" si="17"/>
        <v>0</v>
      </c>
      <c r="Q72" s="62">
        <f t="shared" si="17"/>
        <v>0</v>
      </c>
      <c r="R72" s="161">
        <f t="shared" si="9"/>
        <v>0</v>
      </c>
    </row>
    <row r="73" spans="1:18" ht="30" x14ac:dyDescent="0.25">
      <c r="A73" s="65" t="s">
        <v>131</v>
      </c>
      <c r="B73" s="25" t="s">
        <v>359</v>
      </c>
      <c r="C73" s="75" t="s">
        <v>12</v>
      </c>
      <c r="D73" s="75" t="s">
        <v>201</v>
      </c>
      <c r="E73" s="56" t="s">
        <v>138</v>
      </c>
      <c r="F73" s="59"/>
      <c r="G73" s="60"/>
      <c r="H73" s="61"/>
      <c r="I73" s="59"/>
      <c r="J73" s="60"/>
      <c r="K73" s="61"/>
      <c r="L73" s="59"/>
      <c r="M73" s="60"/>
      <c r="N73" s="61"/>
      <c r="O73" s="59">
        <f t="shared" ref="O73:Q76" si="18">+L73+I73+F73</f>
        <v>0</v>
      </c>
      <c r="P73" s="60">
        <f t="shared" si="18"/>
        <v>0</v>
      </c>
      <c r="Q73" s="62">
        <f t="shared" si="18"/>
        <v>0</v>
      </c>
      <c r="R73" s="161">
        <f t="shared" si="9"/>
        <v>0</v>
      </c>
    </row>
    <row r="74" spans="1:18" x14ac:dyDescent="0.25">
      <c r="A74" s="65" t="s">
        <v>131</v>
      </c>
      <c r="B74" s="25" t="s">
        <v>359</v>
      </c>
      <c r="C74" s="75" t="s">
        <v>12</v>
      </c>
      <c r="D74" s="75" t="s">
        <v>202</v>
      </c>
      <c r="E74" s="56" t="s">
        <v>138</v>
      </c>
      <c r="F74" s="59"/>
      <c r="G74" s="60">
        <f>18*10*29</f>
        <v>5220</v>
      </c>
      <c r="H74" s="61"/>
      <c r="I74" s="59"/>
      <c r="J74" s="60">
        <f>36*10*29</f>
        <v>10440</v>
      </c>
      <c r="K74" s="61"/>
      <c r="L74" s="59"/>
      <c r="M74" s="60">
        <f>48*10*29</f>
        <v>13920</v>
      </c>
      <c r="N74" s="61"/>
      <c r="O74" s="59">
        <f t="shared" si="18"/>
        <v>0</v>
      </c>
      <c r="P74" s="60">
        <f t="shared" si="18"/>
        <v>29580</v>
      </c>
      <c r="Q74" s="62">
        <f t="shared" si="18"/>
        <v>0</v>
      </c>
      <c r="R74" s="161">
        <f t="shared" si="9"/>
        <v>29580</v>
      </c>
    </row>
    <row r="75" spans="1:18" x14ac:dyDescent="0.25">
      <c r="A75" s="65" t="s">
        <v>131</v>
      </c>
      <c r="B75" s="25" t="s">
        <v>359</v>
      </c>
      <c r="C75" s="75" t="s">
        <v>15</v>
      </c>
      <c r="D75" s="75" t="s">
        <v>72</v>
      </c>
      <c r="E75" s="56" t="s">
        <v>138</v>
      </c>
      <c r="F75" s="59">
        <v>0</v>
      </c>
      <c r="G75" s="60"/>
      <c r="H75" s="61"/>
      <c r="I75" s="59"/>
      <c r="J75" s="60">
        <f>9*800*36</f>
        <v>259200</v>
      </c>
      <c r="K75" s="61"/>
      <c r="L75" s="59"/>
      <c r="M75" s="60">
        <f>18*800*36</f>
        <v>518400</v>
      </c>
      <c r="N75" s="61"/>
      <c r="O75" s="59">
        <f t="shared" si="18"/>
        <v>0</v>
      </c>
      <c r="P75" s="60">
        <f t="shared" si="18"/>
        <v>777600</v>
      </c>
      <c r="Q75" s="62">
        <f t="shared" si="18"/>
        <v>0</v>
      </c>
      <c r="R75" s="161">
        <f t="shared" si="9"/>
        <v>777600</v>
      </c>
    </row>
    <row r="76" spans="1:18" ht="45" x14ac:dyDescent="0.25">
      <c r="A76" s="65" t="s">
        <v>131</v>
      </c>
      <c r="B76" s="25" t="s">
        <v>359</v>
      </c>
      <c r="C76" s="75" t="s">
        <v>13</v>
      </c>
      <c r="D76" s="75" t="s">
        <v>203</v>
      </c>
      <c r="E76" s="56" t="s">
        <v>138</v>
      </c>
      <c r="F76" s="59"/>
      <c r="G76" s="60"/>
      <c r="H76" s="61"/>
      <c r="I76" s="59"/>
      <c r="J76" s="60"/>
      <c r="K76" s="61"/>
      <c r="L76" s="59"/>
      <c r="M76" s="60"/>
      <c r="N76" s="61"/>
      <c r="O76" s="59">
        <f t="shared" si="18"/>
        <v>0</v>
      </c>
      <c r="P76" s="60">
        <f t="shared" si="18"/>
        <v>0</v>
      </c>
      <c r="Q76" s="62">
        <f t="shared" si="18"/>
        <v>0</v>
      </c>
      <c r="R76" s="161">
        <f t="shared" si="9"/>
        <v>0</v>
      </c>
    </row>
    <row r="77" spans="1:18" s="15" customFormat="1" ht="45" x14ac:dyDescent="0.25">
      <c r="A77" s="65" t="s">
        <v>131</v>
      </c>
      <c r="B77" s="25" t="s">
        <v>359</v>
      </c>
      <c r="C77" s="75" t="s">
        <v>32</v>
      </c>
      <c r="D77" s="18" t="s">
        <v>33</v>
      </c>
      <c r="E77" s="86" t="s">
        <v>135</v>
      </c>
      <c r="F77" s="96">
        <v>102000</v>
      </c>
      <c r="G77" s="97"/>
      <c r="H77" s="98"/>
      <c r="I77" s="96">
        <v>110000</v>
      </c>
      <c r="J77" s="20"/>
      <c r="K77" s="24"/>
      <c r="L77" s="96">
        <v>120000</v>
      </c>
      <c r="M77" s="20"/>
      <c r="N77" s="24"/>
      <c r="O77" s="59">
        <f t="shared" ref="O77:Q77" si="19">+L77+I77+F77</f>
        <v>332000</v>
      </c>
      <c r="P77" s="60">
        <f t="shared" si="19"/>
        <v>0</v>
      </c>
      <c r="Q77" s="62">
        <f t="shared" si="19"/>
        <v>0</v>
      </c>
      <c r="R77" s="161">
        <f t="shared" si="9"/>
        <v>332000</v>
      </c>
    </row>
    <row r="78" spans="1:18" ht="30" x14ac:dyDescent="0.25">
      <c r="A78" s="65" t="s">
        <v>131</v>
      </c>
      <c r="B78" s="25" t="s">
        <v>359</v>
      </c>
      <c r="C78" s="75" t="s">
        <v>11</v>
      </c>
      <c r="D78" s="75" t="s">
        <v>31</v>
      </c>
      <c r="E78" s="56" t="s">
        <v>136</v>
      </c>
      <c r="F78" s="91">
        <f>330*35*2+80*35*2*2</f>
        <v>34300</v>
      </c>
      <c r="G78" s="92"/>
      <c r="H78" s="93"/>
      <c r="I78" s="91">
        <v>46305</v>
      </c>
      <c r="J78" s="60"/>
      <c r="K78" s="61"/>
      <c r="L78" s="91">
        <v>67142</v>
      </c>
      <c r="M78" s="60"/>
      <c r="N78" s="61"/>
      <c r="O78" s="59">
        <f t="shared" ref="O78:Q81" si="20">+L78+I78+F78</f>
        <v>147747</v>
      </c>
      <c r="P78" s="60">
        <f t="shared" si="20"/>
        <v>0</v>
      </c>
      <c r="Q78" s="62">
        <f t="shared" si="20"/>
        <v>0</v>
      </c>
      <c r="R78" s="161">
        <f t="shared" si="9"/>
        <v>147747</v>
      </c>
    </row>
    <row r="79" spans="1:18" ht="30" x14ac:dyDescent="0.25">
      <c r="A79" s="65" t="s">
        <v>131</v>
      </c>
      <c r="B79" s="25" t="s">
        <v>359</v>
      </c>
      <c r="C79" s="75" t="s">
        <v>54</v>
      </c>
      <c r="D79" s="75" t="s">
        <v>31</v>
      </c>
      <c r="E79" s="56" t="s">
        <v>136</v>
      </c>
      <c r="F79" s="91">
        <f>400*2*15</f>
        <v>12000</v>
      </c>
      <c r="G79" s="92"/>
      <c r="H79" s="93"/>
      <c r="I79" s="91">
        <v>15600</v>
      </c>
      <c r="J79" s="60"/>
      <c r="K79" s="61"/>
      <c r="L79" s="91">
        <v>17940</v>
      </c>
      <c r="M79" s="60"/>
      <c r="N79" s="61"/>
      <c r="O79" s="59">
        <f t="shared" si="20"/>
        <v>45540</v>
      </c>
      <c r="P79" s="60">
        <f t="shared" si="20"/>
        <v>0</v>
      </c>
      <c r="Q79" s="62">
        <f t="shared" si="20"/>
        <v>0</v>
      </c>
      <c r="R79" s="161">
        <f t="shared" si="9"/>
        <v>45540</v>
      </c>
    </row>
    <row r="80" spans="1:18" ht="45" x14ac:dyDescent="0.25">
      <c r="A80" s="65" t="s">
        <v>131</v>
      </c>
      <c r="B80" s="25" t="s">
        <v>359</v>
      </c>
      <c r="C80" s="75" t="s">
        <v>9</v>
      </c>
      <c r="D80" s="75" t="s">
        <v>112</v>
      </c>
      <c r="E80" s="56" t="s">
        <v>136</v>
      </c>
      <c r="F80" s="91">
        <f>130*45</f>
        <v>5850</v>
      </c>
      <c r="G80" s="92"/>
      <c r="H80" s="93"/>
      <c r="I80" s="91">
        <v>7898</v>
      </c>
      <c r="J80" s="20"/>
      <c r="K80" s="24"/>
      <c r="L80" s="91">
        <v>11451</v>
      </c>
      <c r="M80" s="20"/>
      <c r="N80" s="24"/>
      <c r="O80" s="59">
        <f t="shared" si="20"/>
        <v>25199</v>
      </c>
      <c r="P80" s="60">
        <f t="shared" si="20"/>
        <v>0</v>
      </c>
      <c r="Q80" s="62">
        <f t="shared" si="20"/>
        <v>0</v>
      </c>
      <c r="R80" s="161">
        <f t="shared" si="9"/>
        <v>25199</v>
      </c>
    </row>
    <row r="81" spans="1:18" ht="30" x14ac:dyDescent="0.25">
      <c r="A81" s="65" t="s">
        <v>131</v>
      </c>
      <c r="B81" s="25" t="s">
        <v>359</v>
      </c>
      <c r="C81" s="75" t="s">
        <v>175</v>
      </c>
      <c r="D81" s="75" t="s">
        <v>31</v>
      </c>
      <c r="E81" s="56" t="s">
        <v>136</v>
      </c>
      <c r="F81" s="91">
        <v>3000</v>
      </c>
      <c r="G81" s="92"/>
      <c r="H81" s="93"/>
      <c r="I81" s="91">
        <v>3900</v>
      </c>
      <c r="J81" s="60"/>
      <c r="K81" s="61"/>
      <c r="L81" s="91">
        <v>5070</v>
      </c>
      <c r="M81" s="60"/>
      <c r="N81" s="61"/>
      <c r="O81" s="59">
        <f t="shared" si="20"/>
        <v>11970</v>
      </c>
      <c r="P81" s="60">
        <f t="shared" si="20"/>
        <v>0</v>
      </c>
      <c r="Q81" s="62">
        <f t="shared" si="20"/>
        <v>0</v>
      </c>
      <c r="R81" s="161">
        <f t="shared" si="9"/>
        <v>11970</v>
      </c>
    </row>
    <row r="82" spans="1:18" x14ac:dyDescent="0.25">
      <c r="A82" s="65" t="s">
        <v>131</v>
      </c>
      <c r="B82" s="26" t="s">
        <v>399</v>
      </c>
      <c r="C82" s="75" t="s">
        <v>85</v>
      </c>
      <c r="D82" s="75" t="s">
        <v>204</v>
      </c>
      <c r="E82" s="56" t="s">
        <v>132</v>
      </c>
      <c r="F82" s="91"/>
      <c r="G82" s="92" t="e">
        <f>+#REF!</f>
        <v>#REF!</v>
      </c>
      <c r="H82" s="93"/>
      <c r="I82" s="91"/>
      <c r="J82" s="20" t="e">
        <f>+#REF!</f>
        <v>#REF!</v>
      </c>
      <c r="K82" s="24"/>
      <c r="L82" s="91"/>
      <c r="M82" s="20" t="e">
        <f>+#REF!</f>
        <v>#REF!</v>
      </c>
      <c r="N82" s="24"/>
      <c r="O82" s="59">
        <f t="shared" ref="O82:Q85" si="21">+L82+I82+F82</f>
        <v>0</v>
      </c>
      <c r="P82" s="60" t="e">
        <f t="shared" si="21"/>
        <v>#REF!</v>
      </c>
      <c r="Q82" s="62">
        <f t="shared" si="21"/>
        <v>0</v>
      </c>
      <c r="R82" s="161" t="e">
        <f t="shared" si="9"/>
        <v>#REF!</v>
      </c>
    </row>
    <row r="83" spans="1:18" ht="30" x14ac:dyDescent="0.25">
      <c r="A83" s="65" t="s">
        <v>131</v>
      </c>
      <c r="B83" s="26" t="s">
        <v>399</v>
      </c>
      <c r="C83" s="75" t="s">
        <v>205</v>
      </c>
      <c r="D83" s="75" t="s">
        <v>206</v>
      </c>
      <c r="E83" s="56" t="s">
        <v>132</v>
      </c>
      <c r="F83" s="91"/>
      <c r="G83" s="92" t="e">
        <f>+#REF!</f>
        <v>#REF!</v>
      </c>
      <c r="H83" s="93"/>
      <c r="I83" s="91"/>
      <c r="J83" s="20" t="e">
        <f>+#REF!</f>
        <v>#REF!</v>
      </c>
      <c r="K83" s="24"/>
      <c r="L83" s="91"/>
      <c r="M83" s="20" t="e">
        <f>+#REF!</f>
        <v>#REF!</v>
      </c>
      <c r="N83" s="24"/>
      <c r="O83" s="59">
        <f t="shared" si="21"/>
        <v>0</v>
      </c>
      <c r="P83" s="60" t="e">
        <f t="shared" si="21"/>
        <v>#REF!</v>
      </c>
      <c r="Q83" s="62">
        <f t="shared" si="21"/>
        <v>0</v>
      </c>
      <c r="R83" s="161" t="e">
        <f t="shared" si="9"/>
        <v>#REF!</v>
      </c>
    </row>
    <row r="84" spans="1:18" ht="30" x14ac:dyDescent="0.25">
      <c r="A84" s="65" t="s">
        <v>131</v>
      </c>
      <c r="B84" s="26" t="s">
        <v>399</v>
      </c>
      <c r="C84" s="75" t="s">
        <v>74</v>
      </c>
      <c r="D84" s="75" t="s">
        <v>207</v>
      </c>
      <c r="E84" s="56" t="s">
        <v>132</v>
      </c>
      <c r="F84" s="91"/>
      <c r="G84" s="92" t="e">
        <f>+#REF!</f>
        <v>#REF!</v>
      </c>
      <c r="H84" s="93"/>
      <c r="I84" s="91"/>
      <c r="J84" s="20" t="e">
        <f>+#REF!</f>
        <v>#REF!</v>
      </c>
      <c r="K84" s="24"/>
      <c r="L84" s="91"/>
      <c r="M84" s="20" t="e">
        <f>+#REF!</f>
        <v>#REF!</v>
      </c>
      <c r="N84" s="24"/>
      <c r="O84" s="59">
        <f t="shared" si="21"/>
        <v>0</v>
      </c>
      <c r="P84" s="60" t="e">
        <f t="shared" si="21"/>
        <v>#REF!</v>
      </c>
      <c r="Q84" s="62">
        <f t="shared" si="21"/>
        <v>0</v>
      </c>
      <c r="R84" s="161" t="e">
        <f t="shared" si="9"/>
        <v>#REF!</v>
      </c>
    </row>
    <row r="85" spans="1:18" ht="30" x14ac:dyDescent="0.25">
      <c r="A85" s="65" t="s">
        <v>131</v>
      </c>
      <c r="B85" s="26" t="s">
        <v>399</v>
      </c>
      <c r="C85" s="75" t="s">
        <v>6</v>
      </c>
      <c r="D85" s="75" t="s">
        <v>92</v>
      </c>
      <c r="E85" s="56" t="s">
        <v>215</v>
      </c>
      <c r="F85" s="91"/>
      <c r="G85" s="92">
        <f>+(2800*12*6)/15</f>
        <v>13440</v>
      </c>
      <c r="H85" s="93"/>
      <c r="I85" s="91"/>
      <c r="J85" s="20">
        <f>+(3100*12*6)/15</f>
        <v>14880</v>
      </c>
      <c r="K85" s="24"/>
      <c r="L85" s="91"/>
      <c r="M85" s="20">
        <f>+(3260*12*6)/15</f>
        <v>15648</v>
      </c>
      <c r="N85" s="24"/>
      <c r="O85" s="59">
        <f t="shared" si="21"/>
        <v>0</v>
      </c>
      <c r="P85" s="60">
        <f t="shared" si="21"/>
        <v>43968</v>
      </c>
      <c r="Q85" s="62">
        <f t="shared" si="21"/>
        <v>0</v>
      </c>
      <c r="R85" s="161">
        <f t="shared" si="9"/>
        <v>43968</v>
      </c>
    </row>
    <row r="86" spans="1:18" x14ac:dyDescent="0.25">
      <c r="A86" s="65" t="s">
        <v>131</v>
      </c>
      <c r="B86" s="26" t="s">
        <v>399</v>
      </c>
      <c r="C86" s="75" t="s">
        <v>23</v>
      </c>
      <c r="D86" s="75" t="s">
        <v>47</v>
      </c>
      <c r="E86" s="56" t="s">
        <v>133</v>
      </c>
      <c r="F86" s="91">
        <f>24*1072</f>
        <v>25728</v>
      </c>
      <c r="G86" s="92"/>
      <c r="H86" s="93"/>
      <c r="I86" s="91">
        <f>24*1072</f>
        <v>25728</v>
      </c>
      <c r="J86" s="60"/>
      <c r="K86" s="61"/>
      <c r="L86" s="91">
        <f>16*1072</f>
        <v>17152</v>
      </c>
      <c r="M86" s="60"/>
      <c r="N86" s="61"/>
      <c r="O86" s="59">
        <f t="shared" ref="O86:Q86" si="22">+L86+I86+F86</f>
        <v>68608</v>
      </c>
      <c r="P86" s="60">
        <f t="shared" si="22"/>
        <v>0</v>
      </c>
      <c r="Q86" s="62">
        <f t="shared" si="22"/>
        <v>0</v>
      </c>
      <c r="R86" s="161">
        <f t="shared" si="9"/>
        <v>68608</v>
      </c>
    </row>
    <row r="87" spans="1:18" s="15" customFormat="1" ht="30" x14ac:dyDescent="0.25">
      <c r="A87" s="17" t="s">
        <v>131</v>
      </c>
      <c r="B87" s="26" t="s">
        <v>399</v>
      </c>
      <c r="C87" s="18" t="s">
        <v>14</v>
      </c>
      <c r="D87" s="18" t="s">
        <v>89</v>
      </c>
      <c r="E87" s="105" t="s">
        <v>135</v>
      </c>
      <c r="F87" s="22">
        <v>42000</v>
      </c>
      <c r="G87" s="20"/>
      <c r="H87" s="24"/>
      <c r="I87" s="22">
        <v>44000</v>
      </c>
      <c r="J87" s="101"/>
      <c r="K87" s="102"/>
      <c r="L87" s="22">
        <v>49000</v>
      </c>
      <c r="M87" s="101"/>
      <c r="N87" s="102"/>
      <c r="O87" s="59">
        <f t="shared" ref="O87:Q88" si="23">+L87+I87+F87</f>
        <v>135000</v>
      </c>
      <c r="P87" s="60">
        <f t="shared" si="23"/>
        <v>0</v>
      </c>
      <c r="Q87" s="62">
        <f t="shared" si="23"/>
        <v>0</v>
      </c>
      <c r="R87" s="161">
        <f t="shared" si="9"/>
        <v>135000</v>
      </c>
    </row>
    <row r="88" spans="1:18" s="15" customFormat="1" ht="30" x14ac:dyDescent="0.25">
      <c r="A88" s="17" t="s">
        <v>131</v>
      </c>
      <c r="B88" s="26" t="s">
        <v>399</v>
      </c>
      <c r="C88" s="18" t="s">
        <v>11</v>
      </c>
      <c r="D88" s="18" t="s">
        <v>89</v>
      </c>
      <c r="E88" s="105" t="s">
        <v>136</v>
      </c>
      <c r="F88" s="22">
        <f>330*2*56+80*56*2*2</f>
        <v>54880</v>
      </c>
      <c r="G88" s="20"/>
      <c r="H88" s="24"/>
      <c r="I88" s="22">
        <v>74088</v>
      </c>
      <c r="J88" s="99"/>
      <c r="K88" s="23"/>
      <c r="L88" s="22">
        <v>100019</v>
      </c>
      <c r="M88" s="99"/>
      <c r="N88" s="23"/>
      <c r="O88" s="59">
        <f t="shared" si="23"/>
        <v>228987</v>
      </c>
      <c r="P88" s="60">
        <f t="shared" si="23"/>
        <v>0</v>
      </c>
      <c r="Q88" s="62">
        <f t="shared" si="23"/>
        <v>0</v>
      </c>
      <c r="R88" s="161">
        <f t="shared" si="9"/>
        <v>228987</v>
      </c>
    </row>
    <row r="89" spans="1:18" s="15" customFormat="1" ht="30" x14ac:dyDescent="0.25">
      <c r="A89" s="78" t="s">
        <v>131</v>
      </c>
      <c r="B89" s="26" t="s">
        <v>399</v>
      </c>
      <c r="C89" s="103" t="s">
        <v>11</v>
      </c>
      <c r="D89" s="103" t="s">
        <v>77</v>
      </c>
      <c r="E89" s="105" t="s">
        <v>136</v>
      </c>
      <c r="F89" s="22">
        <f>2*330*23+2*2*23*80+50*330+2*50*80</f>
        <v>47040</v>
      </c>
      <c r="G89" s="20"/>
      <c r="H89" s="24"/>
      <c r="I89" s="22">
        <v>63504</v>
      </c>
      <c r="J89" s="99"/>
      <c r="K89" s="23"/>
      <c r="L89" s="22">
        <v>92081</v>
      </c>
      <c r="M89" s="99"/>
      <c r="N89" s="23"/>
      <c r="O89" s="59">
        <f t="shared" ref="O89:Q90" si="24">+L89+I89+F89</f>
        <v>202625</v>
      </c>
      <c r="P89" s="60">
        <f t="shared" si="24"/>
        <v>0</v>
      </c>
      <c r="Q89" s="62">
        <f t="shared" si="24"/>
        <v>0</v>
      </c>
      <c r="R89" s="161">
        <f t="shared" si="9"/>
        <v>202625</v>
      </c>
    </row>
    <row r="90" spans="1:18" s="15" customFormat="1" ht="30" x14ac:dyDescent="0.25">
      <c r="A90" s="78" t="s">
        <v>131</v>
      </c>
      <c r="B90" s="26" t="s">
        <v>399</v>
      </c>
      <c r="C90" s="103" t="s">
        <v>9</v>
      </c>
      <c r="D90" s="103" t="s">
        <v>109</v>
      </c>
      <c r="E90" s="86" t="s">
        <v>136</v>
      </c>
      <c r="F90" s="22">
        <f>50*130</f>
        <v>6500</v>
      </c>
      <c r="G90" s="20"/>
      <c r="H90" s="24"/>
      <c r="I90" s="22">
        <v>8775</v>
      </c>
      <c r="J90" s="20"/>
      <c r="K90" s="24"/>
      <c r="L90" s="22">
        <v>12724</v>
      </c>
      <c r="M90" s="20"/>
      <c r="N90" s="24"/>
      <c r="O90" s="59">
        <f t="shared" si="24"/>
        <v>27999</v>
      </c>
      <c r="P90" s="60">
        <f t="shared" si="24"/>
        <v>0</v>
      </c>
      <c r="Q90" s="62">
        <f t="shared" si="24"/>
        <v>0</v>
      </c>
      <c r="R90" s="161">
        <f t="shared" si="9"/>
        <v>27999</v>
      </c>
    </row>
    <row r="91" spans="1:18" s="15" customFormat="1" x14ac:dyDescent="0.25">
      <c r="A91" s="17" t="s">
        <v>131</v>
      </c>
      <c r="B91" s="26" t="s">
        <v>399</v>
      </c>
      <c r="C91" s="18" t="s">
        <v>23</v>
      </c>
      <c r="D91" s="18" t="s">
        <v>78</v>
      </c>
      <c r="E91" s="56" t="s">
        <v>133</v>
      </c>
      <c r="F91" s="22">
        <f>21*1400</f>
        <v>29400</v>
      </c>
      <c r="G91" s="20"/>
      <c r="H91" s="24"/>
      <c r="I91" s="22">
        <f>21*1400</f>
        <v>29400</v>
      </c>
      <c r="J91" s="101"/>
      <c r="K91" s="102"/>
      <c r="L91" s="22">
        <f>14*1400</f>
        <v>19600</v>
      </c>
      <c r="M91" s="101"/>
      <c r="N91" s="102"/>
      <c r="O91" s="59">
        <f t="shared" ref="O91:Q91" si="25">+L91+I91+F91</f>
        <v>78400</v>
      </c>
      <c r="P91" s="60">
        <f t="shared" si="25"/>
        <v>0</v>
      </c>
      <c r="Q91" s="62">
        <f t="shared" si="25"/>
        <v>0</v>
      </c>
      <c r="R91" s="161">
        <f t="shared" si="9"/>
        <v>78400</v>
      </c>
    </row>
    <row r="92" spans="1:18" s="15" customFormat="1" ht="30" x14ac:dyDescent="0.25">
      <c r="A92" s="78" t="s">
        <v>131</v>
      </c>
      <c r="B92" s="25" t="s">
        <v>360</v>
      </c>
      <c r="C92" s="103" t="s">
        <v>11</v>
      </c>
      <c r="D92" s="103" t="s">
        <v>80</v>
      </c>
      <c r="E92" s="103" t="s">
        <v>136</v>
      </c>
      <c r="F92" s="22">
        <v>176400</v>
      </c>
      <c r="G92" s="20"/>
      <c r="H92" s="24"/>
      <c r="I92" s="22">
        <v>238140</v>
      </c>
      <c r="J92" s="20"/>
      <c r="K92" s="24"/>
      <c r="L92" s="22">
        <v>345303</v>
      </c>
      <c r="M92" s="20"/>
      <c r="N92" s="24"/>
      <c r="O92" s="59">
        <f t="shared" ref="O92:Q98" si="26">+L92+I92+F92</f>
        <v>759843</v>
      </c>
      <c r="P92" s="60">
        <f t="shared" si="26"/>
        <v>0</v>
      </c>
      <c r="Q92" s="62">
        <f t="shared" si="26"/>
        <v>0</v>
      </c>
      <c r="R92" s="161">
        <f t="shared" si="9"/>
        <v>759843</v>
      </c>
    </row>
    <row r="93" spans="1:18" s="15" customFormat="1" ht="30" x14ac:dyDescent="0.25">
      <c r="A93" s="78" t="s">
        <v>131</v>
      </c>
      <c r="B93" s="25" t="s">
        <v>360</v>
      </c>
      <c r="C93" s="103" t="s">
        <v>14</v>
      </c>
      <c r="D93" s="103" t="s">
        <v>80</v>
      </c>
      <c r="E93" s="103" t="s">
        <v>136</v>
      </c>
      <c r="F93" s="22">
        <v>88000</v>
      </c>
      <c r="G93" s="20"/>
      <c r="H93" s="24"/>
      <c r="I93" s="22">
        <v>114400</v>
      </c>
      <c r="J93" s="20"/>
      <c r="K93" s="24"/>
      <c r="L93" s="22">
        <v>131560</v>
      </c>
      <c r="M93" s="20"/>
      <c r="N93" s="24"/>
      <c r="O93" s="59">
        <f t="shared" si="26"/>
        <v>333960</v>
      </c>
      <c r="P93" s="60">
        <f t="shared" si="26"/>
        <v>0</v>
      </c>
      <c r="Q93" s="62">
        <f t="shared" si="26"/>
        <v>0</v>
      </c>
      <c r="R93" s="161">
        <f t="shared" si="9"/>
        <v>333960</v>
      </c>
    </row>
    <row r="94" spans="1:18" s="15" customFormat="1" ht="45" x14ac:dyDescent="0.25">
      <c r="A94" s="78" t="s">
        <v>131</v>
      </c>
      <c r="B94" s="25" t="s">
        <v>360</v>
      </c>
      <c r="C94" s="103" t="s">
        <v>9</v>
      </c>
      <c r="D94" s="103" t="s">
        <v>108</v>
      </c>
      <c r="E94" s="103" t="s">
        <v>136</v>
      </c>
      <c r="F94" s="22">
        <v>16600</v>
      </c>
      <c r="G94" s="20"/>
      <c r="H94" s="24"/>
      <c r="I94" s="22">
        <v>22410</v>
      </c>
      <c r="J94" s="20"/>
      <c r="K94" s="24"/>
      <c r="L94" s="22">
        <v>32495</v>
      </c>
      <c r="M94" s="20"/>
      <c r="N94" s="24"/>
      <c r="O94" s="59">
        <f t="shared" si="26"/>
        <v>71505</v>
      </c>
      <c r="P94" s="60">
        <f t="shared" si="26"/>
        <v>0</v>
      </c>
      <c r="Q94" s="62">
        <f t="shared" si="26"/>
        <v>0</v>
      </c>
      <c r="R94" s="161">
        <f t="shared" si="9"/>
        <v>71505</v>
      </c>
    </row>
    <row r="95" spans="1:18" s="15" customFormat="1" ht="30" x14ac:dyDescent="0.25">
      <c r="A95" s="17" t="s">
        <v>131</v>
      </c>
      <c r="B95" s="25" t="s">
        <v>360</v>
      </c>
      <c r="C95" s="18" t="s">
        <v>79</v>
      </c>
      <c r="D95" s="103" t="s">
        <v>80</v>
      </c>
      <c r="E95" s="86" t="s">
        <v>136</v>
      </c>
      <c r="F95" s="22">
        <v>30000</v>
      </c>
      <c r="G95" s="20"/>
      <c r="H95" s="24"/>
      <c r="I95" s="22">
        <v>50000</v>
      </c>
      <c r="J95" s="67"/>
      <c r="K95" s="68"/>
      <c r="L95" s="22"/>
      <c r="M95" s="67"/>
      <c r="N95" s="68"/>
      <c r="O95" s="59">
        <f t="shared" si="26"/>
        <v>80000</v>
      </c>
      <c r="P95" s="60">
        <f t="shared" si="26"/>
        <v>0</v>
      </c>
      <c r="Q95" s="62">
        <f t="shared" si="26"/>
        <v>0</v>
      </c>
      <c r="R95" s="161">
        <f t="shared" si="9"/>
        <v>80000</v>
      </c>
    </row>
    <row r="96" spans="1:18" s="15" customFormat="1" ht="30" x14ac:dyDescent="0.25">
      <c r="A96" s="17" t="s">
        <v>131</v>
      </c>
      <c r="B96" s="25" t="s">
        <v>360</v>
      </c>
      <c r="C96" s="18" t="s">
        <v>81</v>
      </c>
      <c r="D96" s="103" t="s">
        <v>208</v>
      </c>
      <c r="E96" s="86" t="s">
        <v>136</v>
      </c>
      <c r="F96" s="22">
        <v>20000</v>
      </c>
      <c r="G96" s="20"/>
      <c r="H96" s="24"/>
      <c r="I96" s="22"/>
      <c r="J96" s="67"/>
      <c r="K96" s="68"/>
      <c r="L96" s="22"/>
      <c r="M96" s="67"/>
      <c r="N96" s="68"/>
      <c r="O96" s="59">
        <f t="shared" si="26"/>
        <v>20000</v>
      </c>
      <c r="P96" s="60">
        <f t="shared" si="26"/>
        <v>0</v>
      </c>
      <c r="Q96" s="62">
        <f t="shared" si="26"/>
        <v>0</v>
      </c>
      <c r="R96" s="161">
        <f t="shared" si="9"/>
        <v>20000</v>
      </c>
    </row>
    <row r="97" spans="1:18" s="15" customFormat="1" ht="30" x14ac:dyDescent="0.25">
      <c r="A97" s="17" t="s">
        <v>131</v>
      </c>
      <c r="B97" s="25" t="s">
        <v>360</v>
      </c>
      <c r="C97" s="18" t="s">
        <v>82</v>
      </c>
      <c r="D97" s="103" t="s">
        <v>113</v>
      </c>
      <c r="E97" s="86" t="s">
        <v>132</v>
      </c>
      <c r="F97" s="22"/>
      <c r="G97" s="20" t="e">
        <f>+#REF!</f>
        <v>#REF!</v>
      </c>
      <c r="H97" s="24"/>
      <c r="I97" s="22"/>
      <c r="J97" s="67" t="e">
        <f>+#REF!</f>
        <v>#REF!</v>
      </c>
      <c r="K97" s="68"/>
      <c r="L97" s="22"/>
      <c r="M97" s="67" t="e">
        <f>+#REF!</f>
        <v>#REF!</v>
      </c>
      <c r="N97" s="68"/>
      <c r="O97" s="59">
        <f t="shared" si="26"/>
        <v>0</v>
      </c>
      <c r="P97" s="60" t="e">
        <f t="shared" si="26"/>
        <v>#REF!</v>
      </c>
      <c r="Q97" s="62">
        <f t="shared" si="26"/>
        <v>0</v>
      </c>
      <c r="R97" s="161" t="e">
        <f t="shared" si="9"/>
        <v>#REF!</v>
      </c>
    </row>
    <row r="98" spans="1:18" s="15" customFormat="1" ht="30" x14ac:dyDescent="0.25">
      <c r="A98" s="17" t="s">
        <v>131</v>
      </c>
      <c r="B98" s="25" t="s">
        <v>360</v>
      </c>
      <c r="C98" s="18" t="s">
        <v>83</v>
      </c>
      <c r="D98" s="103" t="s">
        <v>92</v>
      </c>
      <c r="E98" s="86" t="s">
        <v>215</v>
      </c>
      <c r="F98" s="22"/>
      <c r="G98" s="20">
        <f>+(2800*12*2)/15</f>
        <v>4480</v>
      </c>
      <c r="H98" s="24"/>
      <c r="I98" s="22"/>
      <c r="J98" s="67">
        <f>+(3100*12*2)/15</f>
        <v>4960</v>
      </c>
      <c r="K98" s="68"/>
      <c r="L98" s="22"/>
      <c r="M98" s="67">
        <f>+(3260*12*2)/15</f>
        <v>5216</v>
      </c>
      <c r="N98" s="68"/>
      <c r="O98" s="59">
        <f t="shared" si="26"/>
        <v>0</v>
      </c>
      <c r="P98" s="60">
        <f t="shared" si="26"/>
        <v>14656</v>
      </c>
      <c r="Q98" s="62">
        <f t="shared" si="26"/>
        <v>0</v>
      </c>
      <c r="R98" s="161">
        <f t="shared" si="9"/>
        <v>14656</v>
      </c>
    </row>
    <row r="99" spans="1:18" s="15" customFormat="1" ht="30" x14ac:dyDescent="0.25">
      <c r="A99" s="17" t="s">
        <v>131</v>
      </c>
      <c r="B99" s="25" t="s">
        <v>360</v>
      </c>
      <c r="C99" s="18" t="s">
        <v>94</v>
      </c>
      <c r="D99" s="103" t="s">
        <v>209</v>
      </c>
      <c r="E99" s="86" t="s">
        <v>132</v>
      </c>
      <c r="F99" s="22"/>
      <c r="G99" s="20">
        <v>7000</v>
      </c>
      <c r="H99" s="24"/>
      <c r="I99" s="22"/>
      <c r="J99" s="67">
        <v>6000</v>
      </c>
      <c r="K99" s="68"/>
      <c r="L99" s="22"/>
      <c r="M99" s="67">
        <v>0</v>
      </c>
      <c r="N99" s="68"/>
      <c r="O99" s="59">
        <f t="shared" ref="O99:Q99" si="27">+L99+I99+F99</f>
        <v>0</v>
      </c>
      <c r="P99" s="60">
        <f t="shared" si="27"/>
        <v>13000</v>
      </c>
      <c r="Q99" s="62">
        <f t="shared" si="27"/>
        <v>0</v>
      </c>
      <c r="R99" s="161">
        <f t="shared" ref="R99:R149" si="28">+O99+P99+Q99</f>
        <v>13000</v>
      </c>
    </row>
    <row r="100" spans="1:18" s="15" customFormat="1" ht="30" x14ac:dyDescent="0.25">
      <c r="A100" s="17" t="s">
        <v>131</v>
      </c>
      <c r="B100" s="25" t="s">
        <v>217</v>
      </c>
      <c r="C100" s="18" t="s">
        <v>210</v>
      </c>
      <c r="D100" s="103" t="s">
        <v>30</v>
      </c>
      <c r="E100" s="86" t="s">
        <v>132</v>
      </c>
      <c r="F100" s="22"/>
      <c r="G100" s="20" t="e">
        <f>+#REF!</f>
        <v>#REF!</v>
      </c>
      <c r="H100" s="24"/>
      <c r="I100" s="22"/>
      <c r="J100" s="67" t="e">
        <f>+#REF!</f>
        <v>#REF!</v>
      </c>
      <c r="K100" s="68"/>
      <c r="L100" s="22"/>
      <c r="M100" s="67" t="e">
        <f>+#REF!</f>
        <v>#REF!</v>
      </c>
      <c r="N100" s="68"/>
      <c r="O100" s="59">
        <f t="shared" ref="O100:Q102" si="29">+L100+I100+F100</f>
        <v>0</v>
      </c>
      <c r="P100" s="60" t="e">
        <f t="shared" si="29"/>
        <v>#REF!</v>
      </c>
      <c r="Q100" s="62">
        <f t="shared" si="29"/>
        <v>0</v>
      </c>
      <c r="R100" s="161" t="e">
        <f t="shared" si="28"/>
        <v>#REF!</v>
      </c>
    </row>
    <row r="101" spans="1:18" s="15" customFormat="1" x14ac:dyDescent="0.25">
      <c r="A101" s="17" t="s">
        <v>131</v>
      </c>
      <c r="B101" s="25" t="s">
        <v>217</v>
      </c>
      <c r="C101" s="18" t="s">
        <v>211</v>
      </c>
      <c r="D101" s="103" t="s">
        <v>30</v>
      </c>
      <c r="E101" s="86" t="s">
        <v>132</v>
      </c>
      <c r="F101" s="22"/>
      <c r="G101" s="20" t="e">
        <f>+#REF!</f>
        <v>#REF!</v>
      </c>
      <c r="H101" s="24"/>
      <c r="I101" s="22"/>
      <c r="J101" s="67" t="e">
        <f>+#REF!</f>
        <v>#REF!</v>
      </c>
      <c r="K101" s="68"/>
      <c r="L101" s="22"/>
      <c r="M101" s="67" t="e">
        <f>+#REF!</f>
        <v>#REF!</v>
      </c>
      <c r="N101" s="68"/>
      <c r="O101" s="59">
        <f t="shared" si="29"/>
        <v>0</v>
      </c>
      <c r="P101" s="60" t="e">
        <f t="shared" si="29"/>
        <v>#REF!</v>
      </c>
      <c r="Q101" s="62">
        <f t="shared" si="29"/>
        <v>0</v>
      </c>
      <c r="R101" s="161" t="e">
        <f t="shared" si="28"/>
        <v>#REF!</v>
      </c>
    </row>
    <row r="102" spans="1:18" s="15" customFormat="1" ht="30" x14ac:dyDescent="0.25">
      <c r="A102" s="17" t="s">
        <v>131</v>
      </c>
      <c r="B102" s="25" t="s">
        <v>217</v>
      </c>
      <c r="C102" s="18" t="s">
        <v>83</v>
      </c>
      <c r="D102" s="103" t="s">
        <v>92</v>
      </c>
      <c r="E102" s="86" t="s">
        <v>215</v>
      </c>
      <c r="F102" s="22"/>
      <c r="G102" s="20">
        <f>+(2800*12*2)/15</f>
        <v>4480</v>
      </c>
      <c r="H102" s="24"/>
      <c r="I102" s="22"/>
      <c r="J102" s="67">
        <f>+(3100*12*2)/15</f>
        <v>4960</v>
      </c>
      <c r="K102" s="68"/>
      <c r="L102" s="22"/>
      <c r="M102" s="67">
        <f>+(3260*12*2)/15</f>
        <v>5216</v>
      </c>
      <c r="N102" s="68"/>
      <c r="O102" s="59">
        <f t="shared" si="29"/>
        <v>0</v>
      </c>
      <c r="P102" s="60">
        <f t="shared" si="29"/>
        <v>14656</v>
      </c>
      <c r="Q102" s="62">
        <f t="shared" si="29"/>
        <v>0</v>
      </c>
      <c r="R102" s="161">
        <f t="shared" si="28"/>
        <v>14656</v>
      </c>
    </row>
    <row r="103" spans="1:18" s="15" customFormat="1" ht="45" x14ac:dyDescent="0.25">
      <c r="A103" s="17" t="s">
        <v>131</v>
      </c>
      <c r="B103" s="25" t="s">
        <v>217</v>
      </c>
      <c r="C103" s="18" t="s">
        <v>212</v>
      </c>
      <c r="D103" s="103" t="s">
        <v>123</v>
      </c>
      <c r="E103" s="86" t="s">
        <v>132</v>
      </c>
      <c r="F103" s="22"/>
      <c r="G103" s="20" t="e">
        <f>+#REF!</f>
        <v>#REF!</v>
      </c>
      <c r="H103" s="24"/>
      <c r="I103" s="22"/>
      <c r="J103" s="67" t="e">
        <f>+#REF!</f>
        <v>#REF!</v>
      </c>
      <c r="K103" s="68"/>
      <c r="L103" s="22"/>
      <c r="M103" s="67" t="e">
        <f>+#REF!</f>
        <v>#REF!</v>
      </c>
      <c r="N103" s="68"/>
      <c r="O103" s="59">
        <f t="shared" ref="O103:Q106" si="30">+L103+I103+F103</f>
        <v>0</v>
      </c>
      <c r="P103" s="60" t="e">
        <f t="shared" si="30"/>
        <v>#REF!</v>
      </c>
      <c r="Q103" s="62">
        <f t="shared" si="30"/>
        <v>0</v>
      </c>
      <c r="R103" s="161" t="e">
        <f t="shared" si="28"/>
        <v>#REF!</v>
      </c>
    </row>
    <row r="104" spans="1:18" s="15" customFormat="1" ht="60" x14ac:dyDescent="0.25">
      <c r="A104" s="17" t="s">
        <v>131</v>
      </c>
      <c r="B104" s="25" t="s">
        <v>217</v>
      </c>
      <c r="C104" s="18" t="s">
        <v>213</v>
      </c>
      <c r="D104" s="103" t="s">
        <v>118</v>
      </c>
      <c r="E104" s="86" t="s">
        <v>132</v>
      </c>
      <c r="F104" s="22"/>
      <c r="G104" s="20" t="e">
        <f>+#REF!</f>
        <v>#REF!</v>
      </c>
      <c r="H104" s="24"/>
      <c r="I104" s="22"/>
      <c r="J104" s="67" t="e">
        <f>+#REF!</f>
        <v>#REF!</v>
      </c>
      <c r="K104" s="68"/>
      <c r="L104" s="22"/>
      <c r="M104" s="67" t="e">
        <f>+#REF!</f>
        <v>#REF!</v>
      </c>
      <c r="N104" s="68"/>
      <c r="O104" s="59">
        <f t="shared" si="30"/>
        <v>0</v>
      </c>
      <c r="P104" s="60" t="e">
        <f t="shared" si="30"/>
        <v>#REF!</v>
      </c>
      <c r="Q104" s="62">
        <f t="shared" si="30"/>
        <v>0</v>
      </c>
      <c r="R104" s="161" t="e">
        <f t="shared" si="28"/>
        <v>#REF!</v>
      </c>
    </row>
    <row r="105" spans="1:18" s="15" customFormat="1" ht="60" x14ac:dyDescent="0.25">
      <c r="A105" s="17" t="s">
        <v>131</v>
      </c>
      <c r="B105" s="25" t="s">
        <v>217</v>
      </c>
      <c r="C105" s="18" t="s">
        <v>214</v>
      </c>
      <c r="D105" s="103" t="s">
        <v>117</v>
      </c>
      <c r="E105" s="86" t="s">
        <v>132</v>
      </c>
      <c r="F105" s="22"/>
      <c r="G105" s="20" t="e">
        <f>+#REF!</f>
        <v>#REF!</v>
      </c>
      <c r="H105" s="24"/>
      <c r="I105" s="22"/>
      <c r="J105" s="67" t="e">
        <f>+#REF!</f>
        <v>#REF!</v>
      </c>
      <c r="K105" s="68"/>
      <c r="L105" s="22"/>
      <c r="M105" s="67" t="e">
        <f>+#REF!</f>
        <v>#REF!</v>
      </c>
      <c r="N105" s="68"/>
      <c r="O105" s="59">
        <f t="shared" si="30"/>
        <v>0</v>
      </c>
      <c r="P105" s="60" t="e">
        <f t="shared" si="30"/>
        <v>#REF!</v>
      </c>
      <c r="Q105" s="62">
        <f t="shared" si="30"/>
        <v>0</v>
      </c>
      <c r="R105" s="161" t="e">
        <f t="shared" si="28"/>
        <v>#REF!</v>
      </c>
    </row>
    <row r="106" spans="1:18" s="15" customFormat="1" ht="30" x14ac:dyDescent="0.25">
      <c r="A106" s="17" t="s">
        <v>131</v>
      </c>
      <c r="B106" s="25" t="s">
        <v>217</v>
      </c>
      <c r="C106" s="18" t="s">
        <v>83</v>
      </c>
      <c r="D106" s="103" t="s">
        <v>92</v>
      </c>
      <c r="E106" s="86" t="s">
        <v>215</v>
      </c>
      <c r="F106" s="22"/>
      <c r="G106" s="20">
        <f>+(2800*12*8)/15</f>
        <v>17920</v>
      </c>
      <c r="H106" s="24"/>
      <c r="I106" s="22"/>
      <c r="J106" s="67">
        <f>+(3100*12*8)/15</f>
        <v>19840</v>
      </c>
      <c r="K106" s="68"/>
      <c r="L106" s="22"/>
      <c r="M106" s="67">
        <f>+(3260*12*8)/15</f>
        <v>20864</v>
      </c>
      <c r="N106" s="68"/>
      <c r="O106" s="59">
        <f t="shared" si="30"/>
        <v>0</v>
      </c>
      <c r="P106" s="60">
        <f t="shared" si="30"/>
        <v>58624</v>
      </c>
      <c r="Q106" s="62">
        <f t="shared" si="30"/>
        <v>0</v>
      </c>
      <c r="R106" s="161">
        <f t="shared" si="28"/>
        <v>58624</v>
      </c>
    </row>
    <row r="107" spans="1:18" ht="30" x14ac:dyDescent="0.25">
      <c r="A107" s="75" t="s">
        <v>131</v>
      </c>
      <c r="B107" s="25" t="s">
        <v>217</v>
      </c>
      <c r="C107" s="75" t="s">
        <v>115</v>
      </c>
      <c r="D107" s="75" t="s">
        <v>116</v>
      </c>
      <c r="E107" s="56" t="s">
        <v>133</v>
      </c>
      <c r="F107" s="91">
        <f>1200*6</f>
        <v>7200</v>
      </c>
      <c r="G107" s="92"/>
      <c r="H107" s="93"/>
      <c r="I107" s="91">
        <v>0</v>
      </c>
      <c r="J107" s="20"/>
      <c r="K107" s="24"/>
      <c r="L107" s="91">
        <v>0</v>
      </c>
      <c r="M107" s="20"/>
      <c r="N107" s="24"/>
      <c r="O107" s="59">
        <f t="shared" ref="O107:Q107" si="31">+L107+I107+F107</f>
        <v>7200</v>
      </c>
      <c r="P107" s="60">
        <f t="shared" si="31"/>
        <v>0</v>
      </c>
      <c r="Q107" s="62">
        <f t="shared" si="31"/>
        <v>0</v>
      </c>
      <c r="R107" s="161">
        <f t="shared" si="28"/>
        <v>7200</v>
      </c>
    </row>
    <row r="108" spans="1:18" s="15" customFormat="1" ht="60" x14ac:dyDescent="0.25">
      <c r="A108" s="17" t="s">
        <v>131</v>
      </c>
      <c r="B108" s="25" t="s">
        <v>217</v>
      </c>
      <c r="C108" s="18" t="s">
        <v>11</v>
      </c>
      <c r="D108" s="18" t="s">
        <v>114</v>
      </c>
      <c r="E108" s="18" t="s">
        <v>136</v>
      </c>
      <c r="F108" s="22">
        <f>330*2*35+80*35*2*2</f>
        <v>34300</v>
      </c>
      <c r="G108" s="20"/>
      <c r="H108" s="24"/>
      <c r="I108" s="22">
        <v>46305</v>
      </c>
      <c r="J108" s="99"/>
      <c r="K108" s="23"/>
      <c r="L108" s="22">
        <v>67142</v>
      </c>
      <c r="M108" s="99"/>
      <c r="N108" s="23"/>
      <c r="O108" s="59">
        <f t="shared" ref="O108:Q109" si="32">+L108+I108+F108</f>
        <v>147747</v>
      </c>
      <c r="P108" s="60">
        <f t="shared" si="32"/>
        <v>0</v>
      </c>
      <c r="Q108" s="62">
        <f t="shared" si="32"/>
        <v>0</v>
      </c>
      <c r="R108" s="161">
        <f t="shared" si="28"/>
        <v>147747</v>
      </c>
    </row>
    <row r="109" spans="1:18" ht="45" x14ac:dyDescent="0.25">
      <c r="A109" s="65" t="s">
        <v>131</v>
      </c>
      <c r="B109" s="25" t="s">
        <v>217</v>
      </c>
      <c r="C109" s="75" t="s">
        <v>9</v>
      </c>
      <c r="D109" s="75" t="s">
        <v>107</v>
      </c>
      <c r="E109" s="75" t="s">
        <v>136</v>
      </c>
      <c r="F109" s="91">
        <f>130*30</f>
        <v>3900</v>
      </c>
      <c r="G109" s="92"/>
      <c r="H109" s="93"/>
      <c r="I109" s="91">
        <v>5265</v>
      </c>
      <c r="J109" s="20"/>
      <c r="K109" s="24"/>
      <c r="L109" s="91">
        <v>7634</v>
      </c>
      <c r="M109" s="20"/>
      <c r="N109" s="24"/>
      <c r="O109" s="59">
        <f t="shared" si="32"/>
        <v>16799</v>
      </c>
      <c r="P109" s="60">
        <f t="shared" si="32"/>
        <v>0</v>
      </c>
      <c r="Q109" s="62">
        <f t="shared" si="32"/>
        <v>0</v>
      </c>
      <c r="R109" s="161">
        <f t="shared" si="28"/>
        <v>16799</v>
      </c>
    </row>
    <row r="110" spans="1:18" x14ac:dyDescent="0.25">
      <c r="A110" s="65" t="s">
        <v>131</v>
      </c>
      <c r="B110" s="25" t="s">
        <v>217</v>
      </c>
      <c r="C110" s="75" t="s">
        <v>75</v>
      </c>
      <c r="D110" s="75"/>
      <c r="E110" s="105" t="s">
        <v>135</v>
      </c>
      <c r="F110" s="91">
        <v>20000</v>
      </c>
      <c r="G110" s="92"/>
      <c r="H110" s="93"/>
      <c r="I110" s="91">
        <v>23000</v>
      </c>
      <c r="J110" s="20"/>
      <c r="K110" s="24"/>
      <c r="L110" s="91">
        <v>26000</v>
      </c>
      <c r="M110" s="20"/>
      <c r="N110" s="24"/>
      <c r="O110" s="59">
        <f t="shared" ref="O110:Q110" si="33">+L110+I110+F110</f>
        <v>69000</v>
      </c>
      <c r="P110" s="60">
        <f t="shared" si="33"/>
        <v>0</v>
      </c>
      <c r="Q110" s="62">
        <f t="shared" si="33"/>
        <v>0</v>
      </c>
      <c r="R110" s="161">
        <f t="shared" si="28"/>
        <v>69000</v>
      </c>
    </row>
    <row r="111" spans="1:18" s="15" customFormat="1" ht="45" x14ac:dyDescent="0.25">
      <c r="A111" s="17" t="s">
        <v>218</v>
      </c>
      <c r="B111" s="25" t="s">
        <v>361</v>
      </c>
      <c r="C111" s="18" t="s">
        <v>220</v>
      </c>
      <c r="D111" s="103">
        <v>0.15</v>
      </c>
      <c r="E111" s="86" t="s">
        <v>221</v>
      </c>
      <c r="F111" s="22">
        <v>6808801.3513782118</v>
      </c>
      <c r="G111" s="20"/>
      <c r="H111" s="24"/>
      <c r="I111" s="22"/>
      <c r="J111" s="67"/>
      <c r="K111" s="68"/>
      <c r="L111" s="22"/>
      <c r="M111" s="67"/>
      <c r="N111" s="68"/>
      <c r="O111" s="59">
        <f t="shared" ref="O111:Q121" si="34">+L111+I111+F111</f>
        <v>6808801.3513782118</v>
      </c>
      <c r="P111" s="60">
        <f t="shared" si="34"/>
        <v>0</v>
      </c>
      <c r="Q111" s="62">
        <f t="shared" si="34"/>
        <v>0</v>
      </c>
      <c r="R111" s="161">
        <f t="shared" si="28"/>
        <v>6808801.3513782118</v>
      </c>
    </row>
    <row r="112" spans="1:18" s="15" customFormat="1" ht="30" x14ac:dyDescent="0.25">
      <c r="A112" s="17" t="s">
        <v>218</v>
      </c>
      <c r="B112" s="25" t="s">
        <v>361</v>
      </c>
      <c r="C112" s="18" t="s">
        <v>222</v>
      </c>
      <c r="D112" s="103">
        <v>0.05</v>
      </c>
      <c r="E112" s="86" t="s">
        <v>221</v>
      </c>
      <c r="F112" s="22"/>
      <c r="G112" s="20"/>
      <c r="H112" s="24"/>
      <c r="I112" s="22">
        <v>2269600.4504594039</v>
      </c>
      <c r="J112" s="67"/>
      <c r="K112" s="68"/>
      <c r="L112" s="22"/>
      <c r="M112" s="67"/>
      <c r="N112" s="68"/>
      <c r="O112" s="59">
        <f t="shared" si="34"/>
        <v>2269600.4504594039</v>
      </c>
      <c r="P112" s="60">
        <f t="shared" si="34"/>
        <v>0</v>
      </c>
      <c r="Q112" s="62">
        <f t="shared" si="34"/>
        <v>0</v>
      </c>
      <c r="R112" s="161">
        <f t="shared" si="28"/>
        <v>2269600.4504594039</v>
      </c>
    </row>
    <row r="113" spans="1:18" s="15" customFormat="1" ht="30" x14ac:dyDescent="0.25">
      <c r="A113" s="17" t="s">
        <v>218</v>
      </c>
      <c r="B113" s="25" t="s">
        <v>361</v>
      </c>
      <c r="C113" s="18" t="s">
        <v>223</v>
      </c>
      <c r="D113" s="103">
        <v>0.05</v>
      </c>
      <c r="E113" s="86" t="s">
        <v>221</v>
      </c>
      <c r="F113" s="22">
        <v>2269600.4504594039</v>
      </c>
      <c r="G113" s="20"/>
      <c r="H113" s="24"/>
      <c r="I113" s="22"/>
      <c r="J113" s="67"/>
      <c r="K113" s="68"/>
      <c r="L113" s="22"/>
      <c r="M113" s="67"/>
      <c r="N113" s="68"/>
      <c r="O113" s="59">
        <f t="shared" si="34"/>
        <v>2269600.4504594039</v>
      </c>
      <c r="P113" s="60">
        <f t="shared" si="34"/>
        <v>0</v>
      </c>
      <c r="Q113" s="62">
        <f t="shared" si="34"/>
        <v>0</v>
      </c>
      <c r="R113" s="161">
        <f t="shared" si="28"/>
        <v>2269600.4504594039</v>
      </c>
    </row>
    <row r="114" spans="1:18" s="15" customFormat="1" x14ac:dyDescent="0.25">
      <c r="A114" s="17" t="s">
        <v>218</v>
      </c>
      <c r="B114" s="25" t="s">
        <v>361</v>
      </c>
      <c r="C114" s="18" t="s">
        <v>224</v>
      </c>
      <c r="D114" s="103">
        <v>0.1</v>
      </c>
      <c r="E114" s="86" t="s">
        <v>221</v>
      </c>
      <c r="F114" s="22">
        <v>4539200.9009188078</v>
      </c>
      <c r="G114" s="20"/>
      <c r="H114" s="24"/>
      <c r="I114" s="22"/>
      <c r="J114" s="67"/>
      <c r="K114" s="68"/>
      <c r="L114" s="22"/>
      <c r="M114" s="67"/>
      <c r="N114" s="68"/>
      <c r="O114" s="59">
        <f t="shared" si="34"/>
        <v>4539200.9009188078</v>
      </c>
      <c r="P114" s="60">
        <f t="shared" si="34"/>
        <v>0</v>
      </c>
      <c r="Q114" s="62">
        <f t="shared" si="34"/>
        <v>0</v>
      </c>
      <c r="R114" s="161">
        <f t="shared" si="28"/>
        <v>4539200.9009188078</v>
      </c>
    </row>
    <row r="115" spans="1:18" s="15" customFormat="1" ht="30" x14ac:dyDescent="0.25">
      <c r="A115" s="17" t="s">
        <v>218</v>
      </c>
      <c r="B115" s="25" t="s">
        <v>361</v>
      </c>
      <c r="C115" s="18" t="s">
        <v>225</v>
      </c>
      <c r="D115" s="103">
        <v>0.1</v>
      </c>
      <c r="E115" s="86" t="s">
        <v>221</v>
      </c>
      <c r="F115" s="22"/>
      <c r="G115" s="20"/>
      <c r="H115" s="24"/>
      <c r="I115" s="22"/>
      <c r="J115" s="67"/>
      <c r="K115" s="68"/>
      <c r="L115" s="22">
        <v>4539200.9009188078</v>
      </c>
      <c r="M115" s="67"/>
      <c r="N115" s="68"/>
      <c r="O115" s="59">
        <f t="shared" si="34"/>
        <v>4539200.9009188078</v>
      </c>
      <c r="P115" s="60">
        <f t="shared" si="34"/>
        <v>0</v>
      </c>
      <c r="Q115" s="62">
        <f t="shared" si="34"/>
        <v>0</v>
      </c>
      <c r="R115" s="161">
        <f t="shared" si="28"/>
        <v>4539200.9009188078</v>
      </c>
    </row>
    <row r="116" spans="1:18" s="15" customFormat="1" ht="45" x14ac:dyDescent="0.25">
      <c r="A116" s="17" t="s">
        <v>218</v>
      </c>
      <c r="B116" s="25" t="s">
        <v>361</v>
      </c>
      <c r="C116" s="18" t="s">
        <v>226</v>
      </c>
      <c r="D116" s="103">
        <v>0.1</v>
      </c>
      <c r="E116" s="86" t="s">
        <v>221</v>
      </c>
      <c r="F116" s="22">
        <v>4539200.9009188078</v>
      </c>
      <c r="G116" s="20"/>
      <c r="H116" s="24"/>
      <c r="I116" s="22"/>
      <c r="J116" s="67"/>
      <c r="K116" s="68"/>
      <c r="L116" s="22"/>
      <c r="M116" s="67"/>
      <c r="N116" s="68"/>
      <c r="O116" s="59">
        <f t="shared" si="34"/>
        <v>4539200.9009188078</v>
      </c>
      <c r="P116" s="60">
        <f t="shared" si="34"/>
        <v>0</v>
      </c>
      <c r="Q116" s="62">
        <f t="shared" si="34"/>
        <v>0</v>
      </c>
      <c r="R116" s="161">
        <f t="shared" si="28"/>
        <v>4539200.9009188078</v>
      </c>
    </row>
    <row r="117" spans="1:18" s="15" customFormat="1" ht="45" x14ac:dyDescent="0.25">
      <c r="A117" s="17" t="s">
        <v>218</v>
      </c>
      <c r="B117" s="25" t="s">
        <v>361</v>
      </c>
      <c r="C117" s="18" t="s">
        <v>227</v>
      </c>
      <c r="D117" s="103">
        <v>0.1</v>
      </c>
      <c r="E117" s="86" t="s">
        <v>221</v>
      </c>
      <c r="F117" s="22"/>
      <c r="G117" s="20"/>
      <c r="H117" s="24"/>
      <c r="I117" s="22">
        <v>4539200.9009188078</v>
      </c>
      <c r="J117" s="67"/>
      <c r="K117" s="68"/>
      <c r="L117" s="22"/>
      <c r="M117" s="67"/>
      <c r="N117" s="68"/>
      <c r="O117" s="59">
        <f t="shared" si="34"/>
        <v>4539200.9009188078</v>
      </c>
      <c r="P117" s="60">
        <f t="shared" si="34"/>
        <v>0</v>
      </c>
      <c r="Q117" s="62">
        <f t="shared" si="34"/>
        <v>0</v>
      </c>
      <c r="R117" s="161">
        <f t="shared" si="28"/>
        <v>4539200.9009188078</v>
      </c>
    </row>
    <row r="118" spans="1:18" s="15" customFormat="1" ht="30" x14ac:dyDescent="0.25">
      <c r="A118" s="17" t="s">
        <v>218</v>
      </c>
      <c r="B118" s="25" t="s">
        <v>361</v>
      </c>
      <c r="C118" s="18" t="s">
        <v>228</v>
      </c>
      <c r="D118" s="103">
        <v>0.1</v>
      </c>
      <c r="E118" s="86" t="s">
        <v>221</v>
      </c>
      <c r="F118" s="22">
        <v>4539200.9009188078</v>
      </c>
      <c r="G118" s="20"/>
      <c r="H118" s="24"/>
      <c r="I118" s="22"/>
      <c r="J118" s="67"/>
      <c r="K118" s="68"/>
      <c r="L118" s="22"/>
      <c r="M118" s="67"/>
      <c r="N118" s="68"/>
      <c r="O118" s="59">
        <f t="shared" si="34"/>
        <v>4539200.9009188078</v>
      </c>
      <c r="P118" s="60">
        <f t="shared" si="34"/>
        <v>0</v>
      </c>
      <c r="Q118" s="62">
        <f t="shared" si="34"/>
        <v>0</v>
      </c>
      <c r="R118" s="161">
        <f t="shared" si="28"/>
        <v>4539200.9009188078</v>
      </c>
    </row>
    <row r="119" spans="1:18" s="15" customFormat="1" ht="30" x14ac:dyDescent="0.25">
      <c r="A119" s="17" t="s">
        <v>218</v>
      </c>
      <c r="B119" s="25" t="s">
        <v>361</v>
      </c>
      <c r="C119" s="18" t="s">
        <v>229</v>
      </c>
      <c r="D119" s="103">
        <v>0.05</v>
      </c>
      <c r="E119" s="86" t="s">
        <v>221</v>
      </c>
      <c r="F119" s="22"/>
      <c r="G119" s="20"/>
      <c r="H119" s="24"/>
      <c r="I119" s="22">
        <v>2269600.4504594039</v>
      </c>
      <c r="J119" s="67"/>
      <c r="K119" s="68"/>
      <c r="L119" s="22"/>
      <c r="M119" s="67"/>
      <c r="N119" s="68"/>
      <c r="O119" s="59">
        <f t="shared" si="34"/>
        <v>2269600.4504594039</v>
      </c>
      <c r="P119" s="60">
        <f t="shared" si="34"/>
        <v>0</v>
      </c>
      <c r="Q119" s="62">
        <f t="shared" si="34"/>
        <v>0</v>
      </c>
      <c r="R119" s="161">
        <f t="shared" si="28"/>
        <v>2269600.4504594039</v>
      </c>
    </row>
    <row r="120" spans="1:18" s="15" customFormat="1" ht="45" x14ac:dyDescent="0.25">
      <c r="A120" s="17" t="s">
        <v>218</v>
      </c>
      <c r="B120" s="25" t="s">
        <v>361</v>
      </c>
      <c r="C120" s="18" t="s">
        <v>230</v>
      </c>
      <c r="D120" s="103">
        <v>0.1</v>
      </c>
      <c r="E120" s="86" t="s">
        <v>221</v>
      </c>
      <c r="F120" s="22"/>
      <c r="G120" s="20"/>
      <c r="H120" s="24"/>
      <c r="I120" s="22">
        <v>4539200.9009188078</v>
      </c>
      <c r="J120" s="67"/>
      <c r="K120" s="68"/>
      <c r="L120" s="22"/>
      <c r="M120" s="67"/>
      <c r="N120" s="68"/>
      <c r="O120" s="59">
        <f t="shared" si="34"/>
        <v>4539200.9009188078</v>
      </c>
      <c r="P120" s="60">
        <f t="shared" si="34"/>
        <v>0</v>
      </c>
      <c r="Q120" s="62">
        <f t="shared" si="34"/>
        <v>0</v>
      </c>
      <c r="R120" s="161">
        <f t="shared" si="28"/>
        <v>4539200.9009188078</v>
      </c>
    </row>
    <row r="121" spans="1:18" s="15" customFormat="1" ht="45" x14ac:dyDescent="0.25">
      <c r="A121" s="17" t="s">
        <v>218</v>
      </c>
      <c r="B121" s="25" t="s">
        <v>361</v>
      </c>
      <c r="C121" s="18" t="s">
        <v>231</v>
      </c>
      <c r="D121" s="103">
        <v>0.1</v>
      </c>
      <c r="E121" s="86" t="s">
        <v>221</v>
      </c>
      <c r="F121" s="22"/>
      <c r="G121" s="20"/>
      <c r="H121" s="24"/>
      <c r="I121" s="22"/>
      <c r="J121" s="67"/>
      <c r="K121" s="68"/>
      <c r="L121" s="22">
        <v>4539200.9009188078</v>
      </c>
      <c r="M121" s="67"/>
      <c r="N121" s="68"/>
      <c r="O121" s="59">
        <f t="shared" si="34"/>
        <v>4539200.9009188078</v>
      </c>
      <c r="P121" s="60">
        <f t="shared" si="34"/>
        <v>0</v>
      </c>
      <c r="Q121" s="62">
        <f t="shared" si="34"/>
        <v>0</v>
      </c>
      <c r="R121" s="161">
        <f t="shared" si="28"/>
        <v>4539200.9009188078</v>
      </c>
    </row>
    <row r="122" spans="1:18" s="15" customFormat="1" ht="45" x14ac:dyDescent="0.25">
      <c r="A122" s="17" t="s">
        <v>218</v>
      </c>
      <c r="B122" s="25" t="s">
        <v>362</v>
      </c>
      <c r="C122" s="18" t="s">
        <v>233</v>
      </c>
      <c r="D122" s="103" t="s">
        <v>234</v>
      </c>
      <c r="E122" s="86" t="s">
        <v>221</v>
      </c>
      <c r="F122" s="22">
        <v>200000</v>
      </c>
      <c r="G122" s="20"/>
      <c r="H122" s="24"/>
      <c r="I122" s="22">
        <v>200000</v>
      </c>
      <c r="J122" s="67"/>
      <c r="K122" s="68"/>
      <c r="L122" s="22">
        <v>200000</v>
      </c>
      <c r="M122" s="67"/>
      <c r="N122" s="68"/>
      <c r="O122" s="59">
        <f t="shared" ref="O122:Q124" si="35">+L122+I122+F122</f>
        <v>600000</v>
      </c>
      <c r="P122" s="60">
        <f t="shared" si="35"/>
        <v>0</v>
      </c>
      <c r="Q122" s="62">
        <f t="shared" si="35"/>
        <v>0</v>
      </c>
      <c r="R122" s="161">
        <f t="shared" si="28"/>
        <v>600000</v>
      </c>
    </row>
    <row r="123" spans="1:18" s="15" customFormat="1" x14ac:dyDescent="0.25">
      <c r="A123" s="17" t="s">
        <v>218</v>
      </c>
      <c r="B123" s="25" t="s">
        <v>362</v>
      </c>
      <c r="C123" s="18" t="s">
        <v>236</v>
      </c>
      <c r="D123" s="103" t="s">
        <v>237</v>
      </c>
      <c r="E123" s="86" t="s">
        <v>238</v>
      </c>
      <c r="F123" s="22"/>
      <c r="G123" s="20">
        <v>1300</v>
      </c>
      <c r="H123" s="24"/>
      <c r="I123" s="22"/>
      <c r="J123" s="67">
        <v>1300</v>
      </c>
      <c r="K123" s="68"/>
      <c r="L123" s="22"/>
      <c r="M123" s="67">
        <v>1300</v>
      </c>
      <c r="N123" s="68"/>
      <c r="O123" s="59">
        <f t="shared" si="35"/>
        <v>0</v>
      </c>
      <c r="P123" s="60">
        <f t="shared" si="35"/>
        <v>3900</v>
      </c>
      <c r="Q123" s="62">
        <f t="shared" si="35"/>
        <v>0</v>
      </c>
      <c r="R123" s="161">
        <f t="shared" si="28"/>
        <v>3900</v>
      </c>
    </row>
    <row r="124" spans="1:18" s="15" customFormat="1" x14ac:dyDescent="0.25">
      <c r="A124" s="17" t="s">
        <v>218</v>
      </c>
      <c r="B124" s="25" t="s">
        <v>362</v>
      </c>
      <c r="C124" s="18" t="s">
        <v>34</v>
      </c>
      <c r="D124" s="103" t="s">
        <v>239</v>
      </c>
      <c r="E124" s="86" t="s">
        <v>240</v>
      </c>
      <c r="F124" s="22">
        <f>6333.33333333333*0.6</f>
        <v>3799.9999999999982</v>
      </c>
      <c r="G124" s="20">
        <f>6333*0.4</f>
        <v>2533.2000000000003</v>
      </c>
      <c r="H124" s="24"/>
      <c r="I124" s="22">
        <f>6333.33333333333*0.6</f>
        <v>3799.9999999999982</v>
      </c>
      <c r="J124" s="67">
        <f>6333*0.4</f>
        <v>2533.2000000000003</v>
      </c>
      <c r="K124" s="68"/>
      <c r="L124" s="22">
        <f>6333.33333333333*0.6</f>
        <v>3799.9999999999982</v>
      </c>
      <c r="M124" s="67">
        <f>6333*0.4</f>
        <v>2533.2000000000003</v>
      </c>
      <c r="N124" s="68"/>
      <c r="O124" s="59">
        <f t="shared" si="35"/>
        <v>11399.999999999995</v>
      </c>
      <c r="P124" s="60">
        <f t="shared" si="35"/>
        <v>7599.6</v>
      </c>
      <c r="Q124" s="62">
        <f t="shared" si="35"/>
        <v>0</v>
      </c>
      <c r="R124" s="161">
        <f t="shared" si="28"/>
        <v>18999.599999999995</v>
      </c>
    </row>
    <row r="125" spans="1:18" s="15" customFormat="1" x14ac:dyDescent="0.25">
      <c r="A125" s="17" t="s">
        <v>218</v>
      </c>
      <c r="B125" s="25" t="s">
        <v>400</v>
      </c>
      <c r="C125" s="18" t="s">
        <v>242</v>
      </c>
      <c r="D125" s="103" t="s">
        <v>243</v>
      </c>
      <c r="E125" s="86" t="s">
        <v>221</v>
      </c>
      <c r="F125" s="22">
        <v>60000</v>
      </c>
      <c r="G125" s="20"/>
      <c r="H125" s="24"/>
      <c r="I125" s="22">
        <v>30000</v>
      </c>
      <c r="J125" s="67"/>
      <c r="K125" s="68"/>
      <c r="L125" s="22">
        <v>20000</v>
      </c>
      <c r="M125" s="67"/>
      <c r="N125" s="68"/>
      <c r="O125" s="59">
        <f t="shared" ref="O125:Q125" si="36">+L125+I125+F125</f>
        <v>110000</v>
      </c>
      <c r="P125" s="60">
        <f t="shared" si="36"/>
        <v>0</v>
      </c>
      <c r="Q125" s="62">
        <f t="shared" si="36"/>
        <v>0</v>
      </c>
      <c r="R125" s="161">
        <f t="shared" si="28"/>
        <v>110000</v>
      </c>
    </row>
    <row r="126" spans="1:18" s="15" customFormat="1" x14ac:dyDescent="0.25">
      <c r="A126" s="17" t="s">
        <v>218</v>
      </c>
      <c r="B126" s="25" t="s">
        <v>401</v>
      </c>
      <c r="C126" s="18" t="s">
        <v>245</v>
      </c>
      <c r="D126" s="103" t="s">
        <v>246</v>
      </c>
      <c r="E126" s="86" t="s">
        <v>134</v>
      </c>
      <c r="F126" s="22">
        <v>0</v>
      </c>
      <c r="G126" s="20"/>
      <c r="H126" s="24"/>
      <c r="I126" s="22">
        <f>1900000*0.2</f>
        <v>380000</v>
      </c>
      <c r="J126" s="67"/>
      <c r="K126" s="68"/>
      <c r="L126" s="22">
        <v>0</v>
      </c>
      <c r="M126" s="67"/>
      <c r="N126" s="68"/>
      <c r="O126" s="59">
        <f t="shared" ref="O126:Q130" si="37">+L126+I126+F126</f>
        <v>380000</v>
      </c>
      <c r="P126" s="60">
        <f t="shared" si="37"/>
        <v>0</v>
      </c>
      <c r="Q126" s="62">
        <f t="shared" si="37"/>
        <v>0</v>
      </c>
      <c r="R126" s="161">
        <f t="shared" si="28"/>
        <v>380000</v>
      </c>
    </row>
    <row r="127" spans="1:18" s="15" customFormat="1" x14ac:dyDescent="0.25">
      <c r="A127" s="17" t="s">
        <v>218</v>
      </c>
      <c r="B127" s="25" t="s">
        <v>401</v>
      </c>
      <c r="C127" s="18" t="s">
        <v>247</v>
      </c>
      <c r="D127" s="103"/>
      <c r="E127" s="86" t="s">
        <v>134</v>
      </c>
      <c r="F127" s="22">
        <v>60545.728927999997</v>
      </c>
      <c r="G127" s="20"/>
      <c r="H127" s="24"/>
      <c r="I127" s="22">
        <v>30000</v>
      </c>
      <c r="J127" s="67"/>
      <c r="K127" s="68"/>
      <c r="L127" s="22">
        <v>30000</v>
      </c>
      <c r="M127" s="67"/>
      <c r="N127" s="68"/>
      <c r="O127" s="59">
        <f t="shared" si="37"/>
        <v>120545.728928</v>
      </c>
      <c r="P127" s="60">
        <f t="shared" si="37"/>
        <v>0</v>
      </c>
      <c r="Q127" s="62">
        <f t="shared" si="37"/>
        <v>0</v>
      </c>
      <c r="R127" s="161">
        <f t="shared" si="28"/>
        <v>120545.728928</v>
      </c>
    </row>
    <row r="128" spans="1:18" s="15" customFormat="1" x14ac:dyDescent="0.25">
      <c r="A128" s="17" t="s">
        <v>218</v>
      </c>
      <c r="B128" s="25" t="s">
        <v>401</v>
      </c>
      <c r="C128" s="18" t="s">
        <v>249</v>
      </c>
      <c r="D128" s="103"/>
      <c r="E128" s="86" t="s">
        <v>134</v>
      </c>
      <c r="F128" s="22">
        <v>48000</v>
      </c>
      <c r="G128" s="20"/>
      <c r="H128" s="24"/>
      <c r="I128" s="22">
        <v>30000</v>
      </c>
      <c r="J128" s="67"/>
      <c r="K128" s="68"/>
      <c r="L128" s="22">
        <v>20000</v>
      </c>
      <c r="M128" s="67"/>
      <c r="N128" s="68"/>
      <c r="O128" s="59">
        <f t="shared" si="37"/>
        <v>98000</v>
      </c>
      <c r="P128" s="60">
        <f t="shared" si="37"/>
        <v>0</v>
      </c>
      <c r="Q128" s="62">
        <f t="shared" si="37"/>
        <v>0</v>
      </c>
      <c r="R128" s="161">
        <f t="shared" si="28"/>
        <v>98000</v>
      </c>
    </row>
    <row r="129" spans="1:18" s="15" customFormat="1" x14ac:dyDescent="0.25">
      <c r="A129" s="17" t="s">
        <v>218</v>
      </c>
      <c r="B129" s="25" t="s">
        <v>401</v>
      </c>
      <c r="C129" s="18" t="s">
        <v>250</v>
      </c>
      <c r="D129" s="103"/>
      <c r="E129" s="86" t="s">
        <v>134</v>
      </c>
      <c r="F129" s="22">
        <v>50000</v>
      </c>
      <c r="G129" s="20"/>
      <c r="H129" s="24"/>
      <c r="I129" s="22">
        <v>30000</v>
      </c>
      <c r="J129" s="67"/>
      <c r="K129" s="68"/>
      <c r="L129" s="22">
        <v>30000</v>
      </c>
      <c r="M129" s="67"/>
      <c r="N129" s="68"/>
      <c r="O129" s="59">
        <f t="shared" si="37"/>
        <v>110000</v>
      </c>
      <c r="P129" s="60">
        <f t="shared" si="37"/>
        <v>0</v>
      </c>
      <c r="Q129" s="62">
        <f t="shared" si="37"/>
        <v>0</v>
      </c>
      <c r="R129" s="161">
        <f t="shared" si="28"/>
        <v>110000</v>
      </c>
    </row>
    <row r="130" spans="1:18" s="15" customFormat="1" x14ac:dyDescent="0.25">
      <c r="A130" s="17" t="s">
        <v>218</v>
      </c>
      <c r="B130" s="25" t="s">
        <v>401</v>
      </c>
      <c r="C130" s="18" t="s">
        <v>251</v>
      </c>
      <c r="D130" s="103"/>
      <c r="E130" s="86" t="s">
        <v>134</v>
      </c>
      <c r="F130" s="22">
        <v>50000</v>
      </c>
      <c r="G130" s="20"/>
      <c r="H130" s="24"/>
      <c r="I130" s="22">
        <v>30000</v>
      </c>
      <c r="J130" s="67"/>
      <c r="K130" s="68"/>
      <c r="L130" s="22">
        <v>30000</v>
      </c>
      <c r="M130" s="67"/>
      <c r="N130" s="68"/>
      <c r="O130" s="59">
        <f t="shared" si="37"/>
        <v>110000</v>
      </c>
      <c r="P130" s="60">
        <f t="shared" si="37"/>
        <v>0</v>
      </c>
      <c r="Q130" s="62">
        <f t="shared" si="37"/>
        <v>0</v>
      </c>
      <c r="R130" s="161">
        <f t="shared" si="28"/>
        <v>110000</v>
      </c>
    </row>
    <row r="131" spans="1:18" s="15" customFormat="1" x14ac:dyDescent="0.25">
      <c r="A131" s="17" t="s">
        <v>218</v>
      </c>
      <c r="B131" s="25" t="s">
        <v>141</v>
      </c>
      <c r="C131" s="18" t="s">
        <v>253</v>
      </c>
      <c r="D131" s="103" t="s">
        <v>254</v>
      </c>
      <c r="E131" s="86" t="s">
        <v>132</v>
      </c>
      <c r="F131" s="22"/>
      <c r="G131" s="20" t="e">
        <f>+#REF!</f>
        <v>#REF!</v>
      </c>
      <c r="H131" s="24" t="e">
        <f>+#REF!</f>
        <v>#REF!</v>
      </c>
      <c r="I131" s="22"/>
      <c r="J131" s="67" t="e">
        <f>+#REF!</f>
        <v>#REF!</v>
      </c>
      <c r="K131" s="68" t="e">
        <f>+#REF!</f>
        <v>#REF!</v>
      </c>
      <c r="L131" s="22"/>
      <c r="M131" s="67" t="e">
        <f>+#REF!</f>
        <v>#REF!</v>
      </c>
      <c r="N131" s="68" t="e">
        <f>+#REF!</f>
        <v>#REF!</v>
      </c>
      <c r="O131" s="59">
        <f t="shared" ref="O131:Q165" si="38">+L131+I131+F131</f>
        <v>0</v>
      </c>
      <c r="P131" s="60" t="e">
        <f t="shared" si="38"/>
        <v>#REF!</v>
      </c>
      <c r="Q131" s="62" t="e">
        <f t="shared" si="38"/>
        <v>#REF!</v>
      </c>
      <c r="R131" s="161" t="e">
        <f t="shared" si="28"/>
        <v>#REF!</v>
      </c>
    </row>
    <row r="132" spans="1:18" s="15" customFormat="1" ht="30" x14ac:dyDescent="0.25">
      <c r="A132" s="17" t="s">
        <v>218</v>
      </c>
      <c r="B132" s="25" t="s">
        <v>141</v>
      </c>
      <c r="C132" s="18" t="s">
        <v>255</v>
      </c>
      <c r="D132" s="103" t="s">
        <v>256</v>
      </c>
      <c r="E132" s="86" t="s">
        <v>132</v>
      </c>
      <c r="F132" s="22"/>
      <c r="G132" s="20" t="e">
        <f>+#REF!</f>
        <v>#REF!</v>
      </c>
      <c r="H132" s="24" t="e">
        <f>+#REF!</f>
        <v>#REF!</v>
      </c>
      <c r="I132" s="22"/>
      <c r="J132" s="67" t="e">
        <f>+#REF!</f>
        <v>#REF!</v>
      </c>
      <c r="K132" s="68" t="e">
        <f>+#REF!</f>
        <v>#REF!</v>
      </c>
      <c r="L132" s="22"/>
      <c r="M132" s="67" t="e">
        <f>+#REF!</f>
        <v>#REF!</v>
      </c>
      <c r="N132" s="68" t="e">
        <f>+#REF!</f>
        <v>#REF!</v>
      </c>
      <c r="O132" s="59">
        <f t="shared" si="38"/>
        <v>0</v>
      </c>
      <c r="P132" s="60" t="e">
        <f t="shared" si="38"/>
        <v>#REF!</v>
      </c>
      <c r="Q132" s="62" t="e">
        <f t="shared" si="38"/>
        <v>#REF!</v>
      </c>
      <c r="R132" s="161" t="e">
        <f t="shared" si="28"/>
        <v>#REF!</v>
      </c>
    </row>
    <row r="133" spans="1:18" s="15" customFormat="1" x14ac:dyDescent="0.25">
      <c r="A133" s="17" t="s">
        <v>218</v>
      </c>
      <c r="B133" s="25" t="s">
        <v>141</v>
      </c>
      <c r="C133" s="18" t="s">
        <v>257</v>
      </c>
      <c r="D133" s="103" t="s">
        <v>258</v>
      </c>
      <c r="E133" s="86" t="s">
        <v>132</v>
      </c>
      <c r="F133" s="22"/>
      <c r="G133" s="20" t="e">
        <f>+#REF!</f>
        <v>#REF!</v>
      </c>
      <c r="H133" s="24" t="e">
        <f>+#REF!</f>
        <v>#REF!</v>
      </c>
      <c r="I133" s="22"/>
      <c r="J133" s="67" t="e">
        <f>+#REF!</f>
        <v>#REF!</v>
      </c>
      <c r="K133" s="68" t="e">
        <f>+#REF!</f>
        <v>#REF!</v>
      </c>
      <c r="L133" s="22"/>
      <c r="M133" s="67" t="e">
        <f>+#REF!</f>
        <v>#REF!</v>
      </c>
      <c r="N133" s="68" t="e">
        <f>+#REF!</f>
        <v>#REF!</v>
      </c>
      <c r="O133" s="59">
        <f t="shared" si="38"/>
        <v>0</v>
      </c>
      <c r="P133" s="60" t="e">
        <f t="shared" si="38"/>
        <v>#REF!</v>
      </c>
      <c r="Q133" s="62" t="e">
        <f t="shared" si="38"/>
        <v>#REF!</v>
      </c>
      <c r="R133" s="161" t="e">
        <f t="shared" si="28"/>
        <v>#REF!</v>
      </c>
    </row>
    <row r="134" spans="1:18" s="15" customFormat="1" ht="30" x14ac:dyDescent="0.25">
      <c r="A134" s="17" t="s">
        <v>218</v>
      </c>
      <c r="B134" s="25" t="s">
        <v>141</v>
      </c>
      <c r="C134" s="18" t="s">
        <v>259</v>
      </c>
      <c r="D134" s="103" t="s">
        <v>260</v>
      </c>
      <c r="E134" s="86" t="s">
        <v>132</v>
      </c>
      <c r="F134" s="22"/>
      <c r="G134" s="20" t="e">
        <f>+#REF!</f>
        <v>#REF!</v>
      </c>
      <c r="H134" s="24" t="e">
        <f>+#REF!</f>
        <v>#REF!</v>
      </c>
      <c r="I134" s="22"/>
      <c r="J134" s="67" t="e">
        <f>+#REF!</f>
        <v>#REF!</v>
      </c>
      <c r="K134" s="68" t="e">
        <f>+#REF!</f>
        <v>#REF!</v>
      </c>
      <c r="L134" s="22"/>
      <c r="M134" s="67" t="e">
        <f>+#REF!</f>
        <v>#REF!</v>
      </c>
      <c r="N134" s="68" t="e">
        <f>+#REF!</f>
        <v>#REF!</v>
      </c>
      <c r="O134" s="59">
        <f t="shared" si="38"/>
        <v>0</v>
      </c>
      <c r="P134" s="60" t="e">
        <f t="shared" si="38"/>
        <v>#REF!</v>
      </c>
      <c r="Q134" s="62" t="e">
        <f t="shared" si="38"/>
        <v>#REF!</v>
      </c>
      <c r="R134" s="161" t="e">
        <f t="shared" si="28"/>
        <v>#REF!</v>
      </c>
    </row>
    <row r="135" spans="1:18" s="15" customFormat="1" ht="30" x14ac:dyDescent="0.25">
      <c r="A135" s="17" t="s">
        <v>218</v>
      </c>
      <c r="B135" s="25" t="s">
        <v>141</v>
      </c>
      <c r="C135" s="18" t="s">
        <v>261</v>
      </c>
      <c r="D135" s="103" t="s">
        <v>260</v>
      </c>
      <c r="E135" s="86" t="s">
        <v>132</v>
      </c>
      <c r="F135" s="22"/>
      <c r="G135" s="20" t="e">
        <f>+#REF!</f>
        <v>#REF!</v>
      </c>
      <c r="H135" s="24" t="e">
        <f>+#REF!</f>
        <v>#REF!</v>
      </c>
      <c r="I135" s="22"/>
      <c r="J135" s="67" t="e">
        <f>+#REF!</f>
        <v>#REF!</v>
      </c>
      <c r="K135" s="68" t="e">
        <f>+#REF!</f>
        <v>#REF!</v>
      </c>
      <c r="L135" s="22"/>
      <c r="M135" s="67" t="e">
        <f>+#REF!</f>
        <v>#REF!</v>
      </c>
      <c r="N135" s="68" t="e">
        <f>+#REF!</f>
        <v>#REF!</v>
      </c>
      <c r="O135" s="59">
        <f t="shared" si="38"/>
        <v>0</v>
      </c>
      <c r="P135" s="60" t="e">
        <f t="shared" si="38"/>
        <v>#REF!</v>
      </c>
      <c r="Q135" s="62" t="e">
        <f t="shared" si="38"/>
        <v>#REF!</v>
      </c>
      <c r="R135" s="161" t="e">
        <f t="shared" si="28"/>
        <v>#REF!</v>
      </c>
    </row>
    <row r="136" spans="1:18" s="15" customFormat="1" x14ac:dyDescent="0.25">
      <c r="A136" s="17" t="s">
        <v>218</v>
      </c>
      <c r="B136" s="25" t="s">
        <v>141</v>
      </c>
      <c r="C136" s="18" t="s">
        <v>262</v>
      </c>
      <c r="D136" s="103" t="s">
        <v>263</v>
      </c>
      <c r="E136" s="86" t="s">
        <v>132</v>
      </c>
      <c r="F136" s="22"/>
      <c r="G136" s="20" t="e">
        <f>+#REF!</f>
        <v>#REF!</v>
      </c>
      <c r="H136" s="24" t="e">
        <f>+#REF!</f>
        <v>#REF!</v>
      </c>
      <c r="I136" s="22"/>
      <c r="J136" s="67" t="e">
        <f>+#REF!</f>
        <v>#REF!</v>
      </c>
      <c r="K136" s="68" t="e">
        <f>+#REF!</f>
        <v>#REF!</v>
      </c>
      <c r="L136" s="22"/>
      <c r="M136" s="67" t="e">
        <f>+#REF!</f>
        <v>#REF!</v>
      </c>
      <c r="N136" s="68" t="e">
        <f>+#REF!</f>
        <v>#REF!</v>
      </c>
      <c r="O136" s="59">
        <f t="shared" si="38"/>
        <v>0</v>
      </c>
      <c r="P136" s="60" t="e">
        <f t="shared" si="38"/>
        <v>#REF!</v>
      </c>
      <c r="Q136" s="62" t="e">
        <f t="shared" si="38"/>
        <v>#REF!</v>
      </c>
      <c r="R136" s="161" t="e">
        <f t="shared" si="28"/>
        <v>#REF!</v>
      </c>
    </row>
    <row r="137" spans="1:18" s="15" customFormat="1" x14ac:dyDescent="0.25">
      <c r="A137" s="17" t="s">
        <v>218</v>
      </c>
      <c r="B137" s="25" t="s">
        <v>141</v>
      </c>
      <c r="C137" s="18" t="s">
        <v>264</v>
      </c>
      <c r="D137" s="103" t="s">
        <v>265</v>
      </c>
      <c r="E137" s="86" t="s">
        <v>132</v>
      </c>
      <c r="F137" s="22"/>
      <c r="G137" s="20" t="e">
        <f>+#REF!</f>
        <v>#REF!</v>
      </c>
      <c r="H137" s="24" t="e">
        <f>+#REF!</f>
        <v>#REF!</v>
      </c>
      <c r="I137" s="22"/>
      <c r="J137" s="67" t="e">
        <f>+#REF!</f>
        <v>#REF!</v>
      </c>
      <c r="K137" s="68" t="e">
        <f>+#REF!</f>
        <v>#REF!</v>
      </c>
      <c r="L137" s="22"/>
      <c r="M137" s="67" t="e">
        <f>+#REF!</f>
        <v>#REF!</v>
      </c>
      <c r="N137" s="68" t="e">
        <f>+#REF!</f>
        <v>#REF!</v>
      </c>
      <c r="O137" s="59">
        <f t="shared" si="38"/>
        <v>0</v>
      </c>
      <c r="P137" s="60" t="e">
        <f t="shared" si="38"/>
        <v>#REF!</v>
      </c>
      <c r="Q137" s="62" t="e">
        <f t="shared" si="38"/>
        <v>#REF!</v>
      </c>
      <c r="R137" s="161" t="e">
        <f t="shared" si="28"/>
        <v>#REF!</v>
      </c>
    </row>
    <row r="138" spans="1:18" s="15" customFormat="1" x14ac:dyDescent="0.25">
      <c r="A138" s="17" t="s">
        <v>218</v>
      </c>
      <c r="B138" s="25" t="s">
        <v>141</v>
      </c>
      <c r="C138" s="18" t="s">
        <v>266</v>
      </c>
      <c r="D138" s="103" t="s">
        <v>267</v>
      </c>
      <c r="E138" s="86" t="s">
        <v>132</v>
      </c>
      <c r="F138" s="22"/>
      <c r="G138" s="20" t="e">
        <f>+#REF!</f>
        <v>#REF!</v>
      </c>
      <c r="H138" s="24" t="e">
        <f>+#REF!</f>
        <v>#REF!</v>
      </c>
      <c r="I138" s="22"/>
      <c r="J138" s="67" t="e">
        <f>+#REF!</f>
        <v>#REF!</v>
      </c>
      <c r="K138" s="68" t="e">
        <f>+#REF!</f>
        <v>#REF!</v>
      </c>
      <c r="L138" s="22"/>
      <c r="M138" s="67" t="e">
        <f>+#REF!</f>
        <v>#REF!</v>
      </c>
      <c r="N138" s="68" t="e">
        <f>+#REF!</f>
        <v>#REF!</v>
      </c>
      <c r="O138" s="59">
        <f t="shared" si="38"/>
        <v>0</v>
      </c>
      <c r="P138" s="60" t="e">
        <f t="shared" si="38"/>
        <v>#REF!</v>
      </c>
      <c r="Q138" s="62" t="e">
        <f t="shared" si="38"/>
        <v>#REF!</v>
      </c>
      <c r="R138" s="161" t="e">
        <f t="shared" si="28"/>
        <v>#REF!</v>
      </c>
    </row>
    <row r="139" spans="1:18" s="15" customFormat="1" x14ac:dyDescent="0.25">
      <c r="A139" s="17" t="s">
        <v>218</v>
      </c>
      <c r="B139" s="25" t="s">
        <v>141</v>
      </c>
      <c r="C139" s="18" t="s">
        <v>268</v>
      </c>
      <c r="D139" s="103" t="s">
        <v>256</v>
      </c>
      <c r="E139" s="86" t="s">
        <v>132</v>
      </c>
      <c r="F139" s="22"/>
      <c r="G139" s="20" t="e">
        <f>+#REF!</f>
        <v>#REF!</v>
      </c>
      <c r="H139" s="24" t="e">
        <f>+#REF!</f>
        <v>#REF!</v>
      </c>
      <c r="I139" s="22"/>
      <c r="J139" s="67" t="e">
        <f>+#REF!</f>
        <v>#REF!</v>
      </c>
      <c r="K139" s="68" t="e">
        <f>+#REF!</f>
        <v>#REF!</v>
      </c>
      <c r="L139" s="22"/>
      <c r="M139" s="67" t="e">
        <f>+#REF!</f>
        <v>#REF!</v>
      </c>
      <c r="N139" s="68" t="e">
        <f>+#REF!</f>
        <v>#REF!</v>
      </c>
      <c r="O139" s="59">
        <f t="shared" si="38"/>
        <v>0</v>
      </c>
      <c r="P139" s="60" t="e">
        <f t="shared" si="38"/>
        <v>#REF!</v>
      </c>
      <c r="Q139" s="62" t="e">
        <f t="shared" si="38"/>
        <v>#REF!</v>
      </c>
      <c r="R139" s="161" t="e">
        <f t="shared" si="28"/>
        <v>#REF!</v>
      </c>
    </row>
    <row r="140" spans="1:18" s="15" customFormat="1" x14ac:dyDescent="0.25">
      <c r="A140" s="17" t="s">
        <v>218</v>
      </c>
      <c r="B140" s="25" t="s">
        <v>141</v>
      </c>
      <c r="C140" s="18" t="s">
        <v>269</v>
      </c>
      <c r="D140" s="103" t="s">
        <v>270</v>
      </c>
      <c r="E140" s="86" t="s">
        <v>132</v>
      </c>
      <c r="F140" s="22"/>
      <c r="G140" s="20" t="e">
        <f>+#REF!</f>
        <v>#REF!</v>
      </c>
      <c r="H140" s="24" t="e">
        <f>+#REF!</f>
        <v>#REF!</v>
      </c>
      <c r="I140" s="22"/>
      <c r="J140" s="67" t="e">
        <f>+#REF!</f>
        <v>#REF!</v>
      </c>
      <c r="K140" s="68" t="e">
        <f>+#REF!</f>
        <v>#REF!</v>
      </c>
      <c r="L140" s="22"/>
      <c r="M140" s="67" t="e">
        <f>+#REF!</f>
        <v>#REF!</v>
      </c>
      <c r="N140" s="68" t="e">
        <f>+#REF!</f>
        <v>#REF!</v>
      </c>
      <c r="O140" s="59">
        <f t="shared" si="38"/>
        <v>0</v>
      </c>
      <c r="P140" s="60" t="e">
        <f t="shared" si="38"/>
        <v>#REF!</v>
      </c>
      <c r="Q140" s="62" t="e">
        <f t="shared" si="38"/>
        <v>#REF!</v>
      </c>
      <c r="R140" s="161" t="e">
        <f t="shared" si="28"/>
        <v>#REF!</v>
      </c>
    </row>
    <row r="141" spans="1:18" s="15" customFormat="1" x14ac:dyDescent="0.25">
      <c r="A141" s="17" t="s">
        <v>218</v>
      </c>
      <c r="B141" s="25" t="s">
        <v>141</v>
      </c>
      <c r="C141" s="18" t="s">
        <v>271</v>
      </c>
      <c r="D141" s="103" t="s">
        <v>272</v>
      </c>
      <c r="E141" s="86" t="s">
        <v>132</v>
      </c>
      <c r="F141" s="22"/>
      <c r="G141" s="20" t="e">
        <f>+#REF!</f>
        <v>#REF!</v>
      </c>
      <c r="H141" s="24" t="e">
        <f>+#REF!</f>
        <v>#REF!</v>
      </c>
      <c r="I141" s="22"/>
      <c r="J141" s="67" t="e">
        <f>+#REF!</f>
        <v>#REF!</v>
      </c>
      <c r="K141" s="68" t="e">
        <f>+#REF!</f>
        <v>#REF!</v>
      </c>
      <c r="L141" s="22"/>
      <c r="M141" s="67" t="e">
        <f>+#REF!</f>
        <v>#REF!</v>
      </c>
      <c r="N141" s="68" t="e">
        <f>+#REF!</f>
        <v>#REF!</v>
      </c>
      <c r="O141" s="59">
        <f t="shared" si="38"/>
        <v>0</v>
      </c>
      <c r="P141" s="60" t="e">
        <f t="shared" si="38"/>
        <v>#REF!</v>
      </c>
      <c r="Q141" s="62" t="e">
        <f t="shared" si="38"/>
        <v>#REF!</v>
      </c>
      <c r="R141" s="161" t="e">
        <f t="shared" si="28"/>
        <v>#REF!</v>
      </c>
    </row>
    <row r="142" spans="1:18" s="15" customFormat="1" x14ac:dyDescent="0.25">
      <c r="A142" s="17" t="s">
        <v>218</v>
      </c>
      <c r="B142" s="25" t="s">
        <v>141</v>
      </c>
      <c r="C142" s="18" t="s">
        <v>273</v>
      </c>
      <c r="D142" s="103" t="s">
        <v>274</v>
      </c>
      <c r="E142" s="86" t="s">
        <v>132</v>
      </c>
      <c r="F142" s="22"/>
      <c r="G142" s="20" t="e">
        <f>+#REF!</f>
        <v>#REF!</v>
      </c>
      <c r="H142" s="24" t="e">
        <f>+#REF!</f>
        <v>#REF!</v>
      </c>
      <c r="I142" s="22"/>
      <c r="J142" s="67" t="e">
        <f>+#REF!</f>
        <v>#REF!</v>
      </c>
      <c r="K142" s="68" t="e">
        <f>+#REF!</f>
        <v>#REF!</v>
      </c>
      <c r="L142" s="22"/>
      <c r="M142" s="67" t="e">
        <f>+#REF!</f>
        <v>#REF!</v>
      </c>
      <c r="N142" s="68" t="e">
        <f>+#REF!</f>
        <v>#REF!</v>
      </c>
      <c r="O142" s="59">
        <f t="shared" si="38"/>
        <v>0</v>
      </c>
      <c r="P142" s="60" t="e">
        <f t="shared" si="38"/>
        <v>#REF!</v>
      </c>
      <c r="Q142" s="62" t="e">
        <f t="shared" si="38"/>
        <v>#REF!</v>
      </c>
      <c r="R142" s="161" t="e">
        <f t="shared" si="28"/>
        <v>#REF!</v>
      </c>
    </row>
    <row r="143" spans="1:18" s="15" customFormat="1" x14ac:dyDescent="0.25">
      <c r="A143" s="17" t="s">
        <v>218</v>
      </c>
      <c r="B143" s="25" t="s">
        <v>141</v>
      </c>
      <c r="C143" s="18" t="s">
        <v>275</v>
      </c>
      <c r="D143" s="103" t="s">
        <v>276</v>
      </c>
      <c r="E143" s="86" t="s">
        <v>132</v>
      </c>
      <c r="F143" s="22"/>
      <c r="G143" s="20" t="e">
        <f>+#REF!</f>
        <v>#REF!</v>
      </c>
      <c r="H143" s="24" t="e">
        <f>+#REF!</f>
        <v>#REF!</v>
      </c>
      <c r="I143" s="22"/>
      <c r="J143" s="67" t="e">
        <f>+#REF!</f>
        <v>#REF!</v>
      </c>
      <c r="K143" s="68" t="e">
        <f>+#REF!</f>
        <v>#REF!</v>
      </c>
      <c r="L143" s="22"/>
      <c r="M143" s="67" t="e">
        <f>+#REF!</f>
        <v>#REF!</v>
      </c>
      <c r="N143" s="68" t="e">
        <f>+#REF!</f>
        <v>#REF!</v>
      </c>
      <c r="O143" s="59">
        <f t="shared" si="38"/>
        <v>0</v>
      </c>
      <c r="P143" s="60" t="e">
        <f t="shared" si="38"/>
        <v>#REF!</v>
      </c>
      <c r="Q143" s="62" t="e">
        <f t="shared" si="38"/>
        <v>#REF!</v>
      </c>
      <c r="R143" s="161" t="e">
        <f t="shared" si="28"/>
        <v>#REF!</v>
      </c>
    </row>
    <row r="144" spans="1:18" s="15" customFormat="1" x14ac:dyDescent="0.25">
      <c r="A144" s="17" t="s">
        <v>218</v>
      </c>
      <c r="B144" s="25" t="s">
        <v>141</v>
      </c>
      <c r="C144" s="18" t="s">
        <v>277</v>
      </c>
      <c r="D144" s="103" t="s">
        <v>278</v>
      </c>
      <c r="E144" s="86" t="s">
        <v>132</v>
      </c>
      <c r="F144" s="22"/>
      <c r="G144" s="20" t="e">
        <f>+#REF!</f>
        <v>#REF!</v>
      </c>
      <c r="H144" s="24" t="e">
        <f>+#REF!</f>
        <v>#REF!</v>
      </c>
      <c r="I144" s="22"/>
      <c r="J144" s="67" t="e">
        <f>+#REF!</f>
        <v>#REF!</v>
      </c>
      <c r="K144" s="68" t="e">
        <f>+#REF!</f>
        <v>#REF!</v>
      </c>
      <c r="L144" s="22"/>
      <c r="M144" s="67" t="e">
        <f>+#REF!</f>
        <v>#REF!</v>
      </c>
      <c r="N144" s="68" t="e">
        <f>+#REF!</f>
        <v>#REF!</v>
      </c>
      <c r="O144" s="59">
        <f t="shared" si="38"/>
        <v>0</v>
      </c>
      <c r="P144" s="60" t="e">
        <f t="shared" si="38"/>
        <v>#REF!</v>
      </c>
      <c r="Q144" s="62" t="e">
        <f t="shared" si="38"/>
        <v>#REF!</v>
      </c>
      <c r="R144" s="161" t="e">
        <f t="shared" si="28"/>
        <v>#REF!</v>
      </c>
    </row>
    <row r="145" spans="1:18" s="15" customFormat="1" x14ac:dyDescent="0.25">
      <c r="A145" s="17" t="s">
        <v>218</v>
      </c>
      <c r="B145" s="25" t="s">
        <v>141</v>
      </c>
      <c r="C145" s="18" t="s">
        <v>279</v>
      </c>
      <c r="D145" s="103" t="s">
        <v>280</v>
      </c>
      <c r="E145" s="86" t="s">
        <v>132</v>
      </c>
      <c r="F145" s="22"/>
      <c r="G145" s="20" t="e">
        <f>+#REF!</f>
        <v>#REF!</v>
      </c>
      <c r="H145" s="24" t="e">
        <f>+#REF!</f>
        <v>#REF!</v>
      </c>
      <c r="I145" s="22"/>
      <c r="J145" s="67" t="e">
        <f>+#REF!</f>
        <v>#REF!</v>
      </c>
      <c r="K145" s="68" t="e">
        <f>+#REF!</f>
        <v>#REF!</v>
      </c>
      <c r="L145" s="22"/>
      <c r="M145" s="67" t="e">
        <f>+#REF!</f>
        <v>#REF!</v>
      </c>
      <c r="N145" s="68" t="e">
        <f>+#REF!</f>
        <v>#REF!</v>
      </c>
      <c r="O145" s="59">
        <f t="shared" si="38"/>
        <v>0</v>
      </c>
      <c r="P145" s="60" t="e">
        <f t="shared" si="38"/>
        <v>#REF!</v>
      </c>
      <c r="Q145" s="62" t="e">
        <f t="shared" si="38"/>
        <v>#REF!</v>
      </c>
      <c r="R145" s="161" t="e">
        <f t="shared" si="28"/>
        <v>#REF!</v>
      </c>
    </row>
    <row r="146" spans="1:18" s="15" customFormat="1" x14ac:dyDescent="0.25">
      <c r="A146" s="17" t="s">
        <v>218</v>
      </c>
      <c r="B146" s="25" t="s">
        <v>141</v>
      </c>
      <c r="C146" s="18" t="s">
        <v>281</v>
      </c>
      <c r="D146" s="103" t="s">
        <v>278</v>
      </c>
      <c r="E146" s="86" t="s">
        <v>132</v>
      </c>
      <c r="F146" s="22"/>
      <c r="G146" s="20" t="e">
        <f>+#REF!</f>
        <v>#REF!</v>
      </c>
      <c r="H146" s="24" t="e">
        <f>+#REF!</f>
        <v>#REF!</v>
      </c>
      <c r="I146" s="22"/>
      <c r="J146" s="67" t="e">
        <f>+#REF!</f>
        <v>#REF!</v>
      </c>
      <c r="K146" s="68" t="e">
        <f>+#REF!</f>
        <v>#REF!</v>
      </c>
      <c r="L146" s="22"/>
      <c r="M146" s="67" t="e">
        <f>+#REF!</f>
        <v>#REF!</v>
      </c>
      <c r="N146" s="68" t="e">
        <f>+#REF!</f>
        <v>#REF!</v>
      </c>
      <c r="O146" s="59">
        <f t="shared" si="38"/>
        <v>0</v>
      </c>
      <c r="P146" s="60" t="e">
        <f t="shared" si="38"/>
        <v>#REF!</v>
      </c>
      <c r="Q146" s="62" t="e">
        <f t="shared" si="38"/>
        <v>#REF!</v>
      </c>
      <c r="R146" s="161" t="e">
        <f t="shared" si="28"/>
        <v>#REF!</v>
      </c>
    </row>
    <row r="147" spans="1:18" s="15" customFormat="1" x14ac:dyDescent="0.25">
      <c r="A147" s="17" t="s">
        <v>218</v>
      </c>
      <c r="B147" s="25" t="s">
        <v>141</v>
      </c>
      <c r="C147" s="18" t="s">
        <v>282</v>
      </c>
      <c r="D147" s="103" t="s">
        <v>283</v>
      </c>
      <c r="E147" s="86" t="s">
        <v>132</v>
      </c>
      <c r="F147" s="22"/>
      <c r="G147" s="20" t="e">
        <f>+#REF!</f>
        <v>#REF!</v>
      </c>
      <c r="H147" s="24" t="e">
        <f>+#REF!</f>
        <v>#REF!</v>
      </c>
      <c r="I147" s="22"/>
      <c r="J147" s="67" t="e">
        <f>+#REF!</f>
        <v>#REF!</v>
      </c>
      <c r="K147" s="68" t="e">
        <f>+#REF!</f>
        <v>#REF!</v>
      </c>
      <c r="L147" s="22"/>
      <c r="M147" s="67" t="e">
        <f>+#REF!</f>
        <v>#REF!</v>
      </c>
      <c r="N147" s="68" t="e">
        <f>+#REF!</f>
        <v>#REF!</v>
      </c>
      <c r="O147" s="59">
        <f t="shared" si="38"/>
        <v>0</v>
      </c>
      <c r="P147" s="60" t="e">
        <f t="shared" si="38"/>
        <v>#REF!</v>
      </c>
      <c r="Q147" s="62" t="e">
        <f t="shared" si="38"/>
        <v>#REF!</v>
      </c>
      <c r="R147" s="161" t="e">
        <f t="shared" si="28"/>
        <v>#REF!</v>
      </c>
    </row>
    <row r="148" spans="1:18" s="15" customFormat="1" x14ac:dyDescent="0.25">
      <c r="A148" s="17" t="s">
        <v>218</v>
      </c>
      <c r="B148" s="25" t="s">
        <v>141</v>
      </c>
      <c r="C148" s="18" t="s">
        <v>284</v>
      </c>
      <c r="D148" s="103" t="s">
        <v>280</v>
      </c>
      <c r="E148" s="86" t="s">
        <v>132</v>
      </c>
      <c r="F148" s="22"/>
      <c r="G148" s="20" t="e">
        <f>+#REF!</f>
        <v>#REF!</v>
      </c>
      <c r="H148" s="24" t="e">
        <f>+#REF!</f>
        <v>#REF!</v>
      </c>
      <c r="I148" s="22"/>
      <c r="J148" s="67" t="e">
        <f>+#REF!</f>
        <v>#REF!</v>
      </c>
      <c r="K148" s="68" t="e">
        <f>+#REF!</f>
        <v>#REF!</v>
      </c>
      <c r="L148" s="22"/>
      <c r="M148" s="67" t="e">
        <f>+#REF!</f>
        <v>#REF!</v>
      </c>
      <c r="N148" s="68" t="e">
        <f>+#REF!</f>
        <v>#REF!</v>
      </c>
      <c r="O148" s="59">
        <f t="shared" si="38"/>
        <v>0</v>
      </c>
      <c r="P148" s="60" t="e">
        <f t="shared" si="38"/>
        <v>#REF!</v>
      </c>
      <c r="Q148" s="62" t="e">
        <f t="shared" si="38"/>
        <v>#REF!</v>
      </c>
      <c r="R148" s="161" t="e">
        <f t="shared" si="28"/>
        <v>#REF!</v>
      </c>
    </row>
    <row r="149" spans="1:18" s="15" customFormat="1" ht="30" x14ac:dyDescent="0.25">
      <c r="A149" s="17" t="s">
        <v>218</v>
      </c>
      <c r="B149" s="25" t="s">
        <v>141</v>
      </c>
      <c r="C149" s="18" t="s">
        <v>285</v>
      </c>
      <c r="D149" s="103" t="s">
        <v>260</v>
      </c>
      <c r="E149" s="86" t="s">
        <v>132</v>
      </c>
      <c r="F149" s="22"/>
      <c r="G149" s="20" t="e">
        <f>+#REF!</f>
        <v>#REF!</v>
      </c>
      <c r="H149" s="24" t="e">
        <f>+#REF!</f>
        <v>#REF!</v>
      </c>
      <c r="I149" s="22"/>
      <c r="J149" s="67" t="e">
        <f>+#REF!</f>
        <v>#REF!</v>
      </c>
      <c r="K149" s="68" t="e">
        <f>+#REF!</f>
        <v>#REF!</v>
      </c>
      <c r="L149" s="22"/>
      <c r="M149" s="67" t="e">
        <f>+#REF!</f>
        <v>#REF!</v>
      </c>
      <c r="N149" s="68" t="e">
        <f>+#REF!</f>
        <v>#REF!</v>
      </c>
      <c r="O149" s="59">
        <f t="shared" si="38"/>
        <v>0</v>
      </c>
      <c r="P149" s="60" t="e">
        <f t="shared" si="38"/>
        <v>#REF!</v>
      </c>
      <c r="Q149" s="62" t="e">
        <f t="shared" si="38"/>
        <v>#REF!</v>
      </c>
      <c r="R149" s="161" t="e">
        <f t="shared" si="28"/>
        <v>#REF!</v>
      </c>
    </row>
    <row r="150" spans="1:18" s="15" customFormat="1" ht="30" x14ac:dyDescent="0.25">
      <c r="A150" s="17" t="s">
        <v>218</v>
      </c>
      <c r="B150" s="25" t="s">
        <v>141</v>
      </c>
      <c r="C150" s="18" t="s">
        <v>286</v>
      </c>
      <c r="D150" s="103" t="s">
        <v>278</v>
      </c>
      <c r="E150" s="86" t="s">
        <v>132</v>
      </c>
      <c r="F150" s="22"/>
      <c r="G150" s="20" t="e">
        <f>+#REF!</f>
        <v>#REF!</v>
      </c>
      <c r="H150" s="24" t="e">
        <f>+#REF!</f>
        <v>#REF!</v>
      </c>
      <c r="I150" s="22"/>
      <c r="J150" s="67" t="e">
        <f>+#REF!</f>
        <v>#REF!</v>
      </c>
      <c r="K150" s="68" t="e">
        <f>+#REF!</f>
        <v>#REF!</v>
      </c>
      <c r="L150" s="22"/>
      <c r="M150" s="67" t="e">
        <f>+#REF!</f>
        <v>#REF!</v>
      </c>
      <c r="N150" s="68" t="e">
        <f>+#REF!</f>
        <v>#REF!</v>
      </c>
      <c r="O150" s="59">
        <f t="shared" si="38"/>
        <v>0</v>
      </c>
      <c r="P150" s="60" t="e">
        <f t="shared" si="38"/>
        <v>#REF!</v>
      </c>
      <c r="Q150" s="62" t="e">
        <f t="shared" si="38"/>
        <v>#REF!</v>
      </c>
      <c r="R150" s="161" t="e">
        <f t="shared" ref="R150:R199" si="39">+O150+P150+Q150</f>
        <v>#REF!</v>
      </c>
    </row>
    <row r="151" spans="1:18" s="15" customFormat="1" x14ac:dyDescent="0.25">
      <c r="A151" s="17" t="s">
        <v>218</v>
      </c>
      <c r="B151" s="25" t="s">
        <v>141</v>
      </c>
      <c r="C151" s="18" t="s">
        <v>287</v>
      </c>
      <c r="D151" s="103" t="s">
        <v>288</v>
      </c>
      <c r="E151" s="86" t="s">
        <v>132</v>
      </c>
      <c r="F151" s="22"/>
      <c r="G151" s="20" t="e">
        <f>+#REF!</f>
        <v>#REF!</v>
      </c>
      <c r="H151" s="24" t="e">
        <f>+#REF!</f>
        <v>#REF!</v>
      </c>
      <c r="I151" s="22"/>
      <c r="J151" s="67" t="e">
        <f>+#REF!</f>
        <v>#REF!</v>
      </c>
      <c r="K151" s="68" t="e">
        <f>+#REF!</f>
        <v>#REF!</v>
      </c>
      <c r="L151" s="22"/>
      <c r="M151" s="67" t="e">
        <f>+#REF!</f>
        <v>#REF!</v>
      </c>
      <c r="N151" s="68" t="e">
        <f>+#REF!</f>
        <v>#REF!</v>
      </c>
      <c r="O151" s="59">
        <f t="shared" si="38"/>
        <v>0</v>
      </c>
      <c r="P151" s="60" t="e">
        <f t="shared" si="38"/>
        <v>#REF!</v>
      </c>
      <c r="Q151" s="62" t="e">
        <f t="shared" si="38"/>
        <v>#REF!</v>
      </c>
      <c r="R151" s="161" t="e">
        <f t="shared" si="39"/>
        <v>#REF!</v>
      </c>
    </row>
    <row r="152" spans="1:18" s="15" customFormat="1" x14ac:dyDescent="0.25">
      <c r="A152" s="17" t="s">
        <v>218</v>
      </c>
      <c r="B152" s="25" t="s">
        <v>141</v>
      </c>
      <c r="C152" s="18" t="s">
        <v>289</v>
      </c>
      <c r="D152" s="103" t="s">
        <v>290</v>
      </c>
      <c r="E152" s="86" t="s">
        <v>132</v>
      </c>
      <c r="F152" s="22"/>
      <c r="G152" s="20" t="e">
        <f>+#REF!</f>
        <v>#REF!</v>
      </c>
      <c r="H152" s="24" t="e">
        <f>+#REF!</f>
        <v>#REF!</v>
      </c>
      <c r="I152" s="22"/>
      <c r="J152" s="67" t="e">
        <f>+#REF!</f>
        <v>#REF!</v>
      </c>
      <c r="K152" s="68" t="e">
        <f>+#REF!</f>
        <v>#REF!</v>
      </c>
      <c r="L152" s="22"/>
      <c r="M152" s="67" t="e">
        <f>+#REF!</f>
        <v>#REF!</v>
      </c>
      <c r="N152" s="68" t="e">
        <f>+#REF!</f>
        <v>#REF!</v>
      </c>
      <c r="O152" s="59">
        <f t="shared" si="38"/>
        <v>0</v>
      </c>
      <c r="P152" s="60" t="e">
        <f t="shared" si="38"/>
        <v>#REF!</v>
      </c>
      <c r="Q152" s="62" t="e">
        <f t="shared" si="38"/>
        <v>#REF!</v>
      </c>
      <c r="R152" s="161" t="e">
        <f t="shared" si="39"/>
        <v>#REF!</v>
      </c>
    </row>
    <row r="153" spans="1:18" s="15" customFormat="1" x14ac:dyDescent="0.25">
      <c r="A153" s="17" t="s">
        <v>218</v>
      </c>
      <c r="B153" s="25" t="s">
        <v>141</v>
      </c>
      <c r="C153" s="18" t="s">
        <v>291</v>
      </c>
      <c r="D153" s="103" t="s">
        <v>292</v>
      </c>
      <c r="E153" s="86" t="s">
        <v>132</v>
      </c>
      <c r="F153" s="22"/>
      <c r="G153" s="20" t="e">
        <f>+#REF!</f>
        <v>#REF!</v>
      </c>
      <c r="H153" s="24" t="e">
        <f>+#REF!</f>
        <v>#REF!</v>
      </c>
      <c r="I153" s="22"/>
      <c r="J153" s="67" t="e">
        <f>+#REF!</f>
        <v>#REF!</v>
      </c>
      <c r="K153" s="68" t="e">
        <f>+#REF!</f>
        <v>#REF!</v>
      </c>
      <c r="L153" s="22"/>
      <c r="M153" s="67" t="e">
        <f>+#REF!</f>
        <v>#REF!</v>
      </c>
      <c r="N153" s="68" t="e">
        <f>+#REF!</f>
        <v>#REF!</v>
      </c>
      <c r="O153" s="59">
        <f t="shared" si="38"/>
        <v>0</v>
      </c>
      <c r="P153" s="60" t="e">
        <f t="shared" si="38"/>
        <v>#REF!</v>
      </c>
      <c r="Q153" s="62" t="e">
        <f t="shared" si="38"/>
        <v>#REF!</v>
      </c>
      <c r="R153" s="161" t="e">
        <f t="shared" si="39"/>
        <v>#REF!</v>
      </c>
    </row>
    <row r="154" spans="1:18" s="15" customFormat="1" ht="30" x14ac:dyDescent="0.25">
      <c r="A154" s="17" t="s">
        <v>218</v>
      </c>
      <c r="B154" s="25" t="s">
        <v>141</v>
      </c>
      <c r="C154" s="18" t="s">
        <v>293</v>
      </c>
      <c r="D154" s="103" t="s">
        <v>260</v>
      </c>
      <c r="E154" s="86" t="s">
        <v>132</v>
      </c>
      <c r="F154" s="22"/>
      <c r="G154" s="20" t="e">
        <f>+#REF!</f>
        <v>#REF!</v>
      </c>
      <c r="H154" s="24" t="e">
        <f>+#REF!</f>
        <v>#REF!</v>
      </c>
      <c r="I154" s="22"/>
      <c r="J154" s="67" t="e">
        <f>+#REF!</f>
        <v>#REF!</v>
      </c>
      <c r="K154" s="68" t="e">
        <f>+#REF!</f>
        <v>#REF!</v>
      </c>
      <c r="L154" s="22"/>
      <c r="M154" s="67" t="e">
        <f>+#REF!</f>
        <v>#REF!</v>
      </c>
      <c r="N154" s="68" t="e">
        <f>+#REF!</f>
        <v>#REF!</v>
      </c>
      <c r="O154" s="59">
        <f t="shared" si="38"/>
        <v>0</v>
      </c>
      <c r="P154" s="60" t="e">
        <f t="shared" si="38"/>
        <v>#REF!</v>
      </c>
      <c r="Q154" s="62" t="e">
        <f t="shared" si="38"/>
        <v>#REF!</v>
      </c>
      <c r="R154" s="161" t="e">
        <f t="shared" si="39"/>
        <v>#REF!</v>
      </c>
    </row>
    <row r="155" spans="1:18" s="15" customFormat="1" x14ac:dyDescent="0.25">
      <c r="A155" s="17" t="s">
        <v>218</v>
      </c>
      <c r="B155" s="25" t="s">
        <v>141</v>
      </c>
      <c r="C155" s="18" t="s">
        <v>294</v>
      </c>
      <c r="D155" s="103" t="s">
        <v>295</v>
      </c>
      <c r="E155" s="86" t="s">
        <v>132</v>
      </c>
      <c r="F155" s="22"/>
      <c r="G155" s="20" t="e">
        <f>+#REF!</f>
        <v>#REF!</v>
      </c>
      <c r="H155" s="24" t="e">
        <f>+#REF!</f>
        <v>#REF!</v>
      </c>
      <c r="I155" s="22"/>
      <c r="J155" s="67" t="e">
        <f>+#REF!</f>
        <v>#REF!</v>
      </c>
      <c r="K155" s="68" t="e">
        <f>+#REF!</f>
        <v>#REF!</v>
      </c>
      <c r="L155" s="22"/>
      <c r="M155" s="67" t="e">
        <f>+#REF!</f>
        <v>#REF!</v>
      </c>
      <c r="N155" s="68" t="e">
        <f>+#REF!</f>
        <v>#REF!</v>
      </c>
      <c r="O155" s="59">
        <f t="shared" si="38"/>
        <v>0</v>
      </c>
      <c r="P155" s="60" t="e">
        <f t="shared" si="38"/>
        <v>#REF!</v>
      </c>
      <c r="Q155" s="62" t="e">
        <f t="shared" si="38"/>
        <v>#REF!</v>
      </c>
      <c r="R155" s="161" t="e">
        <f t="shared" si="39"/>
        <v>#REF!</v>
      </c>
    </row>
    <row r="156" spans="1:18" s="15" customFormat="1" x14ac:dyDescent="0.25">
      <c r="A156" s="17" t="s">
        <v>218</v>
      </c>
      <c r="B156" s="25" t="s">
        <v>141</v>
      </c>
      <c r="C156" s="18" t="s">
        <v>296</v>
      </c>
      <c r="D156" s="103" t="s">
        <v>297</v>
      </c>
      <c r="E156" s="86" t="s">
        <v>132</v>
      </c>
      <c r="F156" s="22"/>
      <c r="G156" s="20" t="e">
        <f>+#REF!</f>
        <v>#REF!</v>
      </c>
      <c r="H156" s="24" t="e">
        <f>+#REF!</f>
        <v>#REF!</v>
      </c>
      <c r="I156" s="22"/>
      <c r="J156" s="67" t="e">
        <f>+#REF!</f>
        <v>#REF!</v>
      </c>
      <c r="K156" s="68" t="e">
        <f>+#REF!</f>
        <v>#REF!</v>
      </c>
      <c r="L156" s="22"/>
      <c r="M156" s="67" t="e">
        <f>+#REF!</f>
        <v>#REF!</v>
      </c>
      <c r="N156" s="68" t="e">
        <f>+#REF!</f>
        <v>#REF!</v>
      </c>
      <c r="O156" s="59">
        <f t="shared" si="38"/>
        <v>0</v>
      </c>
      <c r="P156" s="60" t="e">
        <f t="shared" si="38"/>
        <v>#REF!</v>
      </c>
      <c r="Q156" s="62" t="e">
        <f t="shared" si="38"/>
        <v>#REF!</v>
      </c>
      <c r="R156" s="161" t="e">
        <f t="shared" si="39"/>
        <v>#REF!</v>
      </c>
    </row>
    <row r="157" spans="1:18" s="15" customFormat="1" x14ac:dyDescent="0.25">
      <c r="A157" s="17" t="s">
        <v>218</v>
      </c>
      <c r="B157" s="25" t="s">
        <v>141</v>
      </c>
      <c r="C157" s="18" t="s">
        <v>298</v>
      </c>
      <c r="D157" s="103" t="s">
        <v>299</v>
      </c>
      <c r="E157" s="86" t="s">
        <v>132</v>
      </c>
      <c r="F157" s="22"/>
      <c r="G157" s="20" t="e">
        <f>+#REF!</f>
        <v>#REF!</v>
      </c>
      <c r="H157" s="24" t="e">
        <f>+#REF!</f>
        <v>#REF!</v>
      </c>
      <c r="I157" s="22"/>
      <c r="J157" s="67" t="e">
        <f>+#REF!</f>
        <v>#REF!</v>
      </c>
      <c r="K157" s="68" t="e">
        <f>+#REF!</f>
        <v>#REF!</v>
      </c>
      <c r="L157" s="22"/>
      <c r="M157" s="67" t="e">
        <f>+#REF!</f>
        <v>#REF!</v>
      </c>
      <c r="N157" s="68" t="e">
        <f>+#REF!</f>
        <v>#REF!</v>
      </c>
      <c r="O157" s="59">
        <f t="shared" si="38"/>
        <v>0</v>
      </c>
      <c r="P157" s="60" t="e">
        <f t="shared" si="38"/>
        <v>#REF!</v>
      </c>
      <c r="Q157" s="62" t="e">
        <f t="shared" si="38"/>
        <v>#REF!</v>
      </c>
      <c r="R157" s="161" t="e">
        <f t="shared" si="39"/>
        <v>#REF!</v>
      </c>
    </row>
    <row r="158" spans="1:18" s="15" customFormat="1" x14ac:dyDescent="0.25">
      <c r="A158" s="17" t="s">
        <v>218</v>
      </c>
      <c r="B158" s="25" t="s">
        <v>141</v>
      </c>
      <c r="C158" s="18" t="s">
        <v>300</v>
      </c>
      <c r="D158" s="103" t="s">
        <v>292</v>
      </c>
      <c r="E158" s="86" t="s">
        <v>132</v>
      </c>
      <c r="F158" s="22"/>
      <c r="G158" s="20" t="e">
        <f>+#REF!</f>
        <v>#REF!</v>
      </c>
      <c r="H158" s="24" t="e">
        <f>+#REF!</f>
        <v>#REF!</v>
      </c>
      <c r="I158" s="22"/>
      <c r="J158" s="67" t="e">
        <f>+#REF!</f>
        <v>#REF!</v>
      </c>
      <c r="K158" s="68" t="e">
        <f>+#REF!</f>
        <v>#REF!</v>
      </c>
      <c r="L158" s="22"/>
      <c r="M158" s="67" t="e">
        <f>+#REF!</f>
        <v>#REF!</v>
      </c>
      <c r="N158" s="68" t="e">
        <f>+#REF!</f>
        <v>#REF!</v>
      </c>
      <c r="O158" s="59">
        <f t="shared" si="38"/>
        <v>0</v>
      </c>
      <c r="P158" s="60" t="e">
        <f t="shared" si="38"/>
        <v>#REF!</v>
      </c>
      <c r="Q158" s="62" t="e">
        <f t="shared" si="38"/>
        <v>#REF!</v>
      </c>
      <c r="R158" s="161" t="e">
        <f t="shared" si="39"/>
        <v>#REF!</v>
      </c>
    </row>
    <row r="159" spans="1:18" s="15" customFormat="1" x14ac:dyDescent="0.25">
      <c r="A159" s="17" t="s">
        <v>218</v>
      </c>
      <c r="B159" s="25" t="s">
        <v>141</v>
      </c>
      <c r="C159" s="18" t="s">
        <v>301</v>
      </c>
      <c r="D159" s="103" t="s">
        <v>302</v>
      </c>
      <c r="E159" s="86" t="s">
        <v>132</v>
      </c>
      <c r="F159" s="22"/>
      <c r="G159" s="20" t="e">
        <f>+#REF!</f>
        <v>#REF!</v>
      </c>
      <c r="H159" s="24" t="e">
        <f>+#REF!</f>
        <v>#REF!</v>
      </c>
      <c r="I159" s="22"/>
      <c r="J159" s="67" t="e">
        <f>+#REF!</f>
        <v>#REF!</v>
      </c>
      <c r="K159" s="68" t="e">
        <f>+#REF!</f>
        <v>#REF!</v>
      </c>
      <c r="L159" s="22"/>
      <c r="M159" s="67" t="e">
        <f>+#REF!</f>
        <v>#REF!</v>
      </c>
      <c r="N159" s="68" t="e">
        <f>+#REF!</f>
        <v>#REF!</v>
      </c>
      <c r="O159" s="59">
        <f t="shared" si="38"/>
        <v>0</v>
      </c>
      <c r="P159" s="60" t="e">
        <f t="shared" si="38"/>
        <v>#REF!</v>
      </c>
      <c r="Q159" s="62" t="e">
        <f t="shared" si="38"/>
        <v>#REF!</v>
      </c>
      <c r="R159" s="161" t="e">
        <f t="shared" si="39"/>
        <v>#REF!</v>
      </c>
    </row>
    <row r="160" spans="1:18" s="15" customFormat="1" x14ac:dyDescent="0.25">
      <c r="A160" s="17" t="s">
        <v>218</v>
      </c>
      <c r="B160" s="25" t="s">
        <v>141</v>
      </c>
      <c r="C160" s="18" t="s">
        <v>303</v>
      </c>
      <c r="D160" s="103" t="s">
        <v>304</v>
      </c>
      <c r="E160" s="86" t="s">
        <v>132</v>
      </c>
      <c r="F160" s="22"/>
      <c r="G160" s="20" t="e">
        <f>+#REF!</f>
        <v>#REF!</v>
      </c>
      <c r="H160" s="24" t="e">
        <f>+#REF!</f>
        <v>#REF!</v>
      </c>
      <c r="I160" s="22"/>
      <c r="J160" s="67" t="e">
        <f>+#REF!</f>
        <v>#REF!</v>
      </c>
      <c r="K160" s="68" t="e">
        <f>+#REF!</f>
        <v>#REF!</v>
      </c>
      <c r="L160" s="22"/>
      <c r="M160" s="67" t="e">
        <f>+#REF!</f>
        <v>#REF!</v>
      </c>
      <c r="N160" s="68" t="e">
        <f>+#REF!</f>
        <v>#REF!</v>
      </c>
      <c r="O160" s="59">
        <f t="shared" si="38"/>
        <v>0</v>
      </c>
      <c r="P160" s="60" t="e">
        <f t="shared" si="38"/>
        <v>#REF!</v>
      </c>
      <c r="Q160" s="62" t="e">
        <f t="shared" si="38"/>
        <v>#REF!</v>
      </c>
      <c r="R160" s="161" t="e">
        <f t="shared" si="39"/>
        <v>#REF!</v>
      </c>
    </row>
    <row r="161" spans="1:18" s="15" customFormat="1" ht="30" x14ac:dyDescent="0.25">
      <c r="A161" s="17" t="s">
        <v>218</v>
      </c>
      <c r="B161" s="25" t="s">
        <v>141</v>
      </c>
      <c r="C161" s="18" t="s">
        <v>305</v>
      </c>
      <c r="D161" s="103" t="s">
        <v>260</v>
      </c>
      <c r="E161" s="86" t="s">
        <v>132</v>
      </c>
      <c r="F161" s="22"/>
      <c r="G161" s="20" t="e">
        <f>+#REF!</f>
        <v>#REF!</v>
      </c>
      <c r="H161" s="24" t="e">
        <f>+#REF!</f>
        <v>#REF!</v>
      </c>
      <c r="I161" s="22"/>
      <c r="J161" s="67" t="e">
        <f>+#REF!</f>
        <v>#REF!</v>
      </c>
      <c r="K161" s="68" t="e">
        <f>+#REF!</f>
        <v>#REF!</v>
      </c>
      <c r="L161" s="22"/>
      <c r="M161" s="67" t="e">
        <f>+#REF!</f>
        <v>#REF!</v>
      </c>
      <c r="N161" s="68" t="e">
        <f>+#REF!</f>
        <v>#REF!</v>
      </c>
      <c r="O161" s="59">
        <f t="shared" si="38"/>
        <v>0</v>
      </c>
      <c r="P161" s="60" t="e">
        <f t="shared" si="38"/>
        <v>#REF!</v>
      </c>
      <c r="Q161" s="62" t="e">
        <f t="shared" si="38"/>
        <v>#REF!</v>
      </c>
      <c r="R161" s="161" t="e">
        <f t="shared" si="39"/>
        <v>#REF!</v>
      </c>
    </row>
    <row r="162" spans="1:18" s="15" customFormat="1" x14ac:dyDescent="0.25">
      <c r="A162" s="17" t="s">
        <v>218</v>
      </c>
      <c r="B162" s="25" t="s">
        <v>141</v>
      </c>
      <c r="C162" s="18" t="s">
        <v>306</v>
      </c>
      <c r="D162" s="103" t="s">
        <v>307</v>
      </c>
      <c r="E162" s="86" t="s">
        <v>132</v>
      </c>
      <c r="F162" s="22"/>
      <c r="G162" s="20" t="e">
        <f>+#REF!</f>
        <v>#REF!</v>
      </c>
      <c r="H162" s="24" t="e">
        <f>+#REF!</f>
        <v>#REF!</v>
      </c>
      <c r="I162" s="22"/>
      <c r="J162" s="67" t="e">
        <f>+#REF!</f>
        <v>#REF!</v>
      </c>
      <c r="K162" s="68" t="e">
        <f>+#REF!</f>
        <v>#REF!</v>
      </c>
      <c r="L162" s="22"/>
      <c r="M162" s="67" t="e">
        <f>+#REF!</f>
        <v>#REF!</v>
      </c>
      <c r="N162" s="68" t="e">
        <f>+#REF!</f>
        <v>#REF!</v>
      </c>
      <c r="O162" s="59">
        <f t="shared" si="38"/>
        <v>0</v>
      </c>
      <c r="P162" s="60" t="e">
        <f t="shared" si="38"/>
        <v>#REF!</v>
      </c>
      <c r="Q162" s="62" t="e">
        <f t="shared" si="38"/>
        <v>#REF!</v>
      </c>
      <c r="R162" s="161" t="e">
        <f t="shared" si="39"/>
        <v>#REF!</v>
      </c>
    </row>
    <row r="163" spans="1:18" s="15" customFormat="1" x14ac:dyDescent="0.25">
      <c r="A163" s="17" t="s">
        <v>218</v>
      </c>
      <c r="B163" s="25" t="s">
        <v>141</v>
      </c>
      <c r="C163" s="18" t="s">
        <v>308</v>
      </c>
      <c r="D163" s="103" t="s">
        <v>302</v>
      </c>
      <c r="E163" s="86" t="s">
        <v>132</v>
      </c>
      <c r="F163" s="22"/>
      <c r="G163" s="20" t="e">
        <f>+#REF!</f>
        <v>#REF!</v>
      </c>
      <c r="H163" s="24" t="e">
        <f>+#REF!</f>
        <v>#REF!</v>
      </c>
      <c r="I163" s="22"/>
      <c r="J163" s="67" t="e">
        <f>+#REF!</f>
        <v>#REF!</v>
      </c>
      <c r="K163" s="68" t="e">
        <f>+#REF!</f>
        <v>#REF!</v>
      </c>
      <c r="L163" s="22"/>
      <c r="M163" s="67" t="e">
        <f>+#REF!</f>
        <v>#REF!</v>
      </c>
      <c r="N163" s="68" t="e">
        <f>+#REF!</f>
        <v>#REF!</v>
      </c>
      <c r="O163" s="59">
        <f t="shared" si="38"/>
        <v>0</v>
      </c>
      <c r="P163" s="60" t="e">
        <f t="shared" si="38"/>
        <v>#REF!</v>
      </c>
      <c r="Q163" s="62" t="e">
        <f t="shared" si="38"/>
        <v>#REF!</v>
      </c>
      <c r="R163" s="161" t="e">
        <f t="shared" si="39"/>
        <v>#REF!</v>
      </c>
    </row>
    <row r="164" spans="1:18" s="15" customFormat="1" x14ac:dyDescent="0.25">
      <c r="A164" s="17" t="s">
        <v>218</v>
      </c>
      <c r="B164" s="25" t="s">
        <v>141</v>
      </c>
      <c r="C164" s="18" t="s">
        <v>350</v>
      </c>
      <c r="D164" s="103" t="s">
        <v>309</v>
      </c>
      <c r="E164" s="86" t="s">
        <v>36</v>
      </c>
      <c r="F164" s="22"/>
      <c r="G164" s="20" t="e">
        <f>+#REF!</f>
        <v>#REF!</v>
      </c>
      <c r="H164" s="24"/>
      <c r="I164" s="22"/>
      <c r="J164" s="67" t="e">
        <f>+#REF!</f>
        <v>#REF!</v>
      </c>
      <c r="K164" s="68"/>
      <c r="L164" s="22"/>
      <c r="M164" s="67" t="e">
        <f>+#REF!</f>
        <v>#REF!</v>
      </c>
      <c r="N164" s="68"/>
      <c r="O164" s="59">
        <f t="shared" si="38"/>
        <v>0</v>
      </c>
      <c r="P164" s="60" t="e">
        <f t="shared" si="38"/>
        <v>#REF!</v>
      </c>
      <c r="Q164" s="62">
        <f t="shared" si="38"/>
        <v>0</v>
      </c>
      <c r="R164" s="161" t="e">
        <f t="shared" si="39"/>
        <v>#REF!</v>
      </c>
    </row>
    <row r="165" spans="1:18" s="15" customFormat="1" ht="30" x14ac:dyDescent="0.25">
      <c r="A165" s="17" t="s">
        <v>218</v>
      </c>
      <c r="B165" s="25" t="s">
        <v>141</v>
      </c>
      <c r="C165" s="18" t="s">
        <v>34</v>
      </c>
      <c r="D165" s="103" t="s">
        <v>315</v>
      </c>
      <c r="E165" s="86" t="s">
        <v>240</v>
      </c>
      <c r="F165" s="22">
        <f>20886.705396*0.6</f>
        <v>12532.0232376</v>
      </c>
      <c r="G165" s="20">
        <f>20887*0.4</f>
        <v>8354.8000000000011</v>
      </c>
      <c r="H165" s="24">
        <v>0</v>
      </c>
      <c r="I165" s="22">
        <f>25064.0464752*0.6</f>
        <v>15038.42788512</v>
      </c>
      <c r="J165" s="67">
        <f>25064.05*0.4</f>
        <v>10025.620000000001</v>
      </c>
      <c r="K165" s="68">
        <v>0</v>
      </c>
      <c r="L165" s="22">
        <f>32583.26041776*0.6</f>
        <v>19549.956250656</v>
      </c>
      <c r="M165" s="67">
        <f>32583*0.4</f>
        <v>13033.2</v>
      </c>
      <c r="N165" s="68">
        <v>0</v>
      </c>
      <c r="O165" s="59">
        <f t="shared" si="38"/>
        <v>47120.407373375994</v>
      </c>
      <c r="P165" s="60">
        <f t="shared" si="38"/>
        <v>31413.620000000003</v>
      </c>
      <c r="Q165" s="62">
        <f t="shared" si="38"/>
        <v>0</v>
      </c>
      <c r="R165" s="161">
        <f t="shared" si="39"/>
        <v>78534.027373375997</v>
      </c>
    </row>
    <row r="166" spans="1:18" s="15" customFormat="1" x14ac:dyDescent="0.25">
      <c r="A166" s="17" t="s">
        <v>218</v>
      </c>
      <c r="B166" s="25" t="s">
        <v>141</v>
      </c>
      <c r="C166" s="18" t="s">
        <v>310</v>
      </c>
      <c r="D166" s="103" t="s">
        <v>311</v>
      </c>
      <c r="E166" s="56" t="s">
        <v>133</v>
      </c>
      <c r="F166" s="22">
        <v>146664.79999999999</v>
      </c>
      <c r="G166" s="20"/>
      <c r="H166" s="24"/>
      <c r="I166" s="22">
        <v>175997.75999999998</v>
      </c>
      <c r="J166" s="67"/>
      <c r="K166" s="68"/>
      <c r="L166" s="22">
        <v>211197.31200000001</v>
      </c>
      <c r="M166" s="67"/>
      <c r="N166" s="68"/>
      <c r="O166" s="59">
        <f t="shared" ref="O166:Q166" si="40">+L166+I166+F166</f>
        <v>533859.87199999997</v>
      </c>
      <c r="P166" s="60">
        <f t="shared" si="40"/>
        <v>0</v>
      </c>
      <c r="Q166" s="62">
        <f t="shared" si="40"/>
        <v>0</v>
      </c>
      <c r="R166" s="161">
        <f t="shared" si="39"/>
        <v>533859.87199999997</v>
      </c>
    </row>
    <row r="167" spans="1:18" s="15" customFormat="1" ht="30" x14ac:dyDescent="0.25">
      <c r="A167" s="17" t="s">
        <v>218</v>
      </c>
      <c r="B167" s="25" t="s">
        <v>141</v>
      </c>
      <c r="C167" s="18" t="s">
        <v>34</v>
      </c>
      <c r="D167" s="103" t="s">
        <v>312</v>
      </c>
      <c r="E167" s="86" t="s">
        <v>136</v>
      </c>
      <c r="F167" s="22">
        <v>573448.30514013604</v>
      </c>
      <c r="G167" s="20">
        <v>0</v>
      </c>
      <c r="H167" s="24">
        <v>0</v>
      </c>
      <c r="I167" s="22">
        <v>688137.96616816323</v>
      </c>
      <c r="J167" s="67"/>
      <c r="K167" s="68"/>
      <c r="L167" s="22">
        <v>773168.00764331198</v>
      </c>
      <c r="M167" s="67"/>
      <c r="N167" s="68"/>
      <c r="O167" s="59">
        <f t="shared" ref="O167:Q170" si="41">+L167+I167+F167</f>
        <v>2034754.2789516111</v>
      </c>
      <c r="P167" s="60">
        <f t="shared" si="41"/>
        <v>0</v>
      </c>
      <c r="Q167" s="62">
        <f t="shared" si="41"/>
        <v>0</v>
      </c>
      <c r="R167" s="161">
        <f t="shared" si="39"/>
        <v>2034754.2789516111</v>
      </c>
    </row>
    <row r="168" spans="1:18" s="15" customFormat="1" ht="30" x14ac:dyDescent="0.25">
      <c r="A168" s="17" t="s">
        <v>218</v>
      </c>
      <c r="B168" s="25" t="s">
        <v>141</v>
      </c>
      <c r="C168" s="18" t="s">
        <v>8</v>
      </c>
      <c r="D168" s="103" t="s">
        <v>313</v>
      </c>
      <c r="E168" s="86" t="s">
        <v>136</v>
      </c>
      <c r="F168" s="22">
        <v>8000</v>
      </c>
      <c r="G168" s="20">
        <v>0</v>
      </c>
      <c r="H168" s="24">
        <v>0</v>
      </c>
      <c r="I168" s="22">
        <v>8000</v>
      </c>
      <c r="J168" s="67"/>
      <c r="K168" s="68"/>
      <c r="L168" s="22">
        <v>8000</v>
      </c>
      <c r="M168" s="67"/>
      <c r="N168" s="68"/>
      <c r="O168" s="59">
        <f t="shared" si="41"/>
        <v>24000</v>
      </c>
      <c r="P168" s="60">
        <f t="shared" si="41"/>
        <v>0</v>
      </c>
      <c r="Q168" s="62">
        <f t="shared" si="41"/>
        <v>0</v>
      </c>
      <c r="R168" s="161">
        <f t="shared" si="39"/>
        <v>24000</v>
      </c>
    </row>
    <row r="169" spans="1:18" s="15" customFormat="1" x14ac:dyDescent="0.25">
      <c r="A169" s="17" t="s">
        <v>218</v>
      </c>
      <c r="B169" s="25" t="s">
        <v>141</v>
      </c>
      <c r="C169" s="18" t="s">
        <v>9</v>
      </c>
      <c r="D169" s="103" t="s">
        <v>314</v>
      </c>
      <c r="E169" s="86" t="s">
        <v>136</v>
      </c>
      <c r="F169" s="22">
        <v>550960.13631111116</v>
      </c>
      <c r="G169" s="20">
        <v>0</v>
      </c>
      <c r="H169" s="24">
        <v>0</v>
      </c>
      <c r="I169" s="22">
        <v>661152.1635733333</v>
      </c>
      <c r="J169" s="67"/>
      <c r="K169" s="68"/>
      <c r="L169" s="22">
        <v>848862.77762237762</v>
      </c>
      <c r="M169" s="67"/>
      <c r="N169" s="68"/>
      <c r="O169" s="59">
        <f t="shared" si="41"/>
        <v>2060975.0775068221</v>
      </c>
      <c r="P169" s="60">
        <f t="shared" si="41"/>
        <v>0</v>
      </c>
      <c r="Q169" s="62">
        <f t="shared" si="41"/>
        <v>0</v>
      </c>
      <c r="R169" s="161">
        <f t="shared" si="39"/>
        <v>2060975.0775068221</v>
      </c>
    </row>
    <row r="170" spans="1:18" s="15" customFormat="1" x14ac:dyDescent="0.25">
      <c r="A170" s="17" t="s">
        <v>218</v>
      </c>
      <c r="B170" s="25" t="s">
        <v>141</v>
      </c>
      <c r="C170" s="18" t="s">
        <v>20</v>
      </c>
      <c r="D170" s="103" t="s">
        <v>39</v>
      </c>
      <c r="E170" s="86" t="s">
        <v>135</v>
      </c>
      <c r="F170" s="22">
        <v>20000</v>
      </c>
      <c r="G170" s="20"/>
      <c r="H170" s="24"/>
      <c r="I170" s="22">
        <v>20000</v>
      </c>
      <c r="J170" s="67"/>
      <c r="K170" s="68"/>
      <c r="L170" s="22">
        <v>20000</v>
      </c>
      <c r="M170" s="67"/>
      <c r="N170" s="68"/>
      <c r="O170" s="59">
        <f t="shared" si="41"/>
        <v>60000</v>
      </c>
      <c r="P170" s="60">
        <f t="shared" si="41"/>
        <v>0</v>
      </c>
      <c r="Q170" s="62">
        <f t="shared" si="41"/>
        <v>0</v>
      </c>
      <c r="R170" s="161">
        <f t="shared" si="39"/>
        <v>60000</v>
      </c>
    </row>
    <row r="171" spans="1:18" s="15" customFormat="1" x14ac:dyDescent="0.25">
      <c r="A171" s="17" t="s">
        <v>218</v>
      </c>
      <c r="B171" s="25" t="s">
        <v>141</v>
      </c>
      <c r="C171" s="18" t="s">
        <v>10</v>
      </c>
      <c r="D171" s="103" t="s">
        <v>316</v>
      </c>
      <c r="E171" s="86" t="s">
        <v>135</v>
      </c>
      <c r="F171" s="22">
        <v>164670.264456</v>
      </c>
      <c r="G171" s="20">
        <v>38000</v>
      </c>
      <c r="H171" s="24">
        <v>0</v>
      </c>
      <c r="I171" s="22">
        <v>197604.31734720001</v>
      </c>
      <c r="J171" s="67">
        <v>45600</v>
      </c>
      <c r="K171" s="68">
        <v>0</v>
      </c>
      <c r="L171" s="22">
        <v>256885.61266666665</v>
      </c>
      <c r="M171" s="67">
        <v>54666.666666666664</v>
      </c>
      <c r="N171" s="68">
        <v>0</v>
      </c>
      <c r="O171" s="59">
        <f t="shared" ref="O171:Q171" si="42">+L171+I171+F171</f>
        <v>619160.19446986658</v>
      </c>
      <c r="P171" s="60">
        <f t="shared" si="42"/>
        <v>138266.66666666666</v>
      </c>
      <c r="Q171" s="62">
        <f t="shared" si="42"/>
        <v>0</v>
      </c>
      <c r="R171" s="161">
        <f t="shared" si="39"/>
        <v>757426.8611365332</v>
      </c>
    </row>
    <row r="172" spans="1:18" s="15" customFormat="1" x14ac:dyDescent="0.25">
      <c r="A172" s="17" t="s">
        <v>218</v>
      </c>
      <c r="B172" s="25" t="s">
        <v>141</v>
      </c>
      <c r="C172" s="18" t="s">
        <v>317</v>
      </c>
      <c r="D172" s="103" t="s">
        <v>318</v>
      </c>
      <c r="E172" s="86" t="s">
        <v>134</v>
      </c>
      <c r="F172" s="22">
        <v>719410.20888888882</v>
      </c>
      <c r="G172" s="20"/>
      <c r="H172" s="24"/>
      <c r="I172" s="22">
        <v>719410.20888888882</v>
      </c>
      <c r="J172" s="67"/>
      <c r="K172" s="68"/>
      <c r="L172" s="22">
        <v>719410.20888888882</v>
      </c>
      <c r="M172" s="67"/>
      <c r="N172" s="68"/>
      <c r="O172" s="59">
        <f t="shared" ref="O172:Q172" si="43">+L172+I172+F172</f>
        <v>2158230.6266666665</v>
      </c>
      <c r="P172" s="60">
        <f t="shared" si="43"/>
        <v>0</v>
      </c>
      <c r="Q172" s="62">
        <f t="shared" si="43"/>
        <v>0</v>
      </c>
      <c r="R172" s="161">
        <f t="shared" si="39"/>
        <v>2158230.6266666665</v>
      </c>
    </row>
    <row r="173" spans="1:18" s="15" customFormat="1" x14ac:dyDescent="0.25">
      <c r="A173" s="17" t="s">
        <v>323</v>
      </c>
      <c r="B173" s="17" t="s">
        <v>323</v>
      </c>
      <c r="C173" s="18" t="s">
        <v>369</v>
      </c>
      <c r="D173" s="103" t="s">
        <v>132</v>
      </c>
      <c r="E173" s="86" t="s">
        <v>132</v>
      </c>
      <c r="F173" s="22"/>
      <c r="G173" s="20">
        <v>12563.2</v>
      </c>
      <c r="H173" s="24">
        <v>51345.08</v>
      </c>
      <c r="I173" s="22"/>
      <c r="J173" s="67">
        <v>15704</v>
      </c>
      <c r="K173" s="68">
        <v>64181.35</v>
      </c>
      <c r="L173" s="22"/>
      <c r="M173" s="67">
        <v>19630</v>
      </c>
      <c r="N173" s="68">
        <v>80226.6875</v>
      </c>
      <c r="O173" s="59">
        <f t="shared" ref="O173:Q185" si="44">+L173+I173+F173</f>
        <v>0</v>
      </c>
      <c r="P173" s="60">
        <f t="shared" si="44"/>
        <v>47897.2</v>
      </c>
      <c r="Q173" s="62">
        <f t="shared" si="44"/>
        <v>195753.11749999999</v>
      </c>
      <c r="R173" s="161">
        <f t="shared" si="39"/>
        <v>243650.3175</v>
      </c>
    </row>
    <row r="174" spans="1:18" s="15" customFormat="1" x14ac:dyDescent="0.25">
      <c r="A174" s="17" t="s">
        <v>323</v>
      </c>
      <c r="B174" s="17" t="s">
        <v>323</v>
      </c>
      <c r="C174" s="18" t="s">
        <v>370</v>
      </c>
      <c r="D174" s="103" t="s">
        <v>132</v>
      </c>
      <c r="E174" s="86" t="s">
        <v>132</v>
      </c>
      <c r="F174" s="22"/>
      <c r="G174" s="20">
        <v>270845.12</v>
      </c>
      <c r="H174" s="24">
        <v>109472.73599999999</v>
      </c>
      <c r="I174" s="22"/>
      <c r="J174" s="67">
        <v>338556.39999999997</v>
      </c>
      <c r="K174" s="68">
        <v>136840.91999999998</v>
      </c>
      <c r="L174" s="22"/>
      <c r="M174" s="67">
        <v>423195.5</v>
      </c>
      <c r="N174" s="68">
        <v>171051.15</v>
      </c>
      <c r="O174" s="59">
        <f t="shared" si="44"/>
        <v>0</v>
      </c>
      <c r="P174" s="60">
        <f t="shared" si="44"/>
        <v>1032597.0199999999</v>
      </c>
      <c r="Q174" s="62">
        <f t="shared" si="44"/>
        <v>417364.80599999992</v>
      </c>
      <c r="R174" s="161">
        <f t="shared" si="39"/>
        <v>1449961.8259999999</v>
      </c>
    </row>
    <row r="175" spans="1:18" s="15" customFormat="1" x14ac:dyDescent="0.25">
      <c r="A175" s="17" t="s">
        <v>323</v>
      </c>
      <c r="B175" s="17" t="s">
        <v>323</v>
      </c>
      <c r="C175" s="18" t="s">
        <v>371</v>
      </c>
      <c r="D175" s="103" t="s">
        <v>132</v>
      </c>
      <c r="E175" s="86" t="s">
        <v>132</v>
      </c>
      <c r="F175" s="22"/>
      <c r="G175" s="20">
        <v>15705.04</v>
      </c>
      <c r="H175" s="24">
        <v>148722.53599999999</v>
      </c>
      <c r="I175" s="22"/>
      <c r="J175" s="67">
        <v>19631.300000000003</v>
      </c>
      <c r="K175" s="68">
        <v>185903.17</v>
      </c>
      <c r="L175" s="22"/>
      <c r="M175" s="67">
        <v>24539.125000000004</v>
      </c>
      <c r="N175" s="68">
        <v>232378.96249999999</v>
      </c>
      <c r="O175" s="59">
        <f t="shared" si="44"/>
        <v>0</v>
      </c>
      <c r="P175" s="60">
        <f t="shared" si="44"/>
        <v>59875.465000000004</v>
      </c>
      <c r="Q175" s="62">
        <f t="shared" si="44"/>
        <v>567004.66850000003</v>
      </c>
      <c r="R175" s="161">
        <f t="shared" si="39"/>
        <v>626880.1335</v>
      </c>
    </row>
    <row r="176" spans="1:18" s="15" customFormat="1" x14ac:dyDescent="0.25">
      <c r="A176" s="17" t="s">
        <v>323</v>
      </c>
      <c r="B176" s="17" t="s">
        <v>323</v>
      </c>
      <c r="C176" s="18" t="s">
        <v>372</v>
      </c>
      <c r="D176" s="103" t="s">
        <v>132</v>
      </c>
      <c r="E176" s="86" t="s">
        <v>132</v>
      </c>
      <c r="F176" s="22"/>
      <c r="G176" s="20">
        <v>31606.640000000003</v>
      </c>
      <c r="H176" s="24">
        <v>19939.231999999996</v>
      </c>
      <c r="I176" s="22"/>
      <c r="J176" s="67">
        <v>39508.300000000003</v>
      </c>
      <c r="K176" s="68">
        <v>24924.039999999997</v>
      </c>
      <c r="L176" s="22"/>
      <c r="M176" s="67">
        <v>49385.375</v>
      </c>
      <c r="N176" s="68">
        <v>31155.049999999996</v>
      </c>
      <c r="O176" s="59">
        <f t="shared" si="44"/>
        <v>0</v>
      </c>
      <c r="P176" s="60">
        <f t="shared" si="44"/>
        <v>120500.315</v>
      </c>
      <c r="Q176" s="62">
        <f t="shared" si="44"/>
        <v>76018.321999999986</v>
      </c>
      <c r="R176" s="161">
        <f t="shared" si="39"/>
        <v>196518.63699999999</v>
      </c>
    </row>
    <row r="177" spans="1:18" s="15" customFormat="1" x14ac:dyDescent="0.25">
      <c r="A177" s="17" t="s">
        <v>323</v>
      </c>
      <c r="B177" s="17" t="s">
        <v>323</v>
      </c>
      <c r="C177" s="18" t="s">
        <v>373</v>
      </c>
      <c r="D177" s="103" t="s">
        <v>132</v>
      </c>
      <c r="E177" s="86" t="s">
        <v>132</v>
      </c>
      <c r="F177" s="22"/>
      <c r="G177" s="20">
        <v>93049.84</v>
      </c>
      <c r="H177" s="24">
        <v>38065.983999999997</v>
      </c>
      <c r="I177" s="22"/>
      <c r="J177" s="67">
        <v>116312.3</v>
      </c>
      <c r="K177" s="68">
        <v>47582.479999999996</v>
      </c>
      <c r="L177" s="22"/>
      <c r="M177" s="67">
        <v>145390.375</v>
      </c>
      <c r="N177" s="68">
        <v>59478.1</v>
      </c>
      <c r="O177" s="59">
        <f t="shared" si="44"/>
        <v>0</v>
      </c>
      <c r="P177" s="60">
        <f t="shared" si="44"/>
        <v>354752.51500000001</v>
      </c>
      <c r="Q177" s="62">
        <f t="shared" si="44"/>
        <v>145126.56399999998</v>
      </c>
      <c r="R177" s="161">
        <f t="shared" si="39"/>
        <v>499879.07900000003</v>
      </c>
    </row>
    <row r="178" spans="1:18" s="15" customFormat="1" x14ac:dyDescent="0.25">
      <c r="A178" s="17" t="s">
        <v>323</v>
      </c>
      <c r="B178" s="17" t="s">
        <v>323</v>
      </c>
      <c r="C178" s="18" t="s">
        <v>374</v>
      </c>
      <c r="D178" s="103" t="s">
        <v>132</v>
      </c>
      <c r="E178" s="86" t="s">
        <v>132</v>
      </c>
      <c r="F178" s="22"/>
      <c r="G178" s="20">
        <v>194152.40000000002</v>
      </c>
      <c r="H178" s="24">
        <v>61426.080000000002</v>
      </c>
      <c r="I178" s="22"/>
      <c r="J178" s="67">
        <v>242690.50000000003</v>
      </c>
      <c r="K178" s="68">
        <v>76782.600000000006</v>
      </c>
      <c r="L178" s="22"/>
      <c r="M178" s="67">
        <v>303363.125</v>
      </c>
      <c r="N178" s="68">
        <v>95978.25</v>
      </c>
      <c r="O178" s="59">
        <f t="shared" si="44"/>
        <v>0</v>
      </c>
      <c r="P178" s="60">
        <f t="shared" si="44"/>
        <v>740206.02500000002</v>
      </c>
      <c r="Q178" s="62">
        <f t="shared" si="44"/>
        <v>234186.93</v>
      </c>
      <c r="R178" s="161">
        <f t="shared" si="39"/>
        <v>974392.95500000007</v>
      </c>
    </row>
    <row r="179" spans="1:18" s="15" customFormat="1" x14ac:dyDescent="0.25">
      <c r="A179" s="17" t="s">
        <v>323</v>
      </c>
      <c r="B179" s="17" t="s">
        <v>323</v>
      </c>
      <c r="C179" s="18" t="s">
        <v>375</v>
      </c>
      <c r="D179" s="103" t="s">
        <v>132</v>
      </c>
      <c r="E179" s="86" t="s">
        <v>132</v>
      </c>
      <c r="F179" s="22"/>
      <c r="G179" s="20">
        <v>233415.52000000005</v>
      </c>
      <c r="H179" s="24">
        <v>61067.24</v>
      </c>
      <c r="I179" s="22"/>
      <c r="J179" s="67">
        <v>291769.40000000002</v>
      </c>
      <c r="K179" s="68">
        <v>76334.05</v>
      </c>
      <c r="L179" s="22"/>
      <c r="M179" s="67">
        <v>364711.75</v>
      </c>
      <c r="N179" s="68">
        <v>95417.5625</v>
      </c>
      <c r="O179" s="59">
        <f t="shared" si="44"/>
        <v>0</v>
      </c>
      <c r="P179" s="60">
        <f t="shared" si="44"/>
        <v>889896.67</v>
      </c>
      <c r="Q179" s="62">
        <f t="shared" si="44"/>
        <v>232818.85249999998</v>
      </c>
      <c r="R179" s="161">
        <f t="shared" si="39"/>
        <v>1122715.5225</v>
      </c>
    </row>
    <row r="180" spans="1:18" s="15" customFormat="1" x14ac:dyDescent="0.25">
      <c r="A180" s="17" t="s">
        <v>323</v>
      </c>
      <c r="B180" s="17" t="s">
        <v>323</v>
      </c>
      <c r="C180" s="18" t="s">
        <v>376</v>
      </c>
      <c r="D180" s="103" t="s">
        <v>132</v>
      </c>
      <c r="E180" s="86" t="s">
        <v>132</v>
      </c>
      <c r="F180" s="22"/>
      <c r="G180" s="20">
        <v>73420.88</v>
      </c>
      <c r="H180" s="24">
        <v>80406.240000000005</v>
      </c>
      <c r="I180" s="22"/>
      <c r="J180" s="67">
        <v>91776.1</v>
      </c>
      <c r="K180" s="68">
        <v>100507.8</v>
      </c>
      <c r="L180" s="22"/>
      <c r="M180" s="67">
        <v>114720.125</v>
      </c>
      <c r="N180" s="68">
        <v>125634.75</v>
      </c>
      <c r="O180" s="59">
        <f t="shared" si="44"/>
        <v>0</v>
      </c>
      <c r="P180" s="60">
        <f t="shared" si="44"/>
        <v>279917.10499999998</v>
      </c>
      <c r="Q180" s="62">
        <f t="shared" si="44"/>
        <v>306548.78999999998</v>
      </c>
      <c r="R180" s="161">
        <f t="shared" si="39"/>
        <v>586465.89500000002</v>
      </c>
    </row>
    <row r="181" spans="1:18" s="15" customFormat="1" x14ac:dyDescent="0.25">
      <c r="A181" s="17" t="s">
        <v>323</v>
      </c>
      <c r="B181" s="17" t="s">
        <v>323</v>
      </c>
      <c r="C181" s="18" t="s">
        <v>377</v>
      </c>
      <c r="D181" s="103" t="s">
        <v>132</v>
      </c>
      <c r="E181" s="86" t="s">
        <v>132</v>
      </c>
      <c r="F181" s="22"/>
      <c r="G181" s="20">
        <v>74599.200000000012</v>
      </c>
      <c r="H181" s="24">
        <v>40939.623999999996</v>
      </c>
      <c r="I181" s="22"/>
      <c r="J181" s="67">
        <v>93249</v>
      </c>
      <c r="K181" s="68">
        <v>51174.53</v>
      </c>
      <c r="L181" s="22"/>
      <c r="M181" s="67">
        <v>116561.25</v>
      </c>
      <c r="N181" s="68">
        <v>63968.162500000006</v>
      </c>
      <c r="O181" s="59">
        <f t="shared" si="44"/>
        <v>0</v>
      </c>
      <c r="P181" s="60">
        <f t="shared" si="44"/>
        <v>284409.45</v>
      </c>
      <c r="Q181" s="62">
        <f t="shared" si="44"/>
        <v>156082.31650000002</v>
      </c>
      <c r="R181" s="161">
        <f t="shared" si="39"/>
        <v>440491.76650000003</v>
      </c>
    </row>
    <row r="182" spans="1:18" s="15" customFormat="1" x14ac:dyDescent="0.25">
      <c r="A182" s="17" t="s">
        <v>323</v>
      </c>
      <c r="B182" s="17" t="s">
        <v>323</v>
      </c>
      <c r="C182" s="18" t="s">
        <v>384</v>
      </c>
      <c r="D182" s="103" t="s">
        <v>132</v>
      </c>
      <c r="E182" s="86" t="s">
        <v>132</v>
      </c>
      <c r="F182" s="22"/>
      <c r="G182" s="20" t="e">
        <f>+#REF!</f>
        <v>#REF!</v>
      </c>
      <c r="H182" s="24"/>
      <c r="I182" s="22"/>
      <c r="J182" s="67" t="e">
        <f>+#REF!</f>
        <v>#REF!</v>
      </c>
      <c r="K182" s="68"/>
      <c r="L182" s="22"/>
      <c r="M182" s="67" t="e">
        <f>+#REF!</f>
        <v>#REF!</v>
      </c>
      <c r="N182" s="68"/>
      <c r="O182" s="59">
        <f t="shared" si="44"/>
        <v>0</v>
      </c>
      <c r="P182" s="60" t="e">
        <f t="shared" si="44"/>
        <v>#REF!</v>
      </c>
      <c r="Q182" s="62">
        <f t="shared" si="44"/>
        <v>0</v>
      </c>
      <c r="R182" s="161" t="e">
        <f t="shared" si="39"/>
        <v>#REF!</v>
      </c>
    </row>
    <row r="183" spans="1:18" s="15" customFormat="1" x14ac:dyDescent="0.25">
      <c r="A183" s="17" t="s">
        <v>323</v>
      </c>
      <c r="B183" s="17" t="s">
        <v>323</v>
      </c>
      <c r="C183" s="18" t="s">
        <v>349</v>
      </c>
      <c r="D183" s="103" t="s">
        <v>132</v>
      </c>
      <c r="E183" s="86" t="s">
        <v>132</v>
      </c>
      <c r="F183" s="22"/>
      <c r="G183" s="20">
        <v>89361.702127659577</v>
      </c>
      <c r="H183" s="24"/>
      <c r="I183" s="22"/>
      <c r="J183" s="67">
        <v>112595.74468085107</v>
      </c>
      <c r="K183" s="68"/>
      <c r="L183" s="22"/>
      <c r="M183" s="67">
        <v>141870.63829787236</v>
      </c>
      <c r="N183" s="68"/>
      <c r="O183" s="59">
        <f t="shared" si="44"/>
        <v>0</v>
      </c>
      <c r="P183" s="60">
        <f t="shared" si="44"/>
        <v>343828.08510638302</v>
      </c>
      <c r="Q183" s="62">
        <f t="shared" si="44"/>
        <v>0</v>
      </c>
      <c r="R183" s="161">
        <f t="shared" si="39"/>
        <v>343828.08510638302</v>
      </c>
    </row>
    <row r="184" spans="1:18" s="15" customFormat="1" x14ac:dyDescent="0.25">
      <c r="A184" s="17" t="s">
        <v>323</v>
      </c>
      <c r="B184" s="17" t="s">
        <v>323</v>
      </c>
      <c r="C184" s="18" t="s">
        <v>83</v>
      </c>
      <c r="D184" s="103" t="s">
        <v>36</v>
      </c>
      <c r="E184" s="86" t="s">
        <v>36</v>
      </c>
      <c r="F184" s="22"/>
      <c r="G184" s="20" t="e">
        <f>+#REF!</f>
        <v>#REF!</v>
      </c>
      <c r="H184" s="24"/>
      <c r="I184" s="22"/>
      <c r="J184" s="67" t="e">
        <f>+#REF!</f>
        <v>#REF!</v>
      </c>
      <c r="K184" s="68"/>
      <c r="L184" s="22"/>
      <c r="M184" s="67" t="e">
        <f>+#REF!</f>
        <v>#REF!</v>
      </c>
      <c r="N184" s="68"/>
      <c r="O184" s="59">
        <f t="shared" si="44"/>
        <v>0</v>
      </c>
      <c r="P184" s="60" t="e">
        <f t="shared" si="44"/>
        <v>#REF!</v>
      </c>
      <c r="Q184" s="62">
        <f t="shared" si="44"/>
        <v>0</v>
      </c>
      <c r="R184" s="161" t="e">
        <f t="shared" si="39"/>
        <v>#REF!</v>
      </c>
    </row>
    <row r="185" spans="1:18" s="15" customFormat="1" x14ac:dyDescent="0.25">
      <c r="A185" s="17" t="s">
        <v>323</v>
      </c>
      <c r="B185" s="17" t="s">
        <v>323</v>
      </c>
      <c r="C185" s="18" t="s">
        <v>34</v>
      </c>
      <c r="D185" s="103" t="s">
        <v>240</v>
      </c>
      <c r="E185" s="86" t="s">
        <v>240</v>
      </c>
      <c r="F185" s="22">
        <f>61500*0.6</f>
        <v>36900</v>
      </c>
      <c r="G185" s="20">
        <f>61500*0.4</f>
        <v>24600</v>
      </c>
      <c r="H185" s="24"/>
      <c r="I185" s="22">
        <f>64575*0.6</f>
        <v>38745</v>
      </c>
      <c r="J185" s="67">
        <f>64575*0.4</f>
        <v>25830</v>
      </c>
      <c r="K185" s="68"/>
      <c r="L185" s="22">
        <f>67804*0.6</f>
        <v>40682.400000000001</v>
      </c>
      <c r="M185" s="67">
        <f>67804*0.4</f>
        <v>27121.600000000002</v>
      </c>
      <c r="N185" s="68"/>
      <c r="O185" s="59">
        <f t="shared" si="44"/>
        <v>116327.4</v>
      </c>
      <c r="P185" s="60">
        <f t="shared" si="44"/>
        <v>77551.600000000006</v>
      </c>
      <c r="Q185" s="62">
        <f t="shared" si="44"/>
        <v>0</v>
      </c>
      <c r="R185" s="161">
        <f t="shared" si="39"/>
        <v>193879</v>
      </c>
    </row>
    <row r="186" spans="1:18" s="15" customFormat="1" ht="30" x14ac:dyDescent="0.25">
      <c r="A186" s="17" t="s">
        <v>323</v>
      </c>
      <c r="B186" s="17" t="s">
        <v>323</v>
      </c>
      <c r="C186" s="18" t="s">
        <v>326</v>
      </c>
      <c r="D186" s="103" t="s">
        <v>344</v>
      </c>
      <c r="E186" s="56" t="s">
        <v>139</v>
      </c>
      <c r="F186" s="22">
        <v>7958600</v>
      </c>
      <c r="G186" s="20"/>
      <c r="H186" s="24"/>
      <c r="I186" s="22"/>
      <c r="J186" s="67"/>
      <c r="K186" s="68"/>
      <c r="L186" s="22"/>
      <c r="M186" s="67"/>
      <c r="N186" s="68"/>
      <c r="O186" s="59">
        <f t="shared" ref="O186:Q190" si="45">+L186+I186+F186</f>
        <v>7958600</v>
      </c>
      <c r="P186" s="60">
        <f t="shared" si="45"/>
        <v>0</v>
      </c>
      <c r="Q186" s="62">
        <f t="shared" si="45"/>
        <v>0</v>
      </c>
      <c r="R186" s="161">
        <f t="shared" si="39"/>
        <v>7958600</v>
      </c>
    </row>
    <row r="187" spans="1:18" s="15" customFormat="1" ht="30" x14ac:dyDescent="0.25">
      <c r="A187" s="17" t="s">
        <v>323</v>
      </c>
      <c r="B187" s="17" t="s">
        <v>323</v>
      </c>
      <c r="C187" s="18" t="s">
        <v>326</v>
      </c>
      <c r="D187" s="103" t="s">
        <v>345</v>
      </c>
      <c r="E187" s="56" t="s">
        <v>139</v>
      </c>
      <c r="F187" s="22">
        <v>5280600</v>
      </c>
      <c r="G187" s="20"/>
      <c r="H187" s="24"/>
      <c r="I187" s="22"/>
      <c r="J187" s="67"/>
      <c r="K187" s="68"/>
      <c r="L187" s="22"/>
      <c r="M187" s="67"/>
      <c r="N187" s="68"/>
      <c r="O187" s="59">
        <f t="shared" si="45"/>
        <v>5280600</v>
      </c>
      <c r="P187" s="60">
        <f t="shared" si="45"/>
        <v>0</v>
      </c>
      <c r="Q187" s="62">
        <f t="shared" si="45"/>
        <v>0</v>
      </c>
      <c r="R187" s="161">
        <f t="shared" si="39"/>
        <v>5280600</v>
      </c>
    </row>
    <row r="188" spans="1:18" s="15" customFormat="1" ht="30" x14ac:dyDescent="0.25">
      <c r="A188" s="17" t="s">
        <v>323</v>
      </c>
      <c r="B188" s="17" t="s">
        <v>323</v>
      </c>
      <c r="C188" s="18" t="s">
        <v>326</v>
      </c>
      <c r="D188" s="103" t="s">
        <v>346</v>
      </c>
      <c r="E188" s="56" t="s">
        <v>139</v>
      </c>
      <c r="F188" s="22">
        <v>2889950</v>
      </c>
      <c r="G188" s="20"/>
      <c r="H188" s="24"/>
      <c r="I188" s="22"/>
      <c r="J188" s="67"/>
      <c r="K188" s="68"/>
      <c r="L188" s="22"/>
      <c r="M188" s="67"/>
      <c r="N188" s="68"/>
      <c r="O188" s="59">
        <f t="shared" si="45"/>
        <v>2889950</v>
      </c>
      <c r="P188" s="60">
        <f t="shared" si="45"/>
        <v>0</v>
      </c>
      <c r="Q188" s="62">
        <f t="shared" si="45"/>
        <v>0</v>
      </c>
      <c r="R188" s="161">
        <f t="shared" si="39"/>
        <v>2889950</v>
      </c>
    </row>
    <row r="189" spans="1:18" s="15" customFormat="1" ht="30" x14ac:dyDescent="0.25">
      <c r="A189" s="17" t="s">
        <v>323</v>
      </c>
      <c r="B189" s="17" t="s">
        <v>323</v>
      </c>
      <c r="C189" s="18" t="s">
        <v>326</v>
      </c>
      <c r="D189" s="103" t="s">
        <v>347</v>
      </c>
      <c r="E189" s="56" t="s">
        <v>139</v>
      </c>
      <c r="F189" s="22">
        <v>12010990</v>
      </c>
      <c r="G189" s="20"/>
      <c r="H189" s="24"/>
      <c r="I189" s="22"/>
      <c r="J189" s="67"/>
      <c r="K189" s="68"/>
      <c r="L189" s="22"/>
      <c r="M189" s="67"/>
      <c r="N189" s="68"/>
      <c r="O189" s="59">
        <f t="shared" si="45"/>
        <v>12010990</v>
      </c>
      <c r="P189" s="60">
        <f t="shared" si="45"/>
        <v>0</v>
      </c>
      <c r="Q189" s="62">
        <f t="shared" si="45"/>
        <v>0</v>
      </c>
      <c r="R189" s="161">
        <f t="shared" si="39"/>
        <v>12010990</v>
      </c>
    </row>
    <row r="190" spans="1:18" s="15" customFormat="1" ht="30" x14ac:dyDescent="0.25">
      <c r="A190" s="17" t="s">
        <v>323</v>
      </c>
      <c r="B190" s="17" t="s">
        <v>323</v>
      </c>
      <c r="C190" s="18" t="s">
        <v>326</v>
      </c>
      <c r="D190" s="103" t="s">
        <v>348</v>
      </c>
      <c r="E190" s="56" t="s">
        <v>139</v>
      </c>
      <c r="F190" s="22">
        <v>1521100</v>
      </c>
      <c r="G190" s="20"/>
      <c r="H190" s="24"/>
      <c r="I190" s="22"/>
      <c r="J190" s="67"/>
      <c r="K190" s="68"/>
      <c r="L190" s="22"/>
      <c r="M190" s="67"/>
      <c r="N190" s="68"/>
      <c r="O190" s="59">
        <f t="shared" si="45"/>
        <v>1521100</v>
      </c>
      <c r="P190" s="60">
        <f t="shared" si="45"/>
        <v>0</v>
      </c>
      <c r="Q190" s="62">
        <f t="shared" si="45"/>
        <v>0</v>
      </c>
      <c r="R190" s="161">
        <f t="shared" si="39"/>
        <v>1521100</v>
      </c>
    </row>
    <row r="191" spans="1:18" s="15" customFormat="1" ht="30" x14ac:dyDescent="0.25">
      <c r="A191" s="17" t="s">
        <v>323</v>
      </c>
      <c r="B191" s="17" t="s">
        <v>323</v>
      </c>
      <c r="C191" s="18" t="s">
        <v>329</v>
      </c>
      <c r="D191" s="103" t="s">
        <v>310</v>
      </c>
      <c r="E191" s="56" t="s">
        <v>133</v>
      </c>
      <c r="F191" s="22">
        <f>2267424*0.4</f>
        <v>906969.60000000009</v>
      </c>
      <c r="G191" s="20"/>
      <c r="H191" s="24"/>
      <c r="I191" s="22">
        <f>2267424*0.6</f>
        <v>1360454.4</v>
      </c>
      <c r="J191" s="67"/>
      <c r="K191" s="68"/>
      <c r="L191" s="22">
        <v>0</v>
      </c>
      <c r="M191" s="67"/>
      <c r="N191" s="68"/>
      <c r="O191" s="59">
        <f t="shared" ref="O191:Q191" si="46">+L191+I191+F191</f>
        <v>2267424</v>
      </c>
      <c r="P191" s="60">
        <f t="shared" si="46"/>
        <v>0</v>
      </c>
      <c r="Q191" s="62">
        <f t="shared" si="46"/>
        <v>0</v>
      </c>
      <c r="R191" s="161">
        <f t="shared" si="39"/>
        <v>2267424</v>
      </c>
    </row>
    <row r="192" spans="1:18" s="15" customFormat="1" ht="30" x14ac:dyDescent="0.25">
      <c r="A192" s="17" t="s">
        <v>323</v>
      </c>
      <c r="B192" s="17" t="s">
        <v>323</v>
      </c>
      <c r="C192" s="18" t="s">
        <v>331</v>
      </c>
      <c r="D192" s="103" t="s">
        <v>332</v>
      </c>
      <c r="E192" s="86" t="s">
        <v>337</v>
      </c>
      <c r="F192" s="22">
        <v>680228</v>
      </c>
      <c r="G192" s="20"/>
      <c r="H192" s="24"/>
      <c r="I192" s="22">
        <v>408137</v>
      </c>
      <c r="J192" s="67"/>
      <c r="K192" s="68"/>
      <c r="L192" s="22">
        <v>277090</v>
      </c>
      <c r="M192" s="67"/>
      <c r="N192" s="68"/>
      <c r="O192" s="59">
        <f t="shared" ref="O192:Q192" si="47">+L192+I192+F192</f>
        <v>1365455</v>
      </c>
      <c r="P192" s="60">
        <f t="shared" si="47"/>
        <v>0</v>
      </c>
      <c r="Q192" s="62">
        <f t="shared" si="47"/>
        <v>0</v>
      </c>
      <c r="R192" s="161">
        <f t="shared" si="39"/>
        <v>1365455</v>
      </c>
    </row>
    <row r="193" spans="1:18" s="15" customFormat="1" x14ac:dyDescent="0.25">
      <c r="A193" s="17" t="s">
        <v>323</v>
      </c>
      <c r="B193" s="17" t="s">
        <v>323</v>
      </c>
      <c r="C193" s="18" t="s">
        <v>343</v>
      </c>
      <c r="D193" s="103" t="s">
        <v>338</v>
      </c>
      <c r="E193" s="56" t="s">
        <v>135</v>
      </c>
      <c r="F193" s="22">
        <v>62350</v>
      </c>
      <c r="G193" s="20"/>
      <c r="H193" s="24"/>
      <c r="I193" s="22">
        <v>65467.5</v>
      </c>
      <c r="J193" s="67"/>
      <c r="K193" s="68"/>
      <c r="L193" s="22">
        <v>68740.875</v>
      </c>
      <c r="M193" s="67"/>
      <c r="N193" s="68"/>
      <c r="O193" s="59">
        <f t="shared" ref="O193:Q193" si="48">+L193+I193+F193</f>
        <v>196558.375</v>
      </c>
      <c r="P193" s="60">
        <f t="shared" si="48"/>
        <v>0</v>
      </c>
      <c r="Q193" s="62">
        <f t="shared" si="48"/>
        <v>0</v>
      </c>
      <c r="R193" s="161">
        <f t="shared" si="39"/>
        <v>196558.375</v>
      </c>
    </row>
    <row r="194" spans="1:18" s="15" customFormat="1" x14ac:dyDescent="0.25">
      <c r="A194" s="17" t="s">
        <v>323</v>
      </c>
      <c r="B194" s="17" t="s">
        <v>323</v>
      </c>
      <c r="C194" s="18" t="s">
        <v>335</v>
      </c>
      <c r="D194" s="103" t="s">
        <v>339</v>
      </c>
      <c r="E194" s="86" t="s">
        <v>339</v>
      </c>
      <c r="F194" s="22">
        <v>80000</v>
      </c>
      <c r="G194" s="20"/>
      <c r="H194" s="24"/>
      <c r="I194" s="22">
        <v>320000</v>
      </c>
      <c r="J194" s="67"/>
      <c r="K194" s="68"/>
      <c r="L194" s="22"/>
      <c r="M194" s="67"/>
      <c r="N194" s="68"/>
      <c r="O194" s="59">
        <f t="shared" ref="O194:Q195" si="49">+L194+I194+F194</f>
        <v>400000</v>
      </c>
      <c r="P194" s="60">
        <f t="shared" si="49"/>
        <v>0</v>
      </c>
      <c r="Q194" s="62">
        <f t="shared" si="49"/>
        <v>0</v>
      </c>
      <c r="R194" s="161">
        <f t="shared" si="39"/>
        <v>400000</v>
      </c>
    </row>
    <row r="195" spans="1:18" s="15" customFormat="1" x14ac:dyDescent="0.25">
      <c r="A195" s="17" t="s">
        <v>323</v>
      </c>
      <c r="B195" s="17" t="s">
        <v>323</v>
      </c>
      <c r="C195" s="18" t="s">
        <v>336</v>
      </c>
      <c r="D195" s="103" t="s">
        <v>339</v>
      </c>
      <c r="E195" s="86" t="s">
        <v>339</v>
      </c>
      <c r="F195" s="22"/>
      <c r="G195" s="20"/>
      <c r="H195" s="24"/>
      <c r="I195" s="22">
        <v>100440</v>
      </c>
      <c r="J195" s="67"/>
      <c r="K195" s="68"/>
      <c r="L195" s="22">
        <v>401760</v>
      </c>
      <c r="M195" s="67"/>
      <c r="N195" s="68"/>
      <c r="O195" s="59">
        <f t="shared" si="49"/>
        <v>502200</v>
      </c>
      <c r="P195" s="60">
        <f t="shared" si="49"/>
        <v>0</v>
      </c>
      <c r="Q195" s="62">
        <f t="shared" si="49"/>
        <v>0</v>
      </c>
      <c r="R195" s="161">
        <f t="shared" si="39"/>
        <v>502200</v>
      </c>
    </row>
    <row r="196" spans="1:18" s="15" customFormat="1" x14ac:dyDescent="0.25">
      <c r="A196" s="17" t="s">
        <v>323</v>
      </c>
      <c r="B196" s="17" t="s">
        <v>323</v>
      </c>
      <c r="C196" s="18" t="s">
        <v>341</v>
      </c>
      <c r="D196" s="103" t="s">
        <v>248</v>
      </c>
      <c r="E196" s="86" t="s">
        <v>134</v>
      </c>
      <c r="F196" s="22">
        <v>75581</v>
      </c>
      <c r="G196" s="20"/>
      <c r="H196" s="24"/>
      <c r="I196" s="22">
        <v>75581</v>
      </c>
      <c r="J196" s="67"/>
      <c r="K196" s="68"/>
      <c r="L196" s="22">
        <v>75581</v>
      </c>
      <c r="M196" s="67"/>
      <c r="N196" s="68"/>
      <c r="O196" s="59">
        <f t="shared" ref="O196:Q196" si="50">+L196+I196+F196</f>
        <v>226743</v>
      </c>
      <c r="P196" s="60">
        <f t="shared" si="50"/>
        <v>0</v>
      </c>
      <c r="Q196" s="62">
        <f t="shared" si="50"/>
        <v>0</v>
      </c>
      <c r="R196" s="161">
        <f t="shared" si="39"/>
        <v>226743</v>
      </c>
    </row>
    <row r="197" spans="1:18" s="15" customFormat="1" x14ac:dyDescent="0.25">
      <c r="A197" s="17" t="s">
        <v>323</v>
      </c>
      <c r="B197" s="17" t="s">
        <v>323</v>
      </c>
      <c r="C197" s="18" t="s">
        <v>34</v>
      </c>
      <c r="D197" s="103" t="s">
        <v>136</v>
      </c>
      <c r="E197" s="86" t="s">
        <v>136</v>
      </c>
      <c r="F197" s="22">
        <f>950000*0.5</f>
        <v>475000</v>
      </c>
      <c r="G197" s="20"/>
      <c r="H197" s="24"/>
      <c r="I197" s="22">
        <f>950000*0.5</f>
        <v>475000</v>
      </c>
      <c r="J197" s="67"/>
      <c r="K197" s="68"/>
      <c r="L197" s="22">
        <f>950000*0.5</f>
        <v>475000</v>
      </c>
      <c r="M197" s="67"/>
      <c r="N197" s="68"/>
      <c r="O197" s="59">
        <f t="shared" ref="O197:Q199" si="51">+L197+I197+F197</f>
        <v>1425000</v>
      </c>
      <c r="P197" s="60">
        <f t="shared" si="51"/>
        <v>0</v>
      </c>
      <c r="Q197" s="62">
        <f t="shared" si="51"/>
        <v>0</v>
      </c>
      <c r="R197" s="161">
        <f t="shared" si="39"/>
        <v>1425000</v>
      </c>
    </row>
    <row r="198" spans="1:18" s="15" customFormat="1" x14ac:dyDescent="0.25">
      <c r="A198" s="17" t="s">
        <v>323</v>
      </c>
      <c r="B198" s="17" t="s">
        <v>323</v>
      </c>
      <c r="C198" s="18" t="s">
        <v>8</v>
      </c>
      <c r="D198" s="103" t="s">
        <v>136</v>
      </c>
      <c r="E198" s="86" t="s">
        <v>136</v>
      </c>
      <c r="F198" s="22">
        <f>950000*0.1</f>
        <v>95000</v>
      </c>
      <c r="G198" s="20"/>
      <c r="H198" s="24"/>
      <c r="I198" s="22">
        <f>950000*0.1</f>
        <v>95000</v>
      </c>
      <c r="J198" s="67"/>
      <c r="K198" s="68"/>
      <c r="L198" s="22">
        <f>950000*0.1</f>
        <v>95000</v>
      </c>
      <c r="M198" s="67"/>
      <c r="N198" s="68"/>
      <c r="O198" s="59">
        <f t="shared" si="51"/>
        <v>285000</v>
      </c>
      <c r="P198" s="60">
        <f t="shared" si="51"/>
        <v>0</v>
      </c>
      <c r="Q198" s="62">
        <f t="shared" si="51"/>
        <v>0</v>
      </c>
      <c r="R198" s="161">
        <f t="shared" si="39"/>
        <v>285000</v>
      </c>
    </row>
    <row r="199" spans="1:18" s="15" customFormat="1" x14ac:dyDescent="0.25">
      <c r="A199" s="17" t="s">
        <v>323</v>
      </c>
      <c r="B199" s="17" t="s">
        <v>323</v>
      </c>
      <c r="C199" s="18" t="s">
        <v>9</v>
      </c>
      <c r="D199" s="103" t="s">
        <v>136</v>
      </c>
      <c r="E199" s="86" t="s">
        <v>136</v>
      </c>
      <c r="F199" s="22">
        <f>950000*0.4</f>
        <v>380000</v>
      </c>
      <c r="G199" s="20"/>
      <c r="H199" s="24"/>
      <c r="I199" s="22">
        <f>950000*0.4</f>
        <v>380000</v>
      </c>
      <c r="J199" s="67"/>
      <c r="K199" s="68"/>
      <c r="L199" s="22">
        <f>950000*0.4</f>
        <v>380000</v>
      </c>
      <c r="M199" s="67"/>
      <c r="N199" s="68"/>
      <c r="O199" s="59">
        <f t="shared" si="51"/>
        <v>1140000</v>
      </c>
      <c r="P199" s="60">
        <f t="shared" si="51"/>
        <v>0</v>
      </c>
      <c r="Q199" s="62">
        <f t="shared" si="51"/>
        <v>0</v>
      </c>
      <c r="R199" s="161">
        <f t="shared" si="39"/>
        <v>1140000</v>
      </c>
    </row>
    <row r="200" spans="1:18" s="15" customFormat="1" x14ac:dyDescent="0.25">
      <c r="A200" s="17" t="s">
        <v>364</v>
      </c>
      <c r="B200" s="17" t="s">
        <v>364</v>
      </c>
      <c r="C200" s="18" t="s">
        <v>365</v>
      </c>
      <c r="D200" s="103" t="s">
        <v>248</v>
      </c>
      <c r="E200" s="86" t="s">
        <v>134</v>
      </c>
      <c r="F200" s="22">
        <v>250000</v>
      </c>
      <c r="G200" s="20">
        <v>0</v>
      </c>
      <c r="H200" s="24">
        <v>0</v>
      </c>
      <c r="I200" s="22">
        <v>250000</v>
      </c>
      <c r="J200" s="67">
        <v>0</v>
      </c>
      <c r="K200" s="68">
        <v>0</v>
      </c>
      <c r="L200" s="22">
        <v>250000</v>
      </c>
      <c r="M200" s="67">
        <v>0</v>
      </c>
      <c r="N200" s="68">
        <v>0</v>
      </c>
      <c r="O200" s="59">
        <f t="shared" ref="O200:Q205" si="52">+L200+I200+F200</f>
        <v>750000</v>
      </c>
      <c r="P200" s="60">
        <f t="shared" si="52"/>
        <v>0</v>
      </c>
      <c r="Q200" s="62">
        <f t="shared" si="52"/>
        <v>0</v>
      </c>
      <c r="R200" s="161">
        <f t="shared" ref="R200:R205" si="53">+O200+P200+Q200</f>
        <v>750000</v>
      </c>
    </row>
    <row r="201" spans="1:18" s="15" customFormat="1" x14ac:dyDescent="0.25">
      <c r="A201" s="17" t="s">
        <v>364</v>
      </c>
      <c r="B201" s="17" t="s">
        <v>364</v>
      </c>
      <c r="C201" s="18" t="s">
        <v>366</v>
      </c>
      <c r="D201" s="103" t="s">
        <v>380</v>
      </c>
      <c r="E201" s="86" t="s">
        <v>380</v>
      </c>
      <c r="F201" s="22">
        <f>(2333414*1.3)/15</f>
        <v>202229.21333333335</v>
      </c>
      <c r="G201" s="20">
        <v>0</v>
      </c>
      <c r="H201" s="24">
        <v>0</v>
      </c>
      <c r="I201" s="22">
        <f>+F201*1.25</f>
        <v>252786.51666666669</v>
      </c>
      <c r="J201" s="67">
        <v>0</v>
      </c>
      <c r="K201" s="68">
        <v>0</v>
      </c>
      <c r="L201" s="22">
        <f>+I201*1.25</f>
        <v>315983.14583333337</v>
      </c>
      <c r="M201" s="67">
        <v>0</v>
      </c>
      <c r="N201" s="68">
        <v>0</v>
      </c>
      <c r="O201" s="59">
        <f t="shared" si="52"/>
        <v>770998.87583333347</v>
      </c>
      <c r="P201" s="60">
        <f t="shared" si="52"/>
        <v>0</v>
      </c>
      <c r="Q201" s="62">
        <f t="shared" si="52"/>
        <v>0</v>
      </c>
      <c r="R201" s="161">
        <f t="shared" si="53"/>
        <v>770998.87583333347</v>
      </c>
    </row>
    <row r="202" spans="1:18" s="15" customFormat="1" x14ac:dyDescent="0.25">
      <c r="A202" s="17" t="s">
        <v>364</v>
      </c>
      <c r="B202" s="17" t="s">
        <v>364</v>
      </c>
      <c r="C202" s="18" t="s">
        <v>367</v>
      </c>
      <c r="D202" s="103" t="s">
        <v>380</v>
      </c>
      <c r="E202" s="86" t="s">
        <v>380</v>
      </c>
      <c r="F202" s="22">
        <v>85000</v>
      </c>
      <c r="G202" s="20">
        <v>0</v>
      </c>
      <c r="H202" s="24">
        <v>0</v>
      </c>
      <c r="I202" s="22">
        <v>90000</v>
      </c>
      <c r="J202" s="67">
        <v>0</v>
      </c>
      <c r="K202" s="68">
        <v>0</v>
      </c>
      <c r="L202" s="22">
        <v>100000</v>
      </c>
      <c r="M202" s="67">
        <v>0</v>
      </c>
      <c r="N202" s="68">
        <v>0</v>
      </c>
      <c r="O202" s="59">
        <f t="shared" si="52"/>
        <v>275000</v>
      </c>
      <c r="P202" s="60">
        <f t="shared" si="52"/>
        <v>0</v>
      </c>
      <c r="Q202" s="62">
        <f t="shared" si="52"/>
        <v>0</v>
      </c>
      <c r="R202" s="161">
        <f t="shared" si="53"/>
        <v>275000</v>
      </c>
    </row>
    <row r="203" spans="1:18" s="15" customFormat="1" x14ac:dyDescent="0.25">
      <c r="A203" s="17" t="s">
        <v>364</v>
      </c>
      <c r="B203" s="17" t="s">
        <v>364</v>
      </c>
      <c r="C203" s="18" t="s">
        <v>368</v>
      </c>
      <c r="D203" s="103" t="s">
        <v>380</v>
      </c>
      <c r="E203" s="86" t="s">
        <v>380</v>
      </c>
      <c r="F203" s="22">
        <v>35000</v>
      </c>
      <c r="G203" s="20">
        <v>0</v>
      </c>
      <c r="H203" s="24">
        <v>0</v>
      </c>
      <c r="I203" s="22">
        <v>38000</v>
      </c>
      <c r="J203" s="67">
        <v>0</v>
      </c>
      <c r="K203" s="68">
        <v>0</v>
      </c>
      <c r="L203" s="22">
        <v>50000</v>
      </c>
      <c r="M203" s="67">
        <v>0</v>
      </c>
      <c r="N203" s="68">
        <v>0</v>
      </c>
      <c r="O203" s="59">
        <f t="shared" si="52"/>
        <v>123000</v>
      </c>
      <c r="P203" s="60">
        <f t="shared" si="52"/>
        <v>0</v>
      </c>
      <c r="Q203" s="62">
        <f t="shared" si="52"/>
        <v>0</v>
      </c>
      <c r="R203" s="161">
        <f t="shared" si="53"/>
        <v>123000</v>
      </c>
    </row>
    <row r="204" spans="1:18" s="15" customFormat="1" x14ac:dyDescent="0.25">
      <c r="A204" s="17" t="s">
        <v>364</v>
      </c>
      <c r="B204" s="17" t="s">
        <v>364</v>
      </c>
      <c r="C204" s="18" t="s">
        <v>382</v>
      </c>
      <c r="D204" s="103" t="s">
        <v>310</v>
      </c>
      <c r="E204" s="56" t="s">
        <v>133</v>
      </c>
      <c r="F204" s="22">
        <f>(800*1.05+174*1.21)*1.4*70</f>
        <v>102952.91999999998</v>
      </c>
      <c r="G204" s="20">
        <v>0</v>
      </c>
      <c r="H204" s="24">
        <v>0</v>
      </c>
      <c r="I204" s="22">
        <v>0</v>
      </c>
      <c r="J204" s="67">
        <v>0</v>
      </c>
      <c r="K204" s="68">
        <v>0</v>
      </c>
      <c r="L204" s="22">
        <v>0</v>
      </c>
      <c r="M204" s="67">
        <v>0</v>
      </c>
      <c r="N204" s="68">
        <v>0</v>
      </c>
      <c r="O204" s="59">
        <f t="shared" si="52"/>
        <v>102952.91999999998</v>
      </c>
      <c r="P204" s="60">
        <f t="shared" si="52"/>
        <v>0</v>
      </c>
      <c r="Q204" s="62">
        <f t="shared" si="52"/>
        <v>0</v>
      </c>
      <c r="R204" s="161">
        <f t="shared" si="53"/>
        <v>102952.91999999998</v>
      </c>
    </row>
    <row r="205" spans="1:18" s="15" customFormat="1" x14ac:dyDescent="0.25">
      <c r="A205" s="17" t="s">
        <v>364</v>
      </c>
      <c r="B205" s="17" t="s">
        <v>364</v>
      </c>
      <c r="C205" s="18" t="s">
        <v>380</v>
      </c>
      <c r="D205" s="103" t="s">
        <v>380</v>
      </c>
      <c r="E205" s="86" t="s">
        <v>380</v>
      </c>
      <c r="F205" s="22">
        <f>763800*0.8</f>
        <v>611040</v>
      </c>
      <c r="G205" s="20">
        <f>763800*0.2</f>
        <v>152760</v>
      </c>
      <c r="H205" s="24">
        <v>0</v>
      </c>
      <c r="I205" s="22">
        <f>693388*0.8</f>
        <v>554710.4</v>
      </c>
      <c r="J205" s="67">
        <f>693388*0.2</f>
        <v>138677.6</v>
      </c>
      <c r="K205" s="68">
        <v>0</v>
      </c>
      <c r="L205" s="22">
        <f>532432-3000-69069</f>
        <v>460363</v>
      </c>
      <c r="M205" s="67">
        <f>3000+69069</f>
        <v>72069</v>
      </c>
      <c r="N205" s="68">
        <v>0</v>
      </c>
      <c r="O205" s="59">
        <f t="shared" si="52"/>
        <v>1626113.4</v>
      </c>
      <c r="P205" s="60">
        <f t="shared" si="52"/>
        <v>363506.6</v>
      </c>
      <c r="Q205" s="62">
        <f t="shared" si="52"/>
        <v>0</v>
      </c>
      <c r="R205" s="161">
        <f t="shared" si="53"/>
        <v>1989620</v>
      </c>
    </row>
    <row r="206" spans="1:18" x14ac:dyDescent="0.25">
      <c r="O206" s="200"/>
      <c r="P206" s="172"/>
    </row>
    <row r="207" spans="1:18" x14ac:dyDescent="0.25">
      <c r="F207" s="172"/>
      <c r="G207" s="172"/>
      <c r="H207" s="172"/>
      <c r="I207" s="172"/>
      <c r="J207" s="172"/>
      <c r="K207" s="172"/>
      <c r="L207" s="172"/>
      <c r="M207" s="172"/>
      <c r="N207" s="172"/>
      <c r="O207" s="172"/>
      <c r="P207" s="172"/>
      <c r="Q207" s="172"/>
      <c r="R207" s="172"/>
    </row>
  </sheetData>
  <autoFilter ref="A1:CM205"/>
  <pageMargins left="0.23622047244094491" right="0.23622047244094491" top="0.74803149606299213" bottom="0.74803149606299213" header="0.31496062992125984" footer="0.31496062992125984"/>
  <pageSetup paperSize="5" scale="47" fitToHeight="13" orientation="landscape"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CO276"/>
  <sheetViews>
    <sheetView workbookViewId="0">
      <selection activeCell="A163" sqref="A163"/>
    </sheetView>
  </sheetViews>
  <sheetFormatPr defaultColWidth="11.42578125" defaultRowHeight="15" x14ac:dyDescent="0.25"/>
  <cols>
    <col min="1" max="1" width="17.140625" style="29" customWidth="1"/>
    <col min="2" max="2" width="66.140625" style="142" customWidth="1"/>
    <col min="3" max="3" width="39.7109375" style="142" customWidth="1"/>
    <col min="4" max="4" width="28" style="142" customWidth="1"/>
    <col min="5" max="5" width="10.28515625" style="34" bestFit="1" customWidth="1"/>
    <col min="6" max="7" width="13.85546875" style="14" hidden="1" customWidth="1"/>
    <col min="8" max="8" width="13.85546875" style="29" customWidth="1"/>
    <col min="9" max="9" width="13.42578125" style="29" bestFit="1" customWidth="1"/>
    <col min="10" max="11" width="13.42578125" style="29" customWidth="1"/>
    <col min="12" max="12" width="13.42578125" style="29" bestFit="1" customWidth="1"/>
    <col min="13" max="14" width="13.42578125" style="29" customWidth="1"/>
    <col min="15" max="15" width="13.42578125" style="29" bestFit="1" customWidth="1"/>
    <col min="16" max="16" width="13.42578125" style="29" customWidth="1"/>
    <col min="17" max="17" width="15.7109375" style="29" bestFit="1" customWidth="1"/>
    <col min="18" max="18" width="13.42578125" style="29" bestFit="1" customWidth="1"/>
    <col min="19" max="19" width="13.42578125" style="29" customWidth="1"/>
    <col min="20" max="20" width="13.85546875" style="14" customWidth="1"/>
    <col min="21" max="16384" width="11.42578125" style="29"/>
  </cols>
  <sheetData>
    <row r="1" spans="1:20" x14ac:dyDescent="0.25">
      <c r="C1" s="142" t="s">
        <v>129</v>
      </c>
      <c r="D1" s="142" t="s">
        <v>130</v>
      </c>
    </row>
    <row r="2" spans="1:20" ht="15.75" thickBot="1" x14ac:dyDescent="0.3"/>
    <row r="3" spans="1:20" x14ac:dyDescent="0.25">
      <c r="A3" s="342" t="s">
        <v>355</v>
      </c>
      <c r="B3" s="344" t="s">
        <v>353</v>
      </c>
      <c r="C3" s="344" t="s">
        <v>354</v>
      </c>
      <c r="D3" s="344" t="s">
        <v>356</v>
      </c>
      <c r="E3" s="344" t="s">
        <v>357</v>
      </c>
      <c r="F3" s="344" t="s">
        <v>127</v>
      </c>
      <c r="G3" s="346" t="s">
        <v>128</v>
      </c>
      <c r="H3" s="348" t="s">
        <v>2</v>
      </c>
      <c r="I3" s="349"/>
      <c r="J3" s="350"/>
      <c r="K3" s="348" t="s">
        <v>3</v>
      </c>
      <c r="L3" s="349"/>
      <c r="M3" s="350"/>
      <c r="N3" s="348" t="s">
        <v>4</v>
      </c>
      <c r="O3" s="349"/>
      <c r="P3" s="350"/>
      <c r="Q3" s="348" t="s">
        <v>154</v>
      </c>
      <c r="R3" s="349"/>
      <c r="S3" s="349"/>
      <c r="T3" s="340" t="s">
        <v>352</v>
      </c>
    </row>
    <row r="4" spans="1:20" ht="15.75" thickBot="1" x14ac:dyDescent="0.3">
      <c r="A4" s="343"/>
      <c r="B4" s="345"/>
      <c r="C4" s="345"/>
      <c r="D4" s="345"/>
      <c r="E4" s="345"/>
      <c r="F4" s="345"/>
      <c r="G4" s="347"/>
      <c r="H4" s="30" t="s">
        <v>124</v>
      </c>
      <c r="I4" s="31" t="s">
        <v>125</v>
      </c>
      <c r="J4" s="32" t="s">
        <v>126</v>
      </c>
      <c r="K4" s="30" t="s">
        <v>124</v>
      </c>
      <c r="L4" s="31" t="s">
        <v>125</v>
      </c>
      <c r="M4" s="32" t="s">
        <v>126</v>
      </c>
      <c r="N4" s="30" t="s">
        <v>124</v>
      </c>
      <c r="O4" s="31" t="s">
        <v>125</v>
      </c>
      <c r="P4" s="32" t="s">
        <v>126</v>
      </c>
      <c r="Q4" s="30" t="s">
        <v>124</v>
      </c>
      <c r="R4" s="31" t="s">
        <v>125</v>
      </c>
      <c r="S4" s="33" t="s">
        <v>126</v>
      </c>
      <c r="T4" s="341"/>
    </row>
    <row r="5" spans="1:20" hidden="1" x14ac:dyDescent="0.25">
      <c r="A5" s="35" t="s">
        <v>131</v>
      </c>
      <c r="B5" s="143" t="s">
        <v>37</v>
      </c>
      <c r="C5" s="157"/>
      <c r="D5" s="151"/>
      <c r="E5" s="37"/>
      <c r="F5" s="37"/>
      <c r="G5" s="36"/>
      <c r="H5" s="38"/>
      <c r="I5" s="39"/>
      <c r="J5" s="40"/>
      <c r="K5" s="38"/>
      <c r="L5" s="39"/>
      <c r="M5" s="40"/>
      <c r="N5" s="38"/>
      <c r="O5" s="39"/>
      <c r="P5" s="40"/>
      <c r="Q5" s="38"/>
      <c r="R5" s="39"/>
      <c r="S5" s="39"/>
      <c r="T5" s="41"/>
    </row>
    <row r="6" spans="1:20" hidden="1" x14ac:dyDescent="0.25">
      <c r="A6" s="42" t="s">
        <v>131</v>
      </c>
      <c r="B6" s="144" t="s">
        <v>60</v>
      </c>
      <c r="C6" s="158"/>
      <c r="D6" s="152"/>
      <c r="E6" s="44"/>
      <c r="F6" s="44"/>
      <c r="G6" s="43"/>
      <c r="H6" s="45"/>
      <c r="I6" s="46"/>
      <c r="J6" s="47"/>
      <c r="K6" s="45"/>
      <c r="L6" s="46"/>
      <c r="M6" s="47"/>
      <c r="N6" s="45"/>
      <c r="O6" s="46"/>
      <c r="P6" s="47"/>
      <c r="Q6" s="45"/>
      <c r="R6" s="46"/>
      <c r="S6" s="46"/>
      <c r="T6" s="48"/>
    </row>
    <row r="7" spans="1:20" hidden="1" x14ac:dyDescent="0.25">
      <c r="A7" s="49" t="s">
        <v>131</v>
      </c>
      <c r="B7" s="145" t="s">
        <v>1</v>
      </c>
      <c r="C7" s="107"/>
      <c r="D7" s="153"/>
      <c r="E7" s="51"/>
      <c r="F7" s="51"/>
      <c r="G7" s="50"/>
      <c r="H7" s="52"/>
      <c r="I7" s="50"/>
      <c r="J7" s="53"/>
      <c r="K7" s="52"/>
      <c r="L7" s="50"/>
      <c r="M7" s="53"/>
      <c r="N7" s="52"/>
      <c r="O7" s="50"/>
      <c r="P7" s="53"/>
      <c r="Q7" s="52"/>
      <c r="R7" s="50"/>
      <c r="S7" s="50"/>
      <c r="T7" s="54"/>
    </row>
    <row r="8" spans="1:20" hidden="1" x14ac:dyDescent="0.25">
      <c r="A8" s="55" t="s">
        <v>131</v>
      </c>
      <c r="B8" s="56" t="s">
        <v>16</v>
      </c>
      <c r="C8" s="56" t="s">
        <v>157</v>
      </c>
      <c r="D8" s="56" t="s">
        <v>132</v>
      </c>
      <c r="E8" s="63">
        <v>14</v>
      </c>
      <c r="F8" s="63"/>
      <c r="G8" s="64"/>
      <c r="H8" s="66"/>
      <c r="I8" s="67" t="e">
        <f>+#REF!</f>
        <v>#REF!</v>
      </c>
      <c r="J8" s="68"/>
      <c r="K8" s="66"/>
      <c r="L8" s="67" t="e">
        <f>+#REF!</f>
        <v>#REF!</v>
      </c>
      <c r="M8" s="68"/>
      <c r="N8" s="66"/>
      <c r="O8" s="67" t="e">
        <f>+#REF!</f>
        <v>#REF!</v>
      </c>
      <c r="P8" s="68"/>
      <c r="Q8" s="59">
        <f>+N8+K8+H8</f>
        <v>0</v>
      </c>
      <c r="R8" s="60" t="e">
        <f>+O8+L8+I8</f>
        <v>#REF!</v>
      </c>
      <c r="S8" s="62">
        <f>+P8+M8+J8</f>
        <v>0</v>
      </c>
      <c r="T8" s="161" t="e">
        <f>+Q8+R8+S8</f>
        <v>#REF!</v>
      </c>
    </row>
    <row r="9" spans="1:20" hidden="1" x14ac:dyDescent="0.25">
      <c r="A9" s="55" t="s">
        <v>131</v>
      </c>
      <c r="B9" s="56" t="s">
        <v>16</v>
      </c>
      <c r="C9" s="56" t="s">
        <v>158</v>
      </c>
      <c r="D9" s="56" t="s">
        <v>132</v>
      </c>
      <c r="E9" s="63">
        <v>1</v>
      </c>
      <c r="F9" s="63"/>
      <c r="G9" s="64"/>
      <c r="H9" s="69"/>
      <c r="I9" s="70" t="e">
        <f>+#REF!</f>
        <v>#REF!</v>
      </c>
      <c r="J9" s="71"/>
      <c r="K9" s="69"/>
      <c r="L9" s="70" t="e">
        <f>+#REF!</f>
        <v>#REF!</v>
      </c>
      <c r="M9" s="71"/>
      <c r="N9" s="69"/>
      <c r="O9" s="70" t="e">
        <f>+#REF!</f>
        <v>#REF!</v>
      </c>
      <c r="P9" s="71"/>
      <c r="Q9" s="59">
        <f t="shared" ref="Q9:S22" si="0">+N9+K9+H9</f>
        <v>0</v>
      </c>
      <c r="R9" s="60" t="e">
        <f t="shared" si="0"/>
        <v>#REF!</v>
      </c>
      <c r="S9" s="62">
        <f t="shared" si="0"/>
        <v>0</v>
      </c>
      <c r="T9" s="161" t="e">
        <f t="shared" ref="T9:T72" si="1">+Q9+R9+S9</f>
        <v>#REF!</v>
      </c>
    </row>
    <row r="10" spans="1:20" ht="30" hidden="1" x14ac:dyDescent="0.25">
      <c r="A10" s="55" t="s">
        <v>131</v>
      </c>
      <c r="B10" s="56" t="s">
        <v>16</v>
      </c>
      <c r="C10" s="56" t="s">
        <v>159</v>
      </c>
      <c r="D10" s="56" t="s">
        <v>132</v>
      </c>
      <c r="E10" s="63">
        <v>1</v>
      </c>
      <c r="F10" s="63"/>
      <c r="G10" s="64"/>
      <c r="H10" s="72"/>
      <c r="I10" s="73" t="e">
        <f>+#REF!</f>
        <v>#REF!</v>
      </c>
      <c r="J10" s="74"/>
      <c r="K10" s="72"/>
      <c r="L10" s="73" t="e">
        <f>+#REF!</f>
        <v>#REF!</v>
      </c>
      <c r="M10" s="74"/>
      <c r="N10" s="72"/>
      <c r="O10" s="73" t="e">
        <f>+#REF!</f>
        <v>#REF!</v>
      </c>
      <c r="P10" s="74"/>
      <c r="Q10" s="59">
        <f t="shared" si="0"/>
        <v>0</v>
      </c>
      <c r="R10" s="60" t="e">
        <f t="shared" si="0"/>
        <v>#REF!</v>
      </c>
      <c r="S10" s="62">
        <f t="shared" si="0"/>
        <v>0</v>
      </c>
      <c r="T10" s="161" t="e">
        <f t="shared" si="1"/>
        <v>#REF!</v>
      </c>
    </row>
    <row r="11" spans="1:20" hidden="1" x14ac:dyDescent="0.25">
      <c r="A11" s="55" t="s">
        <v>131</v>
      </c>
      <c r="B11" s="56" t="s">
        <v>160</v>
      </c>
      <c r="C11" s="56" t="s">
        <v>161</v>
      </c>
      <c r="D11" s="56" t="s">
        <v>132</v>
      </c>
      <c r="E11" s="63">
        <v>50</v>
      </c>
      <c r="F11" s="63"/>
      <c r="G11" s="64"/>
      <c r="H11" s="66"/>
      <c r="I11" s="67" t="e">
        <f>+#REF!</f>
        <v>#REF!</v>
      </c>
      <c r="J11" s="68"/>
      <c r="K11" s="66"/>
      <c r="L11" s="67" t="e">
        <f>+#REF!</f>
        <v>#REF!</v>
      </c>
      <c r="M11" s="68"/>
      <c r="N11" s="66"/>
      <c r="O11" s="67" t="e">
        <f>+#REF!</f>
        <v>#REF!</v>
      </c>
      <c r="P11" s="68"/>
      <c r="Q11" s="59">
        <f t="shared" si="0"/>
        <v>0</v>
      </c>
      <c r="R11" s="60" t="e">
        <f t="shared" si="0"/>
        <v>#REF!</v>
      </c>
      <c r="S11" s="62">
        <f t="shared" si="0"/>
        <v>0</v>
      </c>
      <c r="T11" s="161" t="e">
        <f t="shared" si="1"/>
        <v>#REF!</v>
      </c>
    </row>
    <row r="12" spans="1:20" ht="30" hidden="1" x14ac:dyDescent="0.25">
      <c r="A12" s="55" t="s">
        <v>131</v>
      </c>
      <c r="B12" s="56" t="s">
        <v>162</v>
      </c>
      <c r="C12" s="56" t="s">
        <v>163</v>
      </c>
      <c r="D12" s="56" t="s">
        <v>132</v>
      </c>
      <c r="E12" s="63">
        <v>1</v>
      </c>
      <c r="F12" s="63"/>
      <c r="G12" s="64"/>
      <c r="H12" s="69"/>
      <c r="I12" s="70" t="e">
        <f>+#REF!</f>
        <v>#REF!</v>
      </c>
      <c r="J12" s="71"/>
      <c r="K12" s="69"/>
      <c r="L12" s="70" t="e">
        <f>+#REF!</f>
        <v>#REF!</v>
      </c>
      <c r="M12" s="71"/>
      <c r="N12" s="69"/>
      <c r="O12" s="70" t="e">
        <f>+#REF!</f>
        <v>#REF!</v>
      </c>
      <c r="P12" s="71"/>
      <c r="Q12" s="59">
        <f t="shared" si="0"/>
        <v>0</v>
      </c>
      <c r="R12" s="60" t="e">
        <f t="shared" si="0"/>
        <v>#REF!</v>
      </c>
      <c r="S12" s="62">
        <f t="shared" si="0"/>
        <v>0</v>
      </c>
      <c r="T12" s="161" t="e">
        <f t="shared" si="1"/>
        <v>#REF!</v>
      </c>
    </row>
    <row r="13" spans="1:20" ht="30" hidden="1" x14ac:dyDescent="0.25">
      <c r="A13" s="55" t="s">
        <v>131</v>
      </c>
      <c r="B13" s="56" t="s">
        <v>164</v>
      </c>
      <c r="C13" s="56" t="s">
        <v>163</v>
      </c>
      <c r="D13" s="56" t="s">
        <v>132</v>
      </c>
      <c r="E13" s="63">
        <v>1</v>
      </c>
      <c r="F13" s="63"/>
      <c r="G13" s="64"/>
      <c r="H13" s="72"/>
      <c r="I13" s="73" t="e">
        <f>+#REF!</f>
        <v>#REF!</v>
      </c>
      <c r="J13" s="74"/>
      <c r="K13" s="72"/>
      <c r="L13" s="73" t="e">
        <f>+#REF!</f>
        <v>#REF!</v>
      </c>
      <c r="M13" s="74"/>
      <c r="N13" s="72"/>
      <c r="O13" s="73" t="e">
        <f>+#REF!</f>
        <v>#REF!</v>
      </c>
      <c r="P13" s="74"/>
      <c r="Q13" s="59">
        <f t="shared" si="0"/>
        <v>0</v>
      </c>
      <c r="R13" s="60" t="e">
        <f t="shared" si="0"/>
        <v>#REF!</v>
      </c>
      <c r="S13" s="62">
        <f t="shared" si="0"/>
        <v>0</v>
      </c>
      <c r="T13" s="161" t="e">
        <f t="shared" si="1"/>
        <v>#REF!</v>
      </c>
    </row>
    <row r="14" spans="1:20" ht="30" hidden="1" x14ac:dyDescent="0.25">
      <c r="A14" s="55" t="s">
        <v>131</v>
      </c>
      <c r="B14" s="56" t="s">
        <v>165</v>
      </c>
      <c r="C14" s="56" t="s">
        <v>163</v>
      </c>
      <c r="D14" s="56" t="s">
        <v>132</v>
      </c>
      <c r="E14" s="63">
        <v>1</v>
      </c>
      <c r="F14" s="63"/>
      <c r="G14" s="64"/>
      <c r="H14" s="66"/>
      <c r="I14" s="67" t="e">
        <f>+#REF!</f>
        <v>#REF!</v>
      </c>
      <c r="J14" s="68"/>
      <c r="K14" s="66"/>
      <c r="L14" s="67" t="e">
        <f>+#REF!</f>
        <v>#REF!</v>
      </c>
      <c r="M14" s="68"/>
      <c r="N14" s="66"/>
      <c r="O14" s="67" t="e">
        <f>+#REF!</f>
        <v>#REF!</v>
      </c>
      <c r="P14" s="68"/>
      <c r="Q14" s="59">
        <f t="shared" si="0"/>
        <v>0</v>
      </c>
      <c r="R14" s="60" t="e">
        <f t="shared" si="0"/>
        <v>#REF!</v>
      </c>
      <c r="S14" s="62">
        <f t="shared" si="0"/>
        <v>0</v>
      </c>
      <c r="T14" s="161" t="e">
        <f t="shared" si="1"/>
        <v>#REF!</v>
      </c>
    </row>
    <row r="15" spans="1:20" hidden="1" x14ac:dyDescent="0.25">
      <c r="A15" s="55" t="s">
        <v>131</v>
      </c>
      <c r="B15" s="56" t="s">
        <v>55</v>
      </c>
      <c r="C15" s="56" t="s">
        <v>166</v>
      </c>
      <c r="D15" s="56" t="s">
        <v>132</v>
      </c>
      <c r="E15" s="63">
        <v>1</v>
      </c>
      <c r="F15" s="63"/>
      <c r="G15" s="64"/>
      <c r="H15" s="69"/>
      <c r="I15" s="70" t="e">
        <f>+#REF!</f>
        <v>#REF!</v>
      </c>
      <c r="J15" s="71"/>
      <c r="K15" s="69"/>
      <c r="L15" s="70" t="e">
        <f>+#REF!</f>
        <v>#REF!</v>
      </c>
      <c r="M15" s="71"/>
      <c r="N15" s="69"/>
      <c r="O15" s="70" t="e">
        <f>+#REF!</f>
        <v>#REF!</v>
      </c>
      <c r="P15" s="71"/>
      <c r="Q15" s="59">
        <f t="shared" si="0"/>
        <v>0</v>
      </c>
      <c r="R15" s="60" t="e">
        <f t="shared" si="0"/>
        <v>#REF!</v>
      </c>
      <c r="S15" s="62">
        <f t="shared" si="0"/>
        <v>0</v>
      </c>
      <c r="T15" s="161" t="e">
        <f t="shared" si="1"/>
        <v>#REF!</v>
      </c>
    </row>
    <row r="16" spans="1:20" hidden="1" x14ac:dyDescent="0.25">
      <c r="A16" s="55" t="s">
        <v>131</v>
      </c>
      <c r="B16" s="56" t="s">
        <v>56</v>
      </c>
      <c r="C16" s="56" t="s">
        <v>167</v>
      </c>
      <c r="D16" s="56" t="s">
        <v>132</v>
      </c>
      <c r="E16" s="63">
        <v>3</v>
      </c>
      <c r="F16" s="63"/>
      <c r="G16" s="64"/>
      <c r="H16" s="72"/>
      <c r="I16" s="73" t="e">
        <f>+#REF!</f>
        <v>#REF!</v>
      </c>
      <c r="J16" s="74"/>
      <c r="K16" s="72"/>
      <c r="L16" s="73" t="e">
        <f>+#REF!</f>
        <v>#REF!</v>
      </c>
      <c r="M16" s="74"/>
      <c r="N16" s="72"/>
      <c r="O16" s="73" t="e">
        <f>+#REF!</f>
        <v>#REF!</v>
      </c>
      <c r="P16" s="74"/>
      <c r="Q16" s="59">
        <f t="shared" si="0"/>
        <v>0</v>
      </c>
      <c r="R16" s="60" t="e">
        <f t="shared" si="0"/>
        <v>#REF!</v>
      </c>
      <c r="S16" s="62">
        <f t="shared" si="0"/>
        <v>0</v>
      </c>
      <c r="T16" s="161" t="e">
        <f t="shared" si="1"/>
        <v>#REF!</v>
      </c>
    </row>
    <row r="17" spans="1:20" hidden="1" x14ac:dyDescent="0.25">
      <c r="A17" s="55" t="s">
        <v>131</v>
      </c>
      <c r="B17" s="56" t="s">
        <v>168</v>
      </c>
      <c r="C17" s="56" t="s">
        <v>166</v>
      </c>
      <c r="D17" s="56" t="s">
        <v>132</v>
      </c>
      <c r="E17" s="63">
        <v>1</v>
      </c>
      <c r="F17" s="63"/>
      <c r="G17" s="64"/>
      <c r="H17" s="66"/>
      <c r="I17" s="67" t="e">
        <f>+#REF!</f>
        <v>#REF!</v>
      </c>
      <c r="J17" s="68"/>
      <c r="K17" s="66"/>
      <c r="L17" s="67" t="e">
        <f>+#REF!</f>
        <v>#REF!</v>
      </c>
      <c r="M17" s="68"/>
      <c r="N17" s="66"/>
      <c r="O17" s="67" t="e">
        <f>+#REF!</f>
        <v>#REF!</v>
      </c>
      <c r="P17" s="68"/>
      <c r="Q17" s="59">
        <f t="shared" si="0"/>
        <v>0</v>
      </c>
      <c r="R17" s="60" t="e">
        <f t="shared" si="0"/>
        <v>#REF!</v>
      </c>
      <c r="S17" s="62">
        <f t="shared" si="0"/>
        <v>0</v>
      </c>
      <c r="T17" s="161" t="e">
        <f t="shared" si="1"/>
        <v>#REF!</v>
      </c>
    </row>
    <row r="18" spans="1:20" ht="30" hidden="1" x14ac:dyDescent="0.25">
      <c r="A18" s="55" t="s">
        <v>131</v>
      </c>
      <c r="B18" s="56" t="s">
        <v>169</v>
      </c>
      <c r="C18" s="56" t="s">
        <v>170</v>
      </c>
      <c r="D18" s="56" t="s">
        <v>132</v>
      </c>
      <c r="E18" s="63">
        <v>1</v>
      </c>
      <c r="F18" s="63"/>
      <c r="G18" s="64"/>
      <c r="H18" s="69"/>
      <c r="I18" s="70" t="e">
        <f>+#REF!</f>
        <v>#REF!</v>
      </c>
      <c r="J18" s="71"/>
      <c r="K18" s="69"/>
      <c r="L18" s="70" t="e">
        <f>+#REF!</f>
        <v>#REF!</v>
      </c>
      <c r="M18" s="71"/>
      <c r="N18" s="69"/>
      <c r="O18" s="70" t="e">
        <f>+#REF!</f>
        <v>#REF!</v>
      </c>
      <c r="P18" s="71"/>
      <c r="Q18" s="59">
        <f t="shared" si="0"/>
        <v>0</v>
      </c>
      <c r="R18" s="60" t="e">
        <f t="shared" si="0"/>
        <v>#REF!</v>
      </c>
      <c r="S18" s="62">
        <f t="shared" si="0"/>
        <v>0</v>
      </c>
      <c r="T18" s="161" t="e">
        <f t="shared" si="1"/>
        <v>#REF!</v>
      </c>
    </row>
    <row r="19" spans="1:20" ht="30" hidden="1" x14ac:dyDescent="0.25">
      <c r="A19" s="55" t="s">
        <v>131</v>
      </c>
      <c r="B19" s="56" t="s">
        <v>57</v>
      </c>
      <c r="C19" s="56" t="s">
        <v>171</v>
      </c>
      <c r="D19" s="56" t="s">
        <v>132</v>
      </c>
      <c r="E19" s="63">
        <v>3</v>
      </c>
      <c r="F19" s="63"/>
      <c r="G19" s="64"/>
      <c r="H19" s="72"/>
      <c r="I19" s="73" t="e">
        <f>+#REF!</f>
        <v>#REF!</v>
      </c>
      <c r="J19" s="74"/>
      <c r="K19" s="72"/>
      <c r="L19" s="73" t="e">
        <f>+#REF!</f>
        <v>#REF!</v>
      </c>
      <c r="M19" s="74"/>
      <c r="N19" s="72"/>
      <c r="O19" s="73" t="e">
        <f>+#REF!</f>
        <v>#REF!</v>
      </c>
      <c r="P19" s="74"/>
      <c r="Q19" s="59">
        <f t="shared" si="0"/>
        <v>0</v>
      </c>
      <c r="R19" s="60" t="e">
        <f t="shared" si="0"/>
        <v>#REF!</v>
      </c>
      <c r="S19" s="62">
        <f t="shared" si="0"/>
        <v>0</v>
      </c>
      <c r="T19" s="161" t="e">
        <f t="shared" si="1"/>
        <v>#REF!</v>
      </c>
    </row>
    <row r="20" spans="1:20" ht="30" hidden="1" x14ac:dyDescent="0.25">
      <c r="A20" s="55" t="s">
        <v>131</v>
      </c>
      <c r="B20" s="56" t="s">
        <v>172</v>
      </c>
      <c r="C20" s="56" t="s">
        <v>173</v>
      </c>
      <c r="D20" s="56" t="s">
        <v>132</v>
      </c>
      <c r="E20" s="63">
        <v>1</v>
      </c>
      <c r="F20" s="63"/>
      <c r="G20" s="64"/>
      <c r="H20" s="66"/>
      <c r="I20" s="67" t="e">
        <f>+#REF!</f>
        <v>#REF!</v>
      </c>
      <c r="J20" s="68"/>
      <c r="K20" s="66"/>
      <c r="L20" s="67" t="e">
        <f>+#REF!</f>
        <v>#REF!</v>
      </c>
      <c r="M20" s="68"/>
      <c r="N20" s="66"/>
      <c r="O20" s="67" t="e">
        <f>+#REF!</f>
        <v>#REF!</v>
      </c>
      <c r="P20" s="68"/>
      <c r="Q20" s="59">
        <f t="shared" si="0"/>
        <v>0</v>
      </c>
      <c r="R20" s="60" t="e">
        <f t="shared" si="0"/>
        <v>#REF!</v>
      </c>
      <c r="S20" s="62">
        <f t="shared" si="0"/>
        <v>0</v>
      </c>
      <c r="T20" s="161" t="e">
        <f t="shared" si="1"/>
        <v>#REF!</v>
      </c>
    </row>
    <row r="21" spans="1:20" hidden="1" x14ac:dyDescent="0.25">
      <c r="A21" s="55" t="s">
        <v>131</v>
      </c>
      <c r="B21" s="56" t="s">
        <v>59</v>
      </c>
      <c r="C21" s="56" t="s">
        <v>174</v>
      </c>
      <c r="D21" s="56" t="s">
        <v>132</v>
      </c>
      <c r="E21" s="63">
        <v>1</v>
      </c>
      <c r="F21" s="63"/>
      <c r="G21" s="64"/>
      <c r="H21" s="69"/>
      <c r="I21" s="70" t="e">
        <f>+#REF!</f>
        <v>#REF!</v>
      </c>
      <c r="J21" s="71"/>
      <c r="K21" s="69"/>
      <c r="L21" s="70" t="e">
        <f>+#REF!</f>
        <v>#REF!</v>
      </c>
      <c r="M21" s="71"/>
      <c r="N21" s="69"/>
      <c r="O21" s="70" t="e">
        <f>+#REF!</f>
        <v>#REF!</v>
      </c>
      <c r="P21" s="71"/>
      <c r="Q21" s="59">
        <f t="shared" si="0"/>
        <v>0</v>
      </c>
      <c r="R21" s="60" t="e">
        <f t="shared" si="0"/>
        <v>#REF!</v>
      </c>
      <c r="S21" s="62">
        <f t="shared" si="0"/>
        <v>0</v>
      </c>
      <c r="T21" s="161" t="e">
        <f t="shared" si="1"/>
        <v>#REF!</v>
      </c>
    </row>
    <row r="22" spans="1:20" ht="30" hidden="1" x14ac:dyDescent="0.25">
      <c r="A22" s="55" t="s">
        <v>131</v>
      </c>
      <c r="B22" s="56" t="s">
        <v>36</v>
      </c>
      <c r="C22" s="56" t="s">
        <v>92</v>
      </c>
      <c r="D22" s="56" t="s">
        <v>215</v>
      </c>
      <c r="E22" s="63">
        <v>30</v>
      </c>
      <c r="F22" s="63"/>
      <c r="G22" s="64"/>
      <c r="H22" s="72"/>
      <c r="I22" s="73">
        <f>+(2800*12*30)/15</f>
        <v>67200</v>
      </c>
      <c r="J22" s="74"/>
      <c r="K22" s="72"/>
      <c r="L22" s="73">
        <f>+(3100*12*30)/15</f>
        <v>74400</v>
      </c>
      <c r="M22" s="74"/>
      <c r="N22" s="72"/>
      <c r="O22" s="73">
        <f>+(3260*12*30)/15</f>
        <v>78240</v>
      </c>
      <c r="P22" s="74"/>
      <c r="Q22" s="59">
        <f t="shared" si="0"/>
        <v>0</v>
      </c>
      <c r="R22" s="60">
        <f t="shared" si="0"/>
        <v>219840</v>
      </c>
      <c r="S22" s="62">
        <f t="shared" si="0"/>
        <v>0</v>
      </c>
      <c r="T22" s="161">
        <f t="shared" si="1"/>
        <v>219840</v>
      </c>
    </row>
    <row r="23" spans="1:20" hidden="1" x14ac:dyDescent="0.25">
      <c r="A23" s="49" t="s">
        <v>131</v>
      </c>
      <c r="B23" s="145" t="s">
        <v>5</v>
      </c>
      <c r="C23" s="107"/>
      <c r="D23" s="153"/>
      <c r="E23" s="51"/>
      <c r="F23" s="51"/>
      <c r="G23" s="50"/>
      <c r="H23" s="52"/>
      <c r="I23" s="50"/>
      <c r="J23" s="53"/>
      <c r="K23" s="52"/>
      <c r="L23" s="50"/>
      <c r="M23" s="53"/>
      <c r="N23" s="52"/>
      <c r="O23" s="50"/>
      <c r="P23" s="53"/>
      <c r="Q23" s="52"/>
      <c r="R23" s="50"/>
      <c r="S23" s="50"/>
      <c r="T23" s="54"/>
    </row>
    <row r="24" spans="1:20" hidden="1" x14ac:dyDescent="0.25">
      <c r="A24" s="55" t="s">
        <v>131</v>
      </c>
      <c r="B24" s="56" t="s">
        <v>17</v>
      </c>
      <c r="C24" s="56" t="s">
        <v>51</v>
      </c>
      <c r="D24" s="56" t="s">
        <v>133</v>
      </c>
      <c r="E24" s="63"/>
      <c r="F24" s="63"/>
      <c r="G24" s="64"/>
      <c r="H24" s="66">
        <v>37532</v>
      </c>
      <c r="I24" s="67"/>
      <c r="J24" s="68"/>
      <c r="K24" s="66">
        <v>37532</v>
      </c>
      <c r="L24" s="67"/>
      <c r="M24" s="68"/>
      <c r="N24" s="66">
        <v>20816</v>
      </c>
      <c r="O24" s="67"/>
      <c r="P24" s="68"/>
      <c r="Q24" s="59">
        <f t="shared" ref="Q24:S26" si="2">+N24+K24+H24</f>
        <v>95880</v>
      </c>
      <c r="R24" s="60">
        <f t="shared" si="2"/>
        <v>0</v>
      </c>
      <c r="S24" s="62">
        <f t="shared" si="2"/>
        <v>0</v>
      </c>
      <c r="T24" s="161">
        <f t="shared" si="1"/>
        <v>95880</v>
      </c>
    </row>
    <row r="25" spans="1:20" hidden="1" x14ac:dyDescent="0.25">
      <c r="A25" s="55" t="s">
        <v>131</v>
      </c>
      <c r="B25" s="56" t="s">
        <v>18</v>
      </c>
      <c r="C25" s="56" t="s">
        <v>52</v>
      </c>
      <c r="D25" s="56" t="s">
        <v>134</v>
      </c>
      <c r="E25" s="63"/>
      <c r="F25" s="63"/>
      <c r="G25" s="64"/>
      <c r="H25" s="69">
        <v>35000</v>
      </c>
      <c r="I25" s="70"/>
      <c r="J25" s="71"/>
      <c r="K25" s="69">
        <v>0</v>
      </c>
      <c r="L25" s="70"/>
      <c r="M25" s="71"/>
      <c r="N25" s="69">
        <v>0</v>
      </c>
      <c r="O25" s="70"/>
      <c r="P25" s="71"/>
      <c r="Q25" s="59">
        <f t="shared" si="2"/>
        <v>35000</v>
      </c>
      <c r="R25" s="60">
        <f t="shared" si="2"/>
        <v>0</v>
      </c>
      <c r="S25" s="62">
        <f t="shared" si="2"/>
        <v>0</v>
      </c>
      <c r="T25" s="161">
        <f t="shared" si="1"/>
        <v>35000</v>
      </c>
    </row>
    <row r="26" spans="1:20" ht="30" hidden="1" x14ac:dyDescent="0.25">
      <c r="A26" s="55" t="s">
        <v>131</v>
      </c>
      <c r="B26" s="56" t="s">
        <v>19</v>
      </c>
      <c r="C26" s="56" t="s">
        <v>38</v>
      </c>
      <c r="D26" s="56" t="s">
        <v>135</v>
      </c>
      <c r="E26" s="63"/>
      <c r="F26" s="63"/>
      <c r="G26" s="64"/>
      <c r="H26" s="72">
        <v>20000</v>
      </c>
      <c r="I26" s="73"/>
      <c r="J26" s="74"/>
      <c r="K26" s="72">
        <v>22000</v>
      </c>
      <c r="L26" s="73"/>
      <c r="M26" s="74"/>
      <c r="N26" s="72">
        <v>25000</v>
      </c>
      <c r="O26" s="73"/>
      <c r="P26" s="74"/>
      <c r="Q26" s="59">
        <f t="shared" si="2"/>
        <v>67000</v>
      </c>
      <c r="R26" s="60">
        <f t="shared" si="2"/>
        <v>0</v>
      </c>
      <c r="S26" s="62">
        <f t="shared" si="2"/>
        <v>0</v>
      </c>
      <c r="T26" s="161">
        <f t="shared" si="1"/>
        <v>67000</v>
      </c>
    </row>
    <row r="27" spans="1:20" hidden="1" x14ac:dyDescent="0.25">
      <c r="A27" s="49" t="s">
        <v>131</v>
      </c>
      <c r="B27" s="145" t="s">
        <v>7</v>
      </c>
      <c r="C27" s="107"/>
      <c r="D27" s="153"/>
      <c r="E27" s="51"/>
      <c r="F27" s="51"/>
      <c r="G27" s="50"/>
      <c r="H27" s="52"/>
      <c r="I27" s="50"/>
      <c r="J27" s="53"/>
      <c r="K27" s="52"/>
      <c r="L27" s="50"/>
      <c r="M27" s="53"/>
      <c r="N27" s="52"/>
      <c r="O27" s="50"/>
      <c r="P27" s="53"/>
      <c r="Q27" s="52"/>
      <c r="R27" s="50"/>
      <c r="S27" s="50"/>
      <c r="T27" s="54"/>
    </row>
    <row r="28" spans="1:20" ht="30" hidden="1" x14ac:dyDescent="0.25">
      <c r="A28" s="65" t="s">
        <v>131</v>
      </c>
      <c r="B28" s="75" t="s">
        <v>34</v>
      </c>
      <c r="C28" s="75" t="s">
        <v>41</v>
      </c>
      <c r="D28" s="56" t="s">
        <v>136</v>
      </c>
      <c r="E28" s="57"/>
      <c r="F28" s="57"/>
      <c r="G28" s="58"/>
      <c r="H28" s="72">
        <v>34300</v>
      </c>
      <c r="I28" s="73"/>
      <c r="J28" s="74"/>
      <c r="K28" s="72">
        <v>46305</v>
      </c>
      <c r="L28" s="73"/>
      <c r="M28" s="74"/>
      <c r="N28" s="72">
        <v>64826.999999999993</v>
      </c>
      <c r="O28" s="73"/>
      <c r="P28" s="74"/>
      <c r="Q28" s="59">
        <f t="shared" ref="Q28:S32" si="3">+N28+K28+H28</f>
        <v>145432</v>
      </c>
      <c r="R28" s="60">
        <f t="shared" si="3"/>
        <v>0</v>
      </c>
      <c r="S28" s="62">
        <f t="shared" si="3"/>
        <v>0</v>
      </c>
      <c r="T28" s="161">
        <f t="shared" si="1"/>
        <v>145432</v>
      </c>
    </row>
    <row r="29" spans="1:20" ht="30" hidden="1" x14ac:dyDescent="0.25">
      <c r="A29" s="65" t="s">
        <v>131</v>
      </c>
      <c r="B29" s="75" t="s">
        <v>8</v>
      </c>
      <c r="C29" s="75" t="s">
        <v>41</v>
      </c>
      <c r="D29" s="56" t="s">
        <v>136</v>
      </c>
      <c r="E29" s="57"/>
      <c r="F29" s="57"/>
      <c r="G29" s="58"/>
      <c r="H29" s="72">
        <v>16000</v>
      </c>
      <c r="I29" s="73"/>
      <c r="J29" s="74"/>
      <c r="K29" s="72">
        <v>16000</v>
      </c>
      <c r="L29" s="73"/>
      <c r="M29" s="74"/>
      <c r="N29" s="72">
        <v>16000</v>
      </c>
      <c r="O29" s="73"/>
      <c r="P29" s="74"/>
      <c r="Q29" s="59">
        <f t="shared" si="3"/>
        <v>48000</v>
      </c>
      <c r="R29" s="60">
        <f t="shared" si="3"/>
        <v>0</v>
      </c>
      <c r="S29" s="62">
        <f t="shared" si="3"/>
        <v>0</v>
      </c>
      <c r="T29" s="161">
        <f t="shared" si="1"/>
        <v>48000</v>
      </c>
    </row>
    <row r="30" spans="1:20" ht="45" hidden="1" x14ac:dyDescent="0.25">
      <c r="A30" s="65" t="s">
        <v>131</v>
      </c>
      <c r="B30" s="75" t="s">
        <v>9</v>
      </c>
      <c r="C30" s="75" t="s">
        <v>110</v>
      </c>
      <c r="D30" s="56" t="s">
        <v>136</v>
      </c>
      <c r="E30" s="76"/>
      <c r="F30" s="76"/>
      <c r="G30" s="77"/>
      <c r="H30" s="72">
        <v>2600</v>
      </c>
      <c r="I30" s="73"/>
      <c r="J30" s="74"/>
      <c r="K30" s="72">
        <v>4550</v>
      </c>
      <c r="L30" s="73"/>
      <c r="M30" s="74"/>
      <c r="N30" s="72">
        <v>4550</v>
      </c>
      <c r="O30" s="73"/>
      <c r="P30" s="74"/>
      <c r="Q30" s="59">
        <f t="shared" si="3"/>
        <v>11700</v>
      </c>
      <c r="R30" s="60">
        <f t="shared" si="3"/>
        <v>0</v>
      </c>
      <c r="S30" s="62">
        <f t="shared" si="3"/>
        <v>0</v>
      </c>
      <c r="T30" s="161">
        <f t="shared" si="1"/>
        <v>11700</v>
      </c>
    </row>
    <row r="31" spans="1:20" hidden="1" x14ac:dyDescent="0.25">
      <c r="A31" s="55" t="s">
        <v>131</v>
      </c>
      <c r="B31" s="56" t="s">
        <v>20</v>
      </c>
      <c r="C31" s="56" t="s">
        <v>39</v>
      </c>
      <c r="D31" s="56" t="s">
        <v>135</v>
      </c>
      <c r="E31" s="63"/>
      <c r="F31" s="63"/>
      <c r="G31" s="64"/>
      <c r="H31" s="72">
        <v>40000</v>
      </c>
      <c r="I31" s="73"/>
      <c r="J31" s="74"/>
      <c r="K31" s="72">
        <v>50000</v>
      </c>
      <c r="L31" s="73"/>
      <c r="M31" s="74"/>
      <c r="N31" s="72">
        <v>50000</v>
      </c>
      <c r="O31" s="73"/>
      <c r="P31" s="74"/>
      <c r="Q31" s="59">
        <f t="shared" si="3"/>
        <v>140000</v>
      </c>
      <c r="R31" s="60">
        <f t="shared" si="3"/>
        <v>0</v>
      </c>
      <c r="S31" s="62">
        <f t="shared" si="3"/>
        <v>0</v>
      </c>
      <c r="T31" s="161">
        <f t="shared" si="1"/>
        <v>140000</v>
      </c>
    </row>
    <row r="32" spans="1:20" ht="30" hidden="1" x14ac:dyDescent="0.25">
      <c r="A32" s="55" t="s">
        <v>131</v>
      </c>
      <c r="B32" s="56" t="s">
        <v>175</v>
      </c>
      <c r="C32" s="75" t="s">
        <v>41</v>
      </c>
      <c r="D32" s="56" t="s">
        <v>136</v>
      </c>
      <c r="E32" s="57"/>
      <c r="F32" s="57"/>
      <c r="G32" s="58"/>
      <c r="H32" s="72">
        <v>3000</v>
      </c>
      <c r="I32" s="73"/>
      <c r="J32" s="74"/>
      <c r="K32" s="72">
        <v>3900</v>
      </c>
      <c r="L32" s="73"/>
      <c r="M32" s="74"/>
      <c r="N32" s="72">
        <v>5070</v>
      </c>
      <c r="O32" s="73"/>
      <c r="P32" s="74"/>
      <c r="Q32" s="59">
        <f t="shared" si="3"/>
        <v>11970</v>
      </c>
      <c r="R32" s="60">
        <f t="shared" si="3"/>
        <v>0</v>
      </c>
      <c r="S32" s="62">
        <f t="shared" si="3"/>
        <v>0</v>
      </c>
      <c r="T32" s="161">
        <f t="shared" si="1"/>
        <v>11970</v>
      </c>
    </row>
    <row r="33" spans="1:93" hidden="1" x14ac:dyDescent="0.25">
      <c r="A33" s="42" t="s">
        <v>131</v>
      </c>
      <c r="B33" s="144" t="s">
        <v>71</v>
      </c>
      <c r="C33" s="158"/>
      <c r="D33" s="152"/>
      <c r="E33" s="44"/>
      <c r="F33" s="44"/>
      <c r="G33" s="43"/>
      <c r="H33" s="45"/>
      <c r="I33" s="46"/>
      <c r="J33" s="47"/>
      <c r="K33" s="45"/>
      <c r="L33" s="46"/>
      <c r="M33" s="47"/>
      <c r="N33" s="45"/>
      <c r="O33" s="46"/>
      <c r="P33" s="47"/>
      <c r="Q33" s="45"/>
      <c r="R33" s="46"/>
      <c r="S33" s="46"/>
      <c r="T33" s="48"/>
    </row>
    <row r="34" spans="1:93" hidden="1" x14ac:dyDescent="0.25">
      <c r="A34" s="49" t="s">
        <v>131</v>
      </c>
      <c r="B34" s="145" t="s">
        <v>1</v>
      </c>
      <c r="C34" s="107"/>
      <c r="D34" s="153"/>
      <c r="E34" s="51"/>
      <c r="F34" s="51"/>
      <c r="G34" s="50"/>
      <c r="H34" s="52"/>
      <c r="I34" s="50"/>
      <c r="J34" s="53"/>
      <c r="K34" s="52"/>
      <c r="L34" s="50"/>
      <c r="M34" s="53"/>
      <c r="N34" s="52"/>
      <c r="O34" s="50"/>
      <c r="P34" s="53"/>
      <c r="Q34" s="52"/>
      <c r="R34" s="50"/>
      <c r="S34" s="50"/>
      <c r="T34" s="54"/>
    </row>
    <row r="35" spans="1:93" hidden="1" x14ac:dyDescent="0.25">
      <c r="A35" s="55" t="s">
        <v>131</v>
      </c>
      <c r="B35" s="56" t="s">
        <v>160</v>
      </c>
      <c r="C35" s="56" t="s">
        <v>176</v>
      </c>
      <c r="D35" s="56" t="s">
        <v>132</v>
      </c>
      <c r="E35" s="63">
        <v>5</v>
      </c>
      <c r="F35" s="63"/>
      <c r="G35" s="64"/>
      <c r="H35" s="72"/>
      <c r="I35" s="73" t="e">
        <f>+#REF!</f>
        <v>#REF!</v>
      </c>
      <c r="J35" s="74"/>
      <c r="K35" s="72"/>
      <c r="L35" s="73" t="e">
        <f>+#REF!</f>
        <v>#REF!</v>
      </c>
      <c r="M35" s="74"/>
      <c r="N35" s="72"/>
      <c r="O35" s="73" t="e">
        <f>+#REF!</f>
        <v>#REF!</v>
      </c>
      <c r="P35" s="74"/>
      <c r="Q35" s="59">
        <f t="shared" ref="Q35:S36" si="4">+N35+K35+H35</f>
        <v>0</v>
      </c>
      <c r="R35" s="60" t="e">
        <f t="shared" si="4"/>
        <v>#REF!</v>
      </c>
      <c r="S35" s="62">
        <f t="shared" si="4"/>
        <v>0</v>
      </c>
      <c r="T35" s="161" t="e">
        <f t="shared" si="1"/>
        <v>#REF!</v>
      </c>
    </row>
    <row r="36" spans="1:93" ht="30" hidden="1" x14ac:dyDescent="0.25">
      <c r="A36" s="55" t="s">
        <v>131</v>
      </c>
      <c r="B36" s="56" t="s">
        <v>36</v>
      </c>
      <c r="C36" s="75" t="s">
        <v>92</v>
      </c>
      <c r="D36" s="56" t="s">
        <v>6</v>
      </c>
      <c r="E36" s="57">
        <v>5</v>
      </c>
      <c r="F36" s="57"/>
      <c r="G36" s="58"/>
      <c r="H36" s="72"/>
      <c r="I36" s="73">
        <f>+(2800*12*5)/15</f>
        <v>11200</v>
      </c>
      <c r="J36" s="74"/>
      <c r="K36" s="72"/>
      <c r="L36" s="73">
        <f>+(3100*12*5)/15</f>
        <v>12400</v>
      </c>
      <c r="M36" s="74"/>
      <c r="N36" s="72"/>
      <c r="O36" s="73">
        <f>+(3260*12*5)/15</f>
        <v>13040</v>
      </c>
      <c r="P36" s="74"/>
      <c r="Q36" s="59">
        <f t="shared" si="4"/>
        <v>0</v>
      </c>
      <c r="R36" s="60">
        <f t="shared" si="4"/>
        <v>36640</v>
      </c>
      <c r="S36" s="62">
        <f t="shared" si="4"/>
        <v>0</v>
      </c>
      <c r="T36" s="161">
        <f t="shared" si="1"/>
        <v>36640</v>
      </c>
    </row>
    <row r="37" spans="1:93" hidden="1" x14ac:dyDescent="0.25">
      <c r="A37" s="49" t="s">
        <v>131</v>
      </c>
      <c r="B37" s="145" t="s">
        <v>29</v>
      </c>
      <c r="C37" s="107"/>
      <c r="D37" s="153"/>
      <c r="E37" s="51"/>
      <c r="F37" s="51"/>
      <c r="G37" s="50"/>
      <c r="H37" s="52"/>
      <c r="I37" s="50"/>
      <c r="J37" s="53"/>
      <c r="K37" s="52"/>
      <c r="L37" s="50"/>
      <c r="M37" s="53"/>
      <c r="N37" s="52"/>
      <c r="O37" s="50"/>
      <c r="P37" s="53"/>
      <c r="Q37" s="52"/>
      <c r="R37" s="50"/>
      <c r="S37" s="50"/>
      <c r="T37" s="54"/>
    </row>
    <row r="38" spans="1:93" ht="30" hidden="1" x14ac:dyDescent="0.25">
      <c r="A38" s="55" t="s">
        <v>131</v>
      </c>
      <c r="B38" s="56" t="s">
        <v>28</v>
      </c>
      <c r="C38" s="75" t="s">
        <v>119</v>
      </c>
      <c r="D38" s="56" t="s">
        <v>132</v>
      </c>
      <c r="E38" s="57">
        <v>1</v>
      </c>
      <c r="F38" s="57"/>
      <c r="G38" s="58"/>
      <c r="H38" s="72"/>
      <c r="I38" s="73" t="e">
        <f>+#REF!</f>
        <v>#REF!</v>
      </c>
      <c r="J38" s="74"/>
      <c r="K38" s="72"/>
      <c r="L38" s="73" t="e">
        <f>+#REF!</f>
        <v>#REF!</v>
      </c>
      <c r="M38" s="74"/>
      <c r="N38" s="72"/>
      <c r="O38" s="73" t="e">
        <f>+#REF!</f>
        <v>#REF!</v>
      </c>
      <c r="P38" s="74"/>
      <c r="Q38" s="59">
        <f t="shared" ref="Q38:S38" si="5">+N38+K38+H38</f>
        <v>0</v>
      </c>
      <c r="R38" s="60" t="e">
        <f t="shared" si="5"/>
        <v>#REF!</v>
      </c>
      <c r="S38" s="62">
        <f t="shared" si="5"/>
        <v>0</v>
      </c>
      <c r="T38" s="161" t="e">
        <f t="shared" si="1"/>
        <v>#REF!</v>
      </c>
    </row>
    <row r="39" spans="1:93" hidden="1" x14ac:dyDescent="0.25">
      <c r="A39" s="49" t="s">
        <v>131</v>
      </c>
      <c r="B39" s="145" t="s">
        <v>7</v>
      </c>
      <c r="C39" s="107"/>
      <c r="D39" s="153"/>
      <c r="E39" s="51"/>
      <c r="F39" s="51"/>
      <c r="G39" s="50"/>
      <c r="H39" s="52"/>
      <c r="I39" s="50"/>
      <c r="J39" s="53"/>
      <c r="K39" s="52"/>
      <c r="L39" s="50"/>
      <c r="M39" s="53"/>
      <c r="N39" s="52"/>
      <c r="O39" s="50"/>
      <c r="P39" s="53"/>
      <c r="Q39" s="52"/>
      <c r="R39" s="50"/>
      <c r="S39" s="50"/>
      <c r="T39" s="54"/>
    </row>
    <row r="40" spans="1:93" hidden="1" x14ac:dyDescent="0.25">
      <c r="A40" s="65" t="s">
        <v>131</v>
      </c>
      <c r="B40" s="75" t="s">
        <v>11</v>
      </c>
      <c r="C40" s="75" t="s">
        <v>86</v>
      </c>
      <c r="D40" s="56" t="s">
        <v>136</v>
      </c>
      <c r="E40" s="57"/>
      <c r="F40" s="57"/>
      <c r="G40" s="58"/>
      <c r="H40" s="59">
        <v>14700</v>
      </c>
      <c r="I40" s="60"/>
      <c r="J40" s="61"/>
      <c r="K40" s="59">
        <f>+H40*1.35</f>
        <v>19845</v>
      </c>
      <c r="L40" s="60"/>
      <c r="M40" s="61"/>
      <c r="N40" s="59">
        <f>+K40*1.45</f>
        <v>28775.25</v>
      </c>
      <c r="O40" s="60"/>
      <c r="P40" s="61"/>
      <c r="Q40" s="59">
        <f t="shared" ref="Q40:S41" si="6">+N40+K40+H40</f>
        <v>63320.25</v>
      </c>
      <c r="R40" s="60">
        <f t="shared" si="6"/>
        <v>0</v>
      </c>
      <c r="S40" s="62">
        <f t="shared" si="6"/>
        <v>0</v>
      </c>
      <c r="T40" s="161">
        <f t="shared" si="1"/>
        <v>63320.25</v>
      </c>
    </row>
    <row r="41" spans="1:93" ht="30" hidden="1" x14ac:dyDescent="0.25">
      <c r="A41" s="3" t="s">
        <v>131</v>
      </c>
      <c r="B41" s="86" t="s">
        <v>9</v>
      </c>
      <c r="C41" s="75" t="s">
        <v>111</v>
      </c>
      <c r="D41" s="56" t="s">
        <v>136</v>
      </c>
      <c r="E41" s="76"/>
      <c r="F41" s="76"/>
      <c r="G41" s="77"/>
      <c r="H41" s="59">
        <v>3900</v>
      </c>
      <c r="I41" s="60"/>
      <c r="J41" s="61"/>
      <c r="K41" s="59">
        <f>+H41*1.35</f>
        <v>5265</v>
      </c>
      <c r="L41" s="60"/>
      <c r="M41" s="61"/>
      <c r="N41" s="59">
        <f>+K41*1.45</f>
        <v>7634.25</v>
      </c>
      <c r="O41" s="60"/>
      <c r="P41" s="61"/>
      <c r="Q41" s="59">
        <f t="shared" si="6"/>
        <v>16799.25</v>
      </c>
      <c r="R41" s="60">
        <f t="shared" si="6"/>
        <v>0</v>
      </c>
      <c r="S41" s="62">
        <f t="shared" si="6"/>
        <v>0</v>
      </c>
      <c r="T41" s="161">
        <f t="shared" si="1"/>
        <v>16799.25</v>
      </c>
    </row>
    <row r="42" spans="1:93" hidden="1" x14ac:dyDescent="0.25">
      <c r="A42" s="82" t="s">
        <v>131</v>
      </c>
      <c r="B42" s="146" t="s">
        <v>98</v>
      </c>
      <c r="C42" s="159"/>
      <c r="D42" s="154"/>
      <c r="E42" s="84"/>
      <c r="F42" s="84"/>
      <c r="G42" s="83"/>
      <c r="H42" s="38"/>
      <c r="I42" s="39"/>
      <c r="J42" s="40"/>
      <c r="K42" s="38"/>
      <c r="L42" s="39"/>
      <c r="M42" s="40"/>
      <c r="N42" s="38"/>
      <c r="O42" s="39"/>
      <c r="P42" s="40"/>
      <c r="Q42" s="38"/>
      <c r="R42" s="39"/>
      <c r="S42" s="39"/>
      <c r="T42" s="41"/>
    </row>
    <row r="43" spans="1:93" hidden="1" x14ac:dyDescent="0.25">
      <c r="A43" s="42" t="s">
        <v>131</v>
      </c>
      <c r="B43" s="144" t="s">
        <v>120</v>
      </c>
      <c r="C43" s="158"/>
      <c r="D43" s="152"/>
      <c r="E43" s="44"/>
      <c r="F43" s="44"/>
      <c r="G43" s="43"/>
      <c r="H43" s="45"/>
      <c r="I43" s="46"/>
      <c r="J43" s="47"/>
      <c r="K43" s="45"/>
      <c r="L43" s="46"/>
      <c r="M43" s="47"/>
      <c r="N43" s="45"/>
      <c r="O43" s="46"/>
      <c r="P43" s="47"/>
      <c r="Q43" s="45"/>
      <c r="R43" s="46"/>
      <c r="S43" s="46"/>
      <c r="T43" s="48"/>
    </row>
    <row r="44" spans="1:93" hidden="1" x14ac:dyDescent="0.25">
      <c r="A44" s="49" t="s">
        <v>131</v>
      </c>
      <c r="B44" s="145" t="s">
        <v>1</v>
      </c>
      <c r="C44" s="107"/>
      <c r="D44" s="153"/>
      <c r="E44" s="51"/>
      <c r="F44" s="51"/>
      <c r="G44" s="50"/>
      <c r="H44" s="52"/>
      <c r="I44" s="50"/>
      <c r="J44" s="53"/>
      <c r="K44" s="52"/>
      <c r="L44" s="50"/>
      <c r="M44" s="53"/>
      <c r="N44" s="52"/>
      <c r="O44" s="50"/>
      <c r="P44" s="53"/>
      <c r="Q44" s="52"/>
      <c r="R44" s="50"/>
      <c r="S44" s="50"/>
      <c r="T44" s="54"/>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15"/>
      <c r="BK44" s="15"/>
      <c r="BL44" s="15"/>
      <c r="BM44" s="15"/>
      <c r="BN44" s="15"/>
      <c r="BO44" s="15"/>
      <c r="BP44" s="15"/>
      <c r="BQ44" s="15"/>
      <c r="BR44" s="15"/>
      <c r="BS44" s="15"/>
      <c r="BT44" s="15"/>
      <c r="BU44" s="15"/>
      <c r="BV44" s="15"/>
      <c r="BW44" s="15"/>
      <c r="BX44" s="15"/>
      <c r="BY44" s="15"/>
      <c r="BZ44" s="15"/>
      <c r="CA44" s="15"/>
      <c r="CB44" s="15"/>
      <c r="CC44" s="15"/>
      <c r="CD44" s="15"/>
      <c r="CE44" s="15"/>
      <c r="CF44" s="15"/>
      <c r="CG44" s="15"/>
      <c r="CH44" s="15"/>
      <c r="CI44" s="15"/>
      <c r="CJ44" s="15"/>
      <c r="CK44" s="15"/>
      <c r="CL44" s="15"/>
      <c r="CM44" s="15"/>
      <c r="CN44" s="15"/>
      <c r="CO44" s="15"/>
    </row>
    <row r="45" spans="1:93" hidden="1" x14ac:dyDescent="0.25">
      <c r="A45" s="65" t="s">
        <v>131</v>
      </c>
      <c r="B45" s="75" t="s">
        <v>84</v>
      </c>
      <c r="C45" s="75" t="s">
        <v>177</v>
      </c>
      <c r="D45" s="56" t="s">
        <v>132</v>
      </c>
      <c r="E45" s="57">
        <v>33</v>
      </c>
      <c r="F45" s="57"/>
      <c r="G45" s="58"/>
      <c r="H45" s="59"/>
      <c r="I45" s="60" t="e">
        <f>+#REF!</f>
        <v>#REF!</v>
      </c>
      <c r="J45" s="61"/>
      <c r="K45" s="59"/>
      <c r="L45" s="60" t="e">
        <f>+#REF!</f>
        <v>#REF!</v>
      </c>
      <c r="M45" s="61"/>
      <c r="N45" s="59"/>
      <c r="O45" s="60" t="e">
        <f>+#REF!</f>
        <v>#REF!</v>
      </c>
      <c r="P45" s="61"/>
      <c r="Q45" s="59">
        <f t="shared" ref="Q45:S70" si="7">+N45+K45+H45</f>
        <v>0</v>
      </c>
      <c r="R45" s="60" t="e">
        <f t="shared" si="7"/>
        <v>#REF!</v>
      </c>
      <c r="S45" s="62">
        <f t="shared" si="7"/>
        <v>0</v>
      </c>
      <c r="T45" s="161" t="e">
        <f t="shared" si="1"/>
        <v>#REF!</v>
      </c>
    </row>
    <row r="46" spans="1:93" ht="30" hidden="1" x14ac:dyDescent="0.25">
      <c r="A46" s="65" t="s">
        <v>131</v>
      </c>
      <c r="B46" s="75" t="s">
        <v>84</v>
      </c>
      <c r="C46" s="75" t="s">
        <v>178</v>
      </c>
      <c r="D46" s="56" t="s">
        <v>132</v>
      </c>
      <c r="E46" s="57">
        <v>2</v>
      </c>
      <c r="F46" s="57"/>
      <c r="G46" s="58"/>
      <c r="H46" s="59"/>
      <c r="I46" s="60" t="e">
        <f>+#REF!</f>
        <v>#REF!</v>
      </c>
      <c r="J46" s="61"/>
      <c r="K46" s="59"/>
      <c r="L46" s="60" t="e">
        <f>+#REF!</f>
        <v>#REF!</v>
      </c>
      <c r="M46" s="61"/>
      <c r="N46" s="59"/>
      <c r="O46" s="60" t="e">
        <f>+#REF!</f>
        <v>#REF!</v>
      </c>
      <c r="P46" s="61"/>
      <c r="Q46" s="59">
        <f t="shared" si="7"/>
        <v>0</v>
      </c>
      <c r="R46" s="60" t="e">
        <f t="shared" si="7"/>
        <v>#REF!</v>
      </c>
      <c r="S46" s="62">
        <f t="shared" si="7"/>
        <v>0</v>
      </c>
      <c r="T46" s="161" t="e">
        <f t="shared" si="1"/>
        <v>#REF!</v>
      </c>
    </row>
    <row r="47" spans="1:93" hidden="1" x14ac:dyDescent="0.25">
      <c r="A47" s="65" t="s">
        <v>131</v>
      </c>
      <c r="B47" s="75" t="s">
        <v>160</v>
      </c>
      <c r="C47" s="75" t="s">
        <v>179</v>
      </c>
      <c r="D47" s="56" t="s">
        <v>132</v>
      </c>
      <c r="E47" s="57">
        <v>57</v>
      </c>
      <c r="F47" s="57"/>
      <c r="G47" s="58"/>
      <c r="H47" s="59"/>
      <c r="I47" s="60" t="e">
        <f>+#REF!</f>
        <v>#REF!</v>
      </c>
      <c r="J47" s="61"/>
      <c r="K47" s="59"/>
      <c r="L47" s="60" t="e">
        <f>+#REF!</f>
        <v>#REF!</v>
      </c>
      <c r="M47" s="61"/>
      <c r="N47" s="59"/>
      <c r="O47" s="60" t="e">
        <f>+#REF!</f>
        <v>#REF!</v>
      </c>
      <c r="P47" s="61"/>
      <c r="Q47" s="59">
        <f t="shared" si="7"/>
        <v>0</v>
      </c>
      <c r="R47" s="60" t="e">
        <f t="shared" si="7"/>
        <v>#REF!</v>
      </c>
      <c r="S47" s="62">
        <f t="shared" si="7"/>
        <v>0</v>
      </c>
      <c r="T47" s="161" t="e">
        <f t="shared" si="1"/>
        <v>#REF!</v>
      </c>
    </row>
    <row r="48" spans="1:93" hidden="1" x14ac:dyDescent="0.25">
      <c r="A48" s="65" t="s">
        <v>131</v>
      </c>
      <c r="B48" s="75" t="s">
        <v>62</v>
      </c>
      <c r="C48" s="75" t="s">
        <v>180</v>
      </c>
      <c r="D48" s="56" t="s">
        <v>132</v>
      </c>
      <c r="E48" s="57">
        <v>1</v>
      </c>
      <c r="F48" s="57"/>
      <c r="G48" s="58"/>
      <c r="H48" s="59"/>
      <c r="I48" s="60" t="e">
        <f>+#REF!</f>
        <v>#REF!</v>
      </c>
      <c r="J48" s="61"/>
      <c r="K48" s="59"/>
      <c r="L48" s="60" t="e">
        <f>+#REF!</f>
        <v>#REF!</v>
      </c>
      <c r="M48" s="61"/>
      <c r="N48" s="59"/>
      <c r="O48" s="60" t="e">
        <f>+#REF!</f>
        <v>#REF!</v>
      </c>
      <c r="P48" s="61"/>
      <c r="Q48" s="59">
        <f t="shared" si="7"/>
        <v>0</v>
      </c>
      <c r="R48" s="60" t="e">
        <f t="shared" si="7"/>
        <v>#REF!</v>
      </c>
      <c r="S48" s="62">
        <f t="shared" si="7"/>
        <v>0</v>
      </c>
      <c r="T48" s="161" t="e">
        <f t="shared" si="1"/>
        <v>#REF!</v>
      </c>
    </row>
    <row r="49" spans="1:20" ht="30" hidden="1" x14ac:dyDescent="0.25">
      <c r="A49" s="65" t="s">
        <v>131</v>
      </c>
      <c r="B49" s="75" t="s">
        <v>56</v>
      </c>
      <c r="C49" s="75" t="s">
        <v>181</v>
      </c>
      <c r="D49" s="56" t="s">
        <v>132</v>
      </c>
      <c r="E49" s="57">
        <v>6</v>
      </c>
      <c r="F49" s="57"/>
      <c r="G49" s="58"/>
      <c r="H49" s="59"/>
      <c r="I49" s="60" t="e">
        <f>+#REF!</f>
        <v>#REF!</v>
      </c>
      <c r="J49" s="61"/>
      <c r="K49" s="59"/>
      <c r="L49" s="60" t="e">
        <f>+#REF!</f>
        <v>#REF!</v>
      </c>
      <c r="M49" s="61"/>
      <c r="N49" s="59"/>
      <c r="O49" s="60" t="e">
        <f>+#REF!</f>
        <v>#REF!</v>
      </c>
      <c r="P49" s="61"/>
      <c r="Q49" s="59">
        <f t="shared" si="7"/>
        <v>0</v>
      </c>
      <c r="R49" s="60" t="e">
        <f t="shared" si="7"/>
        <v>#REF!</v>
      </c>
      <c r="S49" s="62">
        <f t="shared" si="7"/>
        <v>0</v>
      </c>
      <c r="T49" s="161" t="e">
        <f t="shared" si="1"/>
        <v>#REF!</v>
      </c>
    </row>
    <row r="50" spans="1:20" ht="30" hidden="1" x14ac:dyDescent="0.25">
      <c r="A50" s="65" t="s">
        <v>131</v>
      </c>
      <c r="B50" s="75" t="s">
        <v>56</v>
      </c>
      <c r="C50" s="75" t="s">
        <v>182</v>
      </c>
      <c r="D50" s="56" t="s">
        <v>132</v>
      </c>
      <c r="E50" s="57">
        <v>2</v>
      </c>
      <c r="F50" s="57"/>
      <c r="G50" s="58"/>
      <c r="H50" s="59"/>
      <c r="I50" s="60" t="e">
        <f>+#REF!</f>
        <v>#REF!</v>
      </c>
      <c r="J50" s="61"/>
      <c r="K50" s="59"/>
      <c r="L50" s="60" t="e">
        <f>+#REF!</f>
        <v>#REF!</v>
      </c>
      <c r="M50" s="61"/>
      <c r="N50" s="59"/>
      <c r="O50" s="60" t="e">
        <f>+#REF!</f>
        <v>#REF!</v>
      </c>
      <c r="P50" s="61"/>
      <c r="Q50" s="59">
        <f t="shared" si="7"/>
        <v>0</v>
      </c>
      <c r="R50" s="60" t="e">
        <f t="shared" si="7"/>
        <v>#REF!</v>
      </c>
      <c r="S50" s="62">
        <f t="shared" si="7"/>
        <v>0</v>
      </c>
      <c r="T50" s="161" t="e">
        <f t="shared" si="1"/>
        <v>#REF!</v>
      </c>
    </row>
    <row r="51" spans="1:20" ht="30" hidden="1" x14ac:dyDescent="0.25">
      <c r="A51" s="65" t="s">
        <v>131</v>
      </c>
      <c r="B51" s="75" t="s">
        <v>56</v>
      </c>
      <c r="C51" s="75" t="s">
        <v>183</v>
      </c>
      <c r="D51" s="56" t="s">
        <v>132</v>
      </c>
      <c r="E51" s="57">
        <v>1</v>
      </c>
      <c r="F51" s="57"/>
      <c r="G51" s="58"/>
      <c r="H51" s="59"/>
      <c r="I51" s="60" t="e">
        <f>+#REF!</f>
        <v>#REF!</v>
      </c>
      <c r="J51" s="61"/>
      <c r="K51" s="59"/>
      <c r="L51" s="60" t="e">
        <f>+#REF!</f>
        <v>#REF!</v>
      </c>
      <c r="M51" s="61"/>
      <c r="N51" s="59"/>
      <c r="O51" s="60" t="e">
        <f>+#REF!</f>
        <v>#REF!</v>
      </c>
      <c r="P51" s="61"/>
      <c r="Q51" s="59">
        <f t="shared" si="7"/>
        <v>0</v>
      </c>
      <c r="R51" s="60" t="e">
        <f t="shared" si="7"/>
        <v>#REF!</v>
      </c>
      <c r="S51" s="62">
        <f t="shared" si="7"/>
        <v>0</v>
      </c>
      <c r="T51" s="161" t="e">
        <f t="shared" si="1"/>
        <v>#REF!</v>
      </c>
    </row>
    <row r="52" spans="1:20" ht="30" hidden="1" x14ac:dyDescent="0.25">
      <c r="A52" s="65" t="s">
        <v>131</v>
      </c>
      <c r="B52" s="75" t="s">
        <v>58</v>
      </c>
      <c r="C52" s="75" t="s">
        <v>184</v>
      </c>
      <c r="D52" s="56" t="s">
        <v>132</v>
      </c>
      <c r="E52" s="57">
        <v>1</v>
      </c>
      <c r="F52" s="57"/>
      <c r="G52" s="58"/>
      <c r="H52" s="59"/>
      <c r="I52" s="60" t="e">
        <f>+#REF!</f>
        <v>#REF!</v>
      </c>
      <c r="J52" s="61"/>
      <c r="K52" s="59"/>
      <c r="L52" s="60" t="e">
        <f>+#REF!</f>
        <v>#REF!</v>
      </c>
      <c r="M52" s="61"/>
      <c r="N52" s="59"/>
      <c r="O52" s="60" t="e">
        <f>+#REF!</f>
        <v>#REF!</v>
      </c>
      <c r="P52" s="61"/>
      <c r="Q52" s="59">
        <f t="shared" si="7"/>
        <v>0</v>
      </c>
      <c r="R52" s="60" t="e">
        <f t="shared" si="7"/>
        <v>#REF!</v>
      </c>
      <c r="S52" s="62">
        <f t="shared" si="7"/>
        <v>0</v>
      </c>
      <c r="T52" s="161" t="e">
        <f t="shared" si="1"/>
        <v>#REF!</v>
      </c>
    </row>
    <row r="53" spans="1:20" ht="30" hidden="1" x14ac:dyDescent="0.25">
      <c r="A53" s="65" t="s">
        <v>131</v>
      </c>
      <c r="B53" s="75" t="s">
        <v>57</v>
      </c>
      <c r="C53" s="75" t="s">
        <v>185</v>
      </c>
      <c r="D53" s="56" t="s">
        <v>132</v>
      </c>
      <c r="E53" s="57">
        <v>1</v>
      </c>
      <c r="F53" s="57"/>
      <c r="G53" s="58"/>
      <c r="H53" s="59"/>
      <c r="I53" s="60" t="e">
        <f>+#REF!</f>
        <v>#REF!</v>
      </c>
      <c r="J53" s="61"/>
      <c r="K53" s="59"/>
      <c r="L53" s="60" t="e">
        <f>+#REF!</f>
        <v>#REF!</v>
      </c>
      <c r="M53" s="61"/>
      <c r="N53" s="59"/>
      <c r="O53" s="60" t="e">
        <f>+#REF!</f>
        <v>#REF!</v>
      </c>
      <c r="P53" s="61"/>
      <c r="Q53" s="59">
        <f t="shared" si="7"/>
        <v>0</v>
      </c>
      <c r="R53" s="60" t="e">
        <f t="shared" si="7"/>
        <v>#REF!</v>
      </c>
      <c r="S53" s="62">
        <f t="shared" si="7"/>
        <v>0</v>
      </c>
      <c r="T53" s="161" t="e">
        <f t="shared" si="1"/>
        <v>#REF!</v>
      </c>
    </row>
    <row r="54" spans="1:20" ht="30" hidden="1" x14ac:dyDescent="0.25">
      <c r="A54" s="65" t="s">
        <v>131</v>
      </c>
      <c r="B54" s="75" t="s">
        <v>186</v>
      </c>
      <c r="C54" s="75" t="s">
        <v>101</v>
      </c>
      <c r="D54" s="56" t="s">
        <v>132</v>
      </c>
      <c r="E54" s="57">
        <v>1</v>
      </c>
      <c r="F54" s="57"/>
      <c r="G54" s="58"/>
      <c r="H54" s="59"/>
      <c r="I54" s="60" t="e">
        <f>+#REF!</f>
        <v>#REF!</v>
      </c>
      <c r="J54" s="61"/>
      <c r="K54" s="59"/>
      <c r="L54" s="60" t="e">
        <f>+#REF!</f>
        <v>#REF!</v>
      </c>
      <c r="M54" s="61"/>
      <c r="N54" s="59"/>
      <c r="O54" s="60" t="e">
        <f>+#REF!</f>
        <v>#REF!</v>
      </c>
      <c r="P54" s="61"/>
      <c r="Q54" s="59">
        <f t="shared" si="7"/>
        <v>0</v>
      </c>
      <c r="R54" s="60" t="e">
        <f t="shared" si="7"/>
        <v>#REF!</v>
      </c>
      <c r="S54" s="62">
        <f t="shared" si="7"/>
        <v>0</v>
      </c>
      <c r="T54" s="161" t="e">
        <f t="shared" si="1"/>
        <v>#REF!</v>
      </c>
    </row>
    <row r="55" spans="1:20" hidden="1" x14ac:dyDescent="0.25">
      <c r="A55" s="65" t="s">
        <v>131</v>
      </c>
      <c r="B55" s="75" t="s">
        <v>187</v>
      </c>
      <c r="C55" s="75" t="s">
        <v>102</v>
      </c>
      <c r="D55" s="56" t="s">
        <v>132</v>
      </c>
      <c r="E55" s="57">
        <v>1</v>
      </c>
      <c r="F55" s="57"/>
      <c r="G55" s="58"/>
      <c r="H55" s="59"/>
      <c r="I55" s="60" t="e">
        <f>+#REF!</f>
        <v>#REF!</v>
      </c>
      <c r="J55" s="61"/>
      <c r="K55" s="59"/>
      <c r="L55" s="60" t="e">
        <f>+#REF!</f>
        <v>#REF!</v>
      </c>
      <c r="M55" s="61"/>
      <c r="N55" s="59"/>
      <c r="O55" s="60" t="e">
        <f>+#REF!</f>
        <v>#REF!</v>
      </c>
      <c r="P55" s="61"/>
      <c r="Q55" s="59">
        <f t="shared" si="7"/>
        <v>0</v>
      </c>
      <c r="R55" s="60" t="e">
        <f t="shared" si="7"/>
        <v>#REF!</v>
      </c>
      <c r="S55" s="62">
        <f t="shared" si="7"/>
        <v>0</v>
      </c>
      <c r="T55" s="161" t="e">
        <f t="shared" si="1"/>
        <v>#REF!</v>
      </c>
    </row>
    <row r="56" spans="1:20" ht="30" hidden="1" x14ac:dyDescent="0.25">
      <c r="A56" s="65" t="s">
        <v>131</v>
      </c>
      <c r="B56" s="75" t="s">
        <v>63</v>
      </c>
      <c r="C56" s="75" t="s">
        <v>184</v>
      </c>
      <c r="D56" s="56" t="s">
        <v>132</v>
      </c>
      <c r="E56" s="57">
        <v>1</v>
      </c>
      <c r="F56" s="57"/>
      <c r="G56" s="58"/>
      <c r="H56" s="59"/>
      <c r="I56" s="60" t="e">
        <f>+#REF!</f>
        <v>#REF!</v>
      </c>
      <c r="J56" s="61"/>
      <c r="K56" s="59"/>
      <c r="L56" s="60" t="e">
        <f>+#REF!</f>
        <v>#REF!</v>
      </c>
      <c r="M56" s="61"/>
      <c r="N56" s="59"/>
      <c r="O56" s="60" t="e">
        <f>+#REF!</f>
        <v>#REF!</v>
      </c>
      <c r="P56" s="61"/>
      <c r="Q56" s="59">
        <f t="shared" si="7"/>
        <v>0</v>
      </c>
      <c r="R56" s="60" t="e">
        <f t="shared" si="7"/>
        <v>#REF!</v>
      </c>
      <c r="S56" s="62">
        <f t="shared" si="7"/>
        <v>0</v>
      </c>
      <c r="T56" s="161" t="e">
        <f t="shared" si="1"/>
        <v>#REF!</v>
      </c>
    </row>
    <row r="57" spans="1:20" ht="30" hidden="1" x14ac:dyDescent="0.25">
      <c r="A57" s="65" t="s">
        <v>131</v>
      </c>
      <c r="B57" s="75" t="s">
        <v>64</v>
      </c>
      <c r="C57" s="75" t="s">
        <v>188</v>
      </c>
      <c r="D57" s="56" t="s">
        <v>132</v>
      </c>
      <c r="E57" s="57">
        <v>1</v>
      </c>
      <c r="F57" s="57"/>
      <c r="G57" s="58"/>
      <c r="H57" s="59"/>
      <c r="I57" s="60" t="e">
        <f>+#REF!</f>
        <v>#REF!</v>
      </c>
      <c r="J57" s="61"/>
      <c r="K57" s="59"/>
      <c r="L57" s="60" t="e">
        <f>+#REF!</f>
        <v>#REF!</v>
      </c>
      <c r="M57" s="61"/>
      <c r="N57" s="59"/>
      <c r="O57" s="60" t="e">
        <f>+#REF!</f>
        <v>#REF!</v>
      </c>
      <c r="P57" s="61"/>
      <c r="Q57" s="59">
        <f t="shared" si="7"/>
        <v>0</v>
      </c>
      <c r="R57" s="60" t="e">
        <f t="shared" si="7"/>
        <v>#REF!</v>
      </c>
      <c r="S57" s="62">
        <f t="shared" si="7"/>
        <v>0</v>
      </c>
      <c r="T57" s="161" t="e">
        <f t="shared" si="1"/>
        <v>#REF!</v>
      </c>
    </row>
    <row r="58" spans="1:20" hidden="1" x14ac:dyDescent="0.25">
      <c r="A58" s="65" t="s">
        <v>131</v>
      </c>
      <c r="B58" s="75" t="s">
        <v>189</v>
      </c>
      <c r="C58" s="75" t="s">
        <v>190</v>
      </c>
      <c r="D58" s="56" t="s">
        <v>132</v>
      </c>
      <c r="E58" s="57">
        <v>1</v>
      </c>
      <c r="F58" s="57"/>
      <c r="G58" s="58"/>
      <c r="H58" s="59"/>
      <c r="I58" s="60" t="e">
        <f>+#REF!</f>
        <v>#REF!</v>
      </c>
      <c r="J58" s="61"/>
      <c r="K58" s="59"/>
      <c r="L58" s="60" t="e">
        <f>+#REF!</f>
        <v>#REF!</v>
      </c>
      <c r="M58" s="61"/>
      <c r="N58" s="59"/>
      <c r="O58" s="60" t="e">
        <f>+#REF!</f>
        <v>#REF!</v>
      </c>
      <c r="P58" s="61"/>
      <c r="Q58" s="59">
        <f t="shared" si="7"/>
        <v>0</v>
      </c>
      <c r="R58" s="60" t="e">
        <f t="shared" si="7"/>
        <v>#REF!</v>
      </c>
      <c r="S58" s="62">
        <f t="shared" si="7"/>
        <v>0</v>
      </c>
      <c r="T58" s="161" t="e">
        <f t="shared" si="1"/>
        <v>#REF!</v>
      </c>
    </row>
    <row r="59" spans="1:20" hidden="1" x14ac:dyDescent="0.25">
      <c r="A59" s="65" t="s">
        <v>131</v>
      </c>
      <c r="B59" s="75" t="s">
        <v>65</v>
      </c>
      <c r="C59" s="75" t="s">
        <v>190</v>
      </c>
      <c r="D59" s="56" t="s">
        <v>132</v>
      </c>
      <c r="E59" s="57">
        <v>1</v>
      </c>
      <c r="F59" s="57"/>
      <c r="G59" s="58"/>
      <c r="H59" s="59"/>
      <c r="I59" s="60" t="e">
        <f>+#REF!</f>
        <v>#REF!</v>
      </c>
      <c r="J59" s="61"/>
      <c r="K59" s="59"/>
      <c r="L59" s="60" t="e">
        <f>+#REF!</f>
        <v>#REF!</v>
      </c>
      <c r="M59" s="61"/>
      <c r="N59" s="59"/>
      <c r="O59" s="60" t="e">
        <f>+#REF!</f>
        <v>#REF!</v>
      </c>
      <c r="P59" s="61"/>
      <c r="Q59" s="59">
        <f t="shared" si="7"/>
        <v>0</v>
      </c>
      <c r="R59" s="60" t="e">
        <f t="shared" si="7"/>
        <v>#REF!</v>
      </c>
      <c r="S59" s="62">
        <f t="shared" si="7"/>
        <v>0</v>
      </c>
      <c r="T59" s="161" t="e">
        <f t="shared" si="1"/>
        <v>#REF!</v>
      </c>
    </row>
    <row r="60" spans="1:20" hidden="1" x14ac:dyDescent="0.25">
      <c r="A60" s="65" t="s">
        <v>131</v>
      </c>
      <c r="B60" s="75" t="s">
        <v>55</v>
      </c>
      <c r="C60" s="75" t="s">
        <v>191</v>
      </c>
      <c r="D60" s="56" t="s">
        <v>132</v>
      </c>
      <c r="E60" s="57">
        <v>1</v>
      </c>
      <c r="F60" s="57"/>
      <c r="G60" s="58"/>
      <c r="H60" s="59"/>
      <c r="I60" s="60" t="e">
        <f>+#REF!</f>
        <v>#REF!</v>
      </c>
      <c r="J60" s="61"/>
      <c r="K60" s="59"/>
      <c r="L60" s="60" t="e">
        <f>+#REF!</f>
        <v>#REF!</v>
      </c>
      <c r="M60" s="61"/>
      <c r="N60" s="59"/>
      <c r="O60" s="60" t="e">
        <f>+#REF!</f>
        <v>#REF!</v>
      </c>
      <c r="P60" s="61"/>
      <c r="Q60" s="59">
        <f t="shared" si="7"/>
        <v>0</v>
      </c>
      <c r="R60" s="60" t="e">
        <f t="shared" si="7"/>
        <v>#REF!</v>
      </c>
      <c r="S60" s="62">
        <f t="shared" si="7"/>
        <v>0</v>
      </c>
      <c r="T60" s="161" t="e">
        <f t="shared" si="1"/>
        <v>#REF!</v>
      </c>
    </row>
    <row r="61" spans="1:20" hidden="1" x14ac:dyDescent="0.25">
      <c r="A61" s="65" t="s">
        <v>131</v>
      </c>
      <c r="B61" s="75" t="s">
        <v>55</v>
      </c>
      <c r="C61" s="75" t="s">
        <v>192</v>
      </c>
      <c r="D61" s="56" t="s">
        <v>132</v>
      </c>
      <c r="E61" s="57">
        <v>1</v>
      </c>
      <c r="F61" s="57"/>
      <c r="G61" s="58"/>
      <c r="H61" s="59"/>
      <c r="I61" s="60" t="e">
        <f>+#REF!</f>
        <v>#REF!</v>
      </c>
      <c r="J61" s="61"/>
      <c r="K61" s="59"/>
      <c r="L61" s="60" t="e">
        <f>+#REF!</f>
        <v>#REF!</v>
      </c>
      <c r="M61" s="61"/>
      <c r="N61" s="59"/>
      <c r="O61" s="60" t="e">
        <f>+#REF!</f>
        <v>#REF!</v>
      </c>
      <c r="P61" s="61"/>
      <c r="Q61" s="59">
        <f t="shared" si="7"/>
        <v>0</v>
      </c>
      <c r="R61" s="60" t="e">
        <f t="shared" si="7"/>
        <v>#REF!</v>
      </c>
      <c r="S61" s="62">
        <f t="shared" si="7"/>
        <v>0</v>
      </c>
      <c r="T61" s="161" t="e">
        <f t="shared" si="1"/>
        <v>#REF!</v>
      </c>
    </row>
    <row r="62" spans="1:20" hidden="1" x14ac:dyDescent="0.25">
      <c r="A62" s="65" t="s">
        <v>131</v>
      </c>
      <c r="B62" s="75" t="s">
        <v>66</v>
      </c>
      <c r="C62" s="75" t="s">
        <v>193</v>
      </c>
      <c r="D62" s="56" t="s">
        <v>132</v>
      </c>
      <c r="E62" s="57">
        <v>1</v>
      </c>
      <c r="F62" s="57"/>
      <c r="G62" s="58"/>
      <c r="H62" s="59"/>
      <c r="I62" s="60" t="e">
        <f>+#REF!</f>
        <v>#REF!</v>
      </c>
      <c r="J62" s="61"/>
      <c r="K62" s="59"/>
      <c r="L62" s="60" t="e">
        <f>+#REF!</f>
        <v>#REF!</v>
      </c>
      <c r="M62" s="61"/>
      <c r="N62" s="59"/>
      <c r="O62" s="60" t="e">
        <f>+#REF!</f>
        <v>#REF!</v>
      </c>
      <c r="P62" s="61"/>
      <c r="Q62" s="59">
        <f t="shared" si="7"/>
        <v>0</v>
      </c>
      <c r="R62" s="60" t="e">
        <f t="shared" si="7"/>
        <v>#REF!</v>
      </c>
      <c r="S62" s="62">
        <f t="shared" si="7"/>
        <v>0</v>
      </c>
      <c r="T62" s="161" t="e">
        <f t="shared" si="1"/>
        <v>#REF!</v>
      </c>
    </row>
    <row r="63" spans="1:20" hidden="1" x14ac:dyDescent="0.25">
      <c r="A63" s="65" t="s">
        <v>131</v>
      </c>
      <c r="B63" s="75" t="s">
        <v>66</v>
      </c>
      <c r="C63" s="75" t="s">
        <v>194</v>
      </c>
      <c r="D63" s="56" t="s">
        <v>132</v>
      </c>
      <c r="E63" s="57">
        <v>3</v>
      </c>
      <c r="F63" s="57"/>
      <c r="G63" s="58"/>
      <c r="H63" s="59"/>
      <c r="I63" s="60" t="e">
        <f>+#REF!</f>
        <v>#REF!</v>
      </c>
      <c r="J63" s="61"/>
      <c r="K63" s="59"/>
      <c r="L63" s="60" t="e">
        <f>+#REF!</f>
        <v>#REF!</v>
      </c>
      <c r="M63" s="61"/>
      <c r="N63" s="59"/>
      <c r="O63" s="60" t="e">
        <f>+#REF!</f>
        <v>#REF!</v>
      </c>
      <c r="P63" s="61"/>
      <c r="Q63" s="59">
        <f t="shared" si="7"/>
        <v>0</v>
      </c>
      <c r="R63" s="60" t="e">
        <f t="shared" si="7"/>
        <v>#REF!</v>
      </c>
      <c r="S63" s="62">
        <f t="shared" si="7"/>
        <v>0</v>
      </c>
      <c r="T63" s="161" t="e">
        <f t="shared" si="1"/>
        <v>#REF!</v>
      </c>
    </row>
    <row r="64" spans="1:20" hidden="1" x14ac:dyDescent="0.25">
      <c r="A64" s="65" t="s">
        <v>131</v>
      </c>
      <c r="B64" s="75" t="s">
        <v>66</v>
      </c>
      <c r="C64" s="75" t="s">
        <v>195</v>
      </c>
      <c r="D64" s="56" t="s">
        <v>132</v>
      </c>
      <c r="E64" s="57">
        <v>1</v>
      </c>
      <c r="F64" s="57"/>
      <c r="G64" s="58"/>
      <c r="H64" s="59"/>
      <c r="I64" s="60" t="e">
        <f>+#REF!</f>
        <v>#REF!</v>
      </c>
      <c r="J64" s="61"/>
      <c r="K64" s="59"/>
      <c r="L64" s="60" t="e">
        <f>+#REF!</f>
        <v>#REF!</v>
      </c>
      <c r="M64" s="61"/>
      <c r="N64" s="59"/>
      <c r="O64" s="60" t="e">
        <f>+#REF!</f>
        <v>#REF!</v>
      </c>
      <c r="P64" s="61"/>
      <c r="Q64" s="59">
        <f t="shared" si="7"/>
        <v>0</v>
      </c>
      <c r="R64" s="60" t="e">
        <f t="shared" si="7"/>
        <v>#REF!</v>
      </c>
      <c r="S64" s="62">
        <f t="shared" si="7"/>
        <v>0</v>
      </c>
      <c r="T64" s="161" t="e">
        <f t="shared" si="1"/>
        <v>#REF!</v>
      </c>
    </row>
    <row r="65" spans="1:93" hidden="1" x14ac:dyDescent="0.25">
      <c r="A65" s="65" t="s">
        <v>131</v>
      </c>
      <c r="B65" s="75" t="s">
        <v>67</v>
      </c>
      <c r="C65" s="75" t="s">
        <v>190</v>
      </c>
      <c r="D65" s="56" t="s">
        <v>132</v>
      </c>
      <c r="E65" s="57">
        <v>1</v>
      </c>
      <c r="F65" s="57"/>
      <c r="G65" s="58"/>
      <c r="H65" s="59"/>
      <c r="I65" s="60" t="e">
        <f>+#REF!</f>
        <v>#REF!</v>
      </c>
      <c r="J65" s="61"/>
      <c r="K65" s="59"/>
      <c r="L65" s="60" t="e">
        <f>+#REF!</f>
        <v>#REF!</v>
      </c>
      <c r="M65" s="61"/>
      <c r="N65" s="59"/>
      <c r="O65" s="60" t="e">
        <f>+#REF!</f>
        <v>#REF!</v>
      </c>
      <c r="P65" s="61"/>
      <c r="Q65" s="59">
        <f t="shared" si="7"/>
        <v>0</v>
      </c>
      <c r="R65" s="60" t="e">
        <f t="shared" si="7"/>
        <v>#REF!</v>
      </c>
      <c r="S65" s="62">
        <f t="shared" si="7"/>
        <v>0</v>
      </c>
      <c r="T65" s="161" t="e">
        <f t="shared" si="1"/>
        <v>#REF!</v>
      </c>
    </row>
    <row r="66" spans="1:93" hidden="1" x14ac:dyDescent="0.25">
      <c r="A66" s="65" t="s">
        <v>131</v>
      </c>
      <c r="B66" s="75" t="s">
        <v>68</v>
      </c>
      <c r="C66" s="75" t="s">
        <v>196</v>
      </c>
      <c r="D66" s="56" t="s">
        <v>132</v>
      </c>
      <c r="E66" s="57">
        <v>1</v>
      </c>
      <c r="F66" s="57"/>
      <c r="G66" s="58"/>
      <c r="H66" s="59"/>
      <c r="I66" s="60" t="e">
        <f>+#REF!</f>
        <v>#REF!</v>
      </c>
      <c r="J66" s="61"/>
      <c r="K66" s="59"/>
      <c r="L66" s="60" t="e">
        <f>+#REF!</f>
        <v>#REF!</v>
      </c>
      <c r="M66" s="61"/>
      <c r="N66" s="59"/>
      <c r="O66" s="60" t="e">
        <f>+#REF!</f>
        <v>#REF!</v>
      </c>
      <c r="P66" s="61"/>
      <c r="Q66" s="59">
        <f t="shared" si="7"/>
        <v>0</v>
      </c>
      <c r="R66" s="60" t="e">
        <f t="shared" si="7"/>
        <v>#REF!</v>
      </c>
      <c r="S66" s="62">
        <f t="shared" si="7"/>
        <v>0</v>
      </c>
      <c r="T66" s="161" t="e">
        <f t="shared" si="1"/>
        <v>#REF!</v>
      </c>
    </row>
    <row r="67" spans="1:93" hidden="1" x14ac:dyDescent="0.25">
      <c r="A67" s="65" t="s">
        <v>131</v>
      </c>
      <c r="B67" s="75" t="s">
        <v>69</v>
      </c>
      <c r="C67" s="75" t="s">
        <v>100</v>
      </c>
      <c r="D67" s="56" t="s">
        <v>132</v>
      </c>
      <c r="E67" s="57">
        <v>1</v>
      </c>
      <c r="F67" s="57"/>
      <c r="G67" s="58"/>
      <c r="H67" s="59"/>
      <c r="I67" s="60" t="e">
        <f>+#REF!</f>
        <v>#REF!</v>
      </c>
      <c r="J67" s="61"/>
      <c r="K67" s="59"/>
      <c r="L67" s="60" t="e">
        <f>+#REF!</f>
        <v>#REF!</v>
      </c>
      <c r="M67" s="61"/>
      <c r="N67" s="59"/>
      <c r="O67" s="60" t="e">
        <f>+#REF!</f>
        <v>#REF!</v>
      </c>
      <c r="P67" s="61"/>
      <c r="Q67" s="59">
        <f t="shared" si="7"/>
        <v>0</v>
      </c>
      <c r="R67" s="60" t="e">
        <f t="shared" si="7"/>
        <v>#REF!</v>
      </c>
      <c r="S67" s="62">
        <f t="shared" si="7"/>
        <v>0</v>
      </c>
      <c r="T67" s="161" t="e">
        <f t="shared" si="1"/>
        <v>#REF!</v>
      </c>
    </row>
    <row r="68" spans="1:93" ht="30" hidden="1" x14ac:dyDescent="0.25">
      <c r="A68" s="65" t="s">
        <v>131</v>
      </c>
      <c r="B68" s="75" t="s">
        <v>70</v>
      </c>
      <c r="C68" s="75" t="s">
        <v>100</v>
      </c>
      <c r="D68" s="56" t="s">
        <v>132</v>
      </c>
      <c r="E68" s="57">
        <v>1</v>
      </c>
      <c r="F68" s="57"/>
      <c r="G68" s="58"/>
      <c r="H68" s="59"/>
      <c r="I68" s="60" t="e">
        <f>+#REF!</f>
        <v>#REF!</v>
      </c>
      <c r="J68" s="61"/>
      <c r="K68" s="59"/>
      <c r="L68" s="60" t="e">
        <f>+#REF!</f>
        <v>#REF!</v>
      </c>
      <c r="M68" s="61"/>
      <c r="N68" s="59"/>
      <c r="O68" s="60" t="e">
        <f>+#REF!</f>
        <v>#REF!</v>
      </c>
      <c r="P68" s="61"/>
      <c r="Q68" s="59">
        <f t="shared" si="7"/>
        <v>0</v>
      </c>
      <c r="R68" s="60" t="e">
        <f t="shared" si="7"/>
        <v>#REF!</v>
      </c>
      <c r="S68" s="62">
        <f t="shared" si="7"/>
        <v>0</v>
      </c>
      <c r="T68" s="161" t="e">
        <f t="shared" si="1"/>
        <v>#REF!</v>
      </c>
    </row>
    <row r="69" spans="1:93" ht="30" hidden="1" x14ac:dyDescent="0.25">
      <c r="A69" s="65" t="s">
        <v>131</v>
      </c>
      <c r="B69" s="75" t="s">
        <v>197</v>
      </c>
      <c r="C69" s="75" t="s">
        <v>103</v>
      </c>
      <c r="D69" s="56" t="s">
        <v>132</v>
      </c>
      <c r="E69" s="57">
        <v>6</v>
      </c>
      <c r="F69" s="57"/>
      <c r="G69" s="58"/>
      <c r="H69" s="59"/>
      <c r="I69" s="60" t="e">
        <f>+#REF!</f>
        <v>#REF!</v>
      </c>
      <c r="J69" s="61"/>
      <c r="K69" s="59"/>
      <c r="L69" s="60" t="e">
        <f>+#REF!</f>
        <v>#REF!</v>
      </c>
      <c r="M69" s="61"/>
      <c r="N69" s="59"/>
      <c r="O69" s="60" t="e">
        <f>+#REF!</f>
        <v>#REF!</v>
      </c>
      <c r="P69" s="61"/>
      <c r="Q69" s="59">
        <f t="shared" si="7"/>
        <v>0</v>
      </c>
      <c r="R69" s="60" t="e">
        <f t="shared" si="7"/>
        <v>#REF!</v>
      </c>
      <c r="S69" s="62">
        <f t="shared" si="7"/>
        <v>0</v>
      </c>
      <c r="T69" s="161" t="e">
        <f t="shared" si="1"/>
        <v>#REF!</v>
      </c>
    </row>
    <row r="70" spans="1:93" ht="30" hidden="1" x14ac:dyDescent="0.25">
      <c r="A70" s="65" t="s">
        <v>131</v>
      </c>
      <c r="B70" s="75" t="s">
        <v>36</v>
      </c>
      <c r="C70" s="75" t="s">
        <v>92</v>
      </c>
      <c r="D70" s="56" t="s">
        <v>6</v>
      </c>
      <c r="E70" s="57">
        <v>70</v>
      </c>
      <c r="F70" s="57"/>
      <c r="G70" s="58"/>
      <c r="H70" s="59"/>
      <c r="I70" s="60">
        <f>+(2800*12*70)/15</f>
        <v>156800</v>
      </c>
      <c r="J70" s="61"/>
      <c r="K70" s="59"/>
      <c r="L70" s="60">
        <f>+(3100*12*70)/15</f>
        <v>173600</v>
      </c>
      <c r="M70" s="61"/>
      <c r="N70" s="59"/>
      <c r="O70" s="60">
        <f>+(3260*12*70)/15</f>
        <v>182560</v>
      </c>
      <c r="P70" s="61"/>
      <c r="Q70" s="59">
        <f t="shared" si="7"/>
        <v>0</v>
      </c>
      <c r="R70" s="60">
        <f t="shared" si="7"/>
        <v>512960</v>
      </c>
      <c r="S70" s="62">
        <f t="shared" si="7"/>
        <v>0</v>
      </c>
      <c r="T70" s="161">
        <f t="shared" si="1"/>
        <v>512960</v>
      </c>
    </row>
    <row r="71" spans="1:93" hidden="1" x14ac:dyDescent="0.25">
      <c r="A71" s="49" t="s">
        <v>131</v>
      </c>
      <c r="B71" s="145" t="s">
        <v>5</v>
      </c>
      <c r="C71" s="107"/>
      <c r="D71" s="153"/>
      <c r="E71" s="51"/>
      <c r="F71" s="51"/>
      <c r="G71" s="50"/>
      <c r="H71" s="52"/>
      <c r="I71" s="50"/>
      <c r="J71" s="53"/>
      <c r="K71" s="52"/>
      <c r="L71" s="50"/>
      <c r="M71" s="53"/>
      <c r="N71" s="52"/>
      <c r="O71" s="50"/>
      <c r="P71" s="53"/>
      <c r="Q71" s="52"/>
      <c r="R71" s="50"/>
      <c r="S71" s="50"/>
      <c r="T71" s="54"/>
    </row>
    <row r="72" spans="1:93" s="85" customFormat="1" hidden="1" x14ac:dyDescent="0.25">
      <c r="A72" s="55" t="s">
        <v>131</v>
      </c>
      <c r="B72" s="56" t="s">
        <v>17</v>
      </c>
      <c r="C72" s="86" t="s">
        <v>53</v>
      </c>
      <c r="D72" s="86" t="s">
        <v>133</v>
      </c>
      <c r="E72" s="27"/>
      <c r="F72" s="27"/>
      <c r="G72" s="28"/>
      <c r="H72" s="72">
        <v>24000</v>
      </c>
      <c r="I72" s="73"/>
      <c r="J72" s="74"/>
      <c r="K72" s="72">
        <v>48000</v>
      </c>
      <c r="L72" s="73"/>
      <c r="M72" s="74"/>
      <c r="N72" s="72"/>
      <c r="O72" s="73"/>
      <c r="P72" s="74"/>
      <c r="Q72" s="59">
        <f t="shared" ref="Q72:S73" si="8">+N72+K72+H72</f>
        <v>72000</v>
      </c>
      <c r="R72" s="60">
        <f t="shared" si="8"/>
        <v>0</v>
      </c>
      <c r="S72" s="62">
        <f t="shared" si="8"/>
        <v>0</v>
      </c>
      <c r="T72" s="161">
        <f t="shared" si="1"/>
        <v>72000</v>
      </c>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15"/>
      <c r="BK72" s="15"/>
      <c r="BL72" s="15"/>
      <c r="BM72" s="15"/>
      <c r="BN72" s="15"/>
      <c r="BO72" s="15"/>
      <c r="BP72" s="15"/>
      <c r="BQ72" s="15"/>
      <c r="BR72" s="15"/>
      <c r="BS72" s="15"/>
      <c r="BT72" s="15"/>
      <c r="BU72" s="15"/>
      <c r="BV72" s="15"/>
      <c r="BW72" s="15"/>
      <c r="BX72" s="15"/>
      <c r="BY72" s="15"/>
      <c r="BZ72" s="15"/>
      <c r="CA72" s="15"/>
      <c r="CB72" s="15"/>
      <c r="CC72" s="15"/>
      <c r="CD72" s="15"/>
      <c r="CE72" s="15"/>
      <c r="CF72" s="15"/>
      <c r="CG72" s="15"/>
      <c r="CH72" s="15"/>
      <c r="CI72" s="15"/>
      <c r="CJ72" s="15"/>
      <c r="CK72" s="15"/>
      <c r="CL72" s="15"/>
      <c r="CM72" s="15"/>
      <c r="CN72" s="15"/>
      <c r="CO72" s="15"/>
    </row>
    <row r="73" spans="1:93" hidden="1" x14ac:dyDescent="0.25">
      <c r="A73" s="55" t="s">
        <v>131</v>
      </c>
      <c r="B73" s="56" t="s">
        <v>45</v>
      </c>
      <c r="C73" s="56" t="s">
        <v>90</v>
      </c>
      <c r="D73" s="56" t="s">
        <v>135</v>
      </c>
      <c r="E73" s="63"/>
      <c r="F73" s="63"/>
      <c r="G73" s="64"/>
      <c r="H73" s="72">
        <v>30000</v>
      </c>
      <c r="I73" s="73"/>
      <c r="J73" s="74"/>
      <c r="K73" s="72">
        <v>45000</v>
      </c>
      <c r="L73" s="73"/>
      <c r="M73" s="74"/>
      <c r="N73" s="72">
        <v>50000</v>
      </c>
      <c r="O73" s="73"/>
      <c r="P73" s="74"/>
      <c r="Q73" s="59">
        <f t="shared" si="8"/>
        <v>125000</v>
      </c>
      <c r="R73" s="60">
        <f t="shared" si="8"/>
        <v>0</v>
      </c>
      <c r="S73" s="62">
        <f t="shared" si="8"/>
        <v>0</v>
      </c>
      <c r="T73" s="161">
        <f t="shared" ref="T73:T135" si="9">+Q73+R73+S73</f>
        <v>125000</v>
      </c>
    </row>
    <row r="74" spans="1:93" hidden="1" x14ac:dyDescent="0.25">
      <c r="A74" s="49" t="s">
        <v>131</v>
      </c>
      <c r="B74" s="145" t="s">
        <v>7</v>
      </c>
      <c r="C74" s="107"/>
      <c r="D74" s="153"/>
      <c r="E74" s="51"/>
      <c r="F74" s="51"/>
      <c r="G74" s="50"/>
      <c r="H74" s="52"/>
      <c r="I74" s="50"/>
      <c r="J74" s="53"/>
      <c r="K74" s="52"/>
      <c r="L74" s="50"/>
      <c r="M74" s="53"/>
      <c r="N74" s="52"/>
      <c r="O74" s="50"/>
      <c r="P74" s="53"/>
      <c r="Q74" s="52"/>
      <c r="R74" s="50"/>
      <c r="S74" s="50"/>
      <c r="T74" s="54"/>
    </row>
    <row r="75" spans="1:93" ht="45" hidden="1" x14ac:dyDescent="0.25">
      <c r="A75" s="55" t="s">
        <v>131</v>
      </c>
      <c r="B75" s="56" t="s">
        <v>11</v>
      </c>
      <c r="C75" s="75" t="s">
        <v>11</v>
      </c>
      <c r="D75" s="56" t="s">
        <v>46</v>
      </c>
      <c r="E75" s="57"/>
      <c r="F75" s="57"/>
      <c r="G75" s="58"/>
      <c r="H75" s="59">
        <v>34300</v>
      </c>
      <c r="I75" s="60"/>
      <c r="J75" s="61"/>
      <c r="K75" s="59">
        <f>+H75*1.35</f>
        <v>46305</v>
      </c>
      <c r="L75" s="60"/>
      <c r="M75" s="61"/>
      <c r="N75" s="59">
        <f>+K75*1.45</f>
        <v>67142.25</v>
      </c>
      <c r="O75" s="60"/>
      <c r="P75" s="61"/>
      <c r="Q75" s="59">
        <f t="shared" ref="Q75:S76" si="10">+N75+K75+H75</f>
        <v>147747.25</v>
      </c>
      <c r="R75" s="60">
        <f t="shared" si="10"/>
        <v>0</v>
      </c>
      <c r="S75" s="62">
        <f t="shared" si="10"/>
        <v>0</v>
      </c>
      <c r="T75" s="161">
        <f t="shared" si="9"/>
        <v>147747.25</v>
      </c>
    </row>
    <row r="76" spans="1:93" ht="45" hidden="1" x14ac:dyDescent="0.25">
      <c r="A76" s="55" t="s">
        <v>131</v>
      </c>
      <c r="B76" s="56" t="s">
        <v>54</v>
      </c>
      <c r="C76" s="75" t="s">
        <v>54</v>
      </c>
      <c r="D76" s="56" t="s">
        <v>46</v>
      </c>
      <c r="E76" s="57"/>
      <c r="F76" s="57"/>
      <c r="G76" s="58"/>
      <c r="H76" s="22">
        <v>12000</v>
      </c>
      <c r="I76" s="20"/>
      <c r="J76" s="24"/>
      <c r="K76" s="22">
        <f t="shared" ref="K76:N76" si="11">400*2*15</f>
        <v>12000</v>
      </c>
      <c r="L76" s="20"/>
      <c r="M76" s="24"/>
      <c r="N76" s="22">
        <f t="shared" si="11"/>
        <v>12000</v>
      </c>
      <c r="O76" s="20"/>
      <c r="P76" s="24"/>
      <c r="Q76" s="59">
        <f t="shared" si="10"/>
        <v>36000</v>
      </c>
      <c r="R76" s="60">
        <f t="shared" si="10"/>
        <v>0</v>
      </c>
      <c r="S76" s="62">
        <f t="shared" si="10"/>
        <v>0</v>
      </c>
      <c r="T76" s="161">
        <f t="shared" si="9"/>
        <v>36000</v>
      </c>
    </row>
    <row r="77" spans="1:93" hidden="1" x14ac:dyDescent="0.25">
      <c r="A77" s="49" t="s">
        <v>131</v>
      </c>
      <c r="B77" s="145" t="s">
        <v>25</v>
      </c>
      <c r="C77" s="107"/>
      <c r="D77" s="153"/>
      <c r="E77" s="51"/>
      <c r="F77" s="51"/>
      <c r="G77" s="50"/>
      <c r="H77" s="52"/>
      <c r="I77" s="50"/>
      <c r="J77" s="53"/>
      <c r="K77" s="52"/>
      <c r="L77" s="50"/>
      <c r="M77" s="53"/>
      <c r="N77" s="52"/>
      <c r="O77" s="50"/>
      <c r="P77" s="53"/>
      <c r="Q77" s="52"/>
      <c r="R77" s="50"/>
      <c r="S77" s="50"/>
      <c r="T77" s="54"/>
    </row>
    <row r="78" spans="1:93" ht="30" hidden="1" x14ac:dyDescent="0.25">
      <c r="A78" s="17" t="s">
        <v>131</v>
      </c>
      <c r="B78" s="18" t="s">
        <v>26</v>
      </c>
      <c r="C78" s="18" t="s">
        <v>91</v>
      </c>
      <c r="D78" s="86" t="s">
        <v>134</v>
      </c>
      <c r="E78" s="80"/>
      <c r="F78" s="80"/>
      <c r="G78" s="81"/>
      <c r="H78" s="22">
        <v>17000</v>
      </c>
      <c r="I78" s="20"/>
      <c r="J78" s="24"/>
      <c r="K78" s="22">
        <v>17000</v>
      </c>
      <c r="L78" s="20"/>
      <c r="M78" s="24"/>
      <c r="N78" s="22">
        <v>0</v>
      </c>
      <c r="O78" s="20"/>
      <c r="P78" s="24"/>
      <c r="Q78" s="59">
        <f t="shared" ref="Q78:S78" si="12">+N78+K78+H78</f>
        <v>34000</v>
      </c>
      <c r="R78" s="60">
        <f t="shared" si="12"/>
        <v>0</v>
      </c>
      <c r="S78" s="62">
        <f t="shared" si="12"/>
        <v>0</v>
      </c>
      <c r="T78" s="161">
        <f t="shared" si="9"/>
        <v>34000</v>
      </c>
    </row>
    <row r="79" spans="1:93" hidden="1" x14ac:dyDescent="0.25">
      <c r="A79" s="42" t="s">
        <v>131</v>
      </c>
      <c r="B79" s="144" t="s">
        <v>48</v>
      </c>
      <c r="C79" s="158"/>
      <c r="D79" s="152"/>
      <c r="E79" s="44"/>
      <c r="F79" s="44"/>
      <c r="G79" s="43"/>
      <c r="H79" s="45"/>
      <c r="I79" s="46"/>
      <c r="J79" s="47"/>
      <c r="K79" s="45"/>
      <c r="L79" s="46"/>
      <c r="M79" s="47"/>
      <c r="N79" s="45"/>
      <c r="O79" s="46"/>
      <c r="P79" s="47"/>
      <c r="Q79" s="45"/>
      <c r="R79" s="46"/>
      <c r="S79" s="46"/>
      <c r="T79" s="48"/>
    </row>
    <row r="80" spans="1:93" hidden="1" x14ac:dyDescent="0.25">
      <c r="A80" s="49" t="s">
        <v>131</v>
      </c>
      <c r="B80" s="145" t="s">
        <v>21</v>
      </c>
      <c r="C80" s="107"/>
      <c r="D80" s="153"/>
      <c r="E80" s="51"/>
      <c r="F80" s="51"/>
      <c r="G80" s="50"/>
      <c r="H80" s="52"/>
      <c r="I80" s="50"/>
      <c r="J80" s="53"/>
      <c r="K80" s="52"/>
      <c r="L80" s="50"/>
      <c r="M80" s="53"/>
      <c r="N80" s="52"/>
      <c r="O80" s="50"/>
      <c r="P80" s="53"/>
      <c r="Q80" s="52"/>
      <c r="R80" s="50"/>
      <c r="S80" s="50"/>
      <c r="T80" s="54"/>
    </row>
    <row r="81" spans="1:20" hidden="1" x14ac:dyDescent="0.25">
      <c r="A81" s="65" t="s">
        <v>131</v>
      </c>
      <c r="B81" s="75" t="s">
        <v>35</v>
      </c>
      <c r="C81" s="75" t="s">
        <v>87</v>
      </c>
      <c r="D81" s="56" t="s">
        <v>138</v>
      </c>
      <c r="E81" s="57"/>
      <c r="F81" s="57"/>
      <c r="G81" s="58"/>
      <c r="I81" s="59">
        <v>1852891.6923076923</v>
      </c>
      <c r="J81" s="61"/>
      <c r="L81" s="59">
        <f>(132589*16+177905*5)/13*10</f>
        <v>2316114.6153846155</v>
      </c>
      <c r="M81" s="61"/>
      <c r="O81" s="59">
        <f>(132589*16+177905*5)/13*13</f>
        <v>3010949</v>
      </c>
      <c r="P81" s="61"/>
      <c r="Q81" s="59">
        <f>+N81+K81+H81</f>
        <v>0</v>
      </c>
      <c r="R81" s="60">
        <f>+O81+L81+I81</f>
        <v>7179955.307692308</v>
      </c>
      <c r="S81" s="62">
        <f>+P81+M81+J81</f>
        <v>0</v>
      </c>
      <c r="T81" s="161">
        <f t="shared" si="9"/>
        <v>7179955.307692308</v>
      </c>
    </row>
    <row r="82" spans="1:20" ht="30" hidden="1" x14ac:dyDescent="0.25">
      <c r="A82" s="65" t="s">
        <v>131</v>
      </c>
      <c r="B82" s="75" t="s">
        <v>10</v>
      </c>
      <c r="C82" s="75" t="s">
        <v>88</v>
      </c>
      <c r="D82" s="56" t="s">
        <v>135</v>
      </c>
      <c r="E82" s="57"/>
      <c r="F82" s="57"/>
      <c r="G82" s="58"/>
      <c r="H82" s="59">
        <v>80000</v>
      </c>
      <c r="I82" s="60"/>
      <c r="J82" s="61"/>
      <c r="K82" s="59">
        <v>120000</v>
      </c>
      <c r="L82" s="60"/>
      <c r="M82" s="61"/>
      <c r="N82" s="59">
        <v>130000</v>
      </c>
      <c r="O82" s="60"/>
      <c r="P82" s="61"/>
      <c r="Q82" s="59">
        <f t="shared" ref="Q82:S82" si="13">+N82+K82+H82</f>
        <v>330000</v>
      </c>
      <c r="R82" s="60">
        <f t="shared" si="13"/>
        <v>0</v>
      </c>
      <c r="S82" s="62">
        <f t="shared" si="13"/>
        <v>0</v>
      </c>
      <c r="T82" s="161">
        <f t="shared" si="9"/>
        <v>330000</v>
      </c>
    </row>
    <row r="83" spans="1:20" hidden="1" x14ac:dyDescent="0.25">
      <c r="A83" s="49" t="s">
        <v>131</v>
      </c>
      <c r="B83" s="145" t="s">
        <v>7</v>
      </c>
      <c r="C83" s="107"/>
      <c r="D83" s="153"/>
      <c r="E83" s="51"/>
      <c r="F83" s="51"/>
      <c r="G83" s="50"/>
      <c r="H83" s="52"/>
      <c r="I83" s="50"/>
      <c r="J83" s="53"/>
      <c r="K83" s="52"/>
      <c r="L83" s="50"/>
      <c r="M83" s="53"/>
      <c r="N83" s="52"/>
      <c r="O83" s="50"/>
      <c r="P83" s="53"/>
      <c r="Q83" s="52"/>
      <c r="R83" s="50"/>
      <c r="S83" s="50"/>
      <c r="T83" s="54"/>
    </row>
    <row r="84" spans="1:20" ht="30" hidden="1" x14ac:dyDescent="0.25">
      <c r="A84" s="65" t="s">
        <v>131</v>
      </c>
      <c r="B84" s="75" t="s">
        <v>11</v>
      </c>
      <c r="C84" s="75" t="s">
        <v>88</v>
      </c>
      <c r="D84" s="56" t="s">
        <v>136</v>
      </c>
      <c r="E84" s="57"/>
      <c r="F84" s="57"/>
      <c r="G84" s="58"/>
      <c r="H84" s="59">
        <v>17640</v>
      </c>
      <c r="I84" s="60"/>
      <c r="J84" s="61"/>
      <c r="K84" s="59">
        <f>+H84*1.35</f>
        <v>23814</v>
      </c>
      <c r="L84" s="60"/>
      <c r="M84" s="61"/>
      <c r="N84" s="59">
        <f>+K84*1.45</f>
        <v>34530.299999999996</v>
      </c>
      <c r="O84" s="60"/>
      <c r="P84" s="61"/>
      <c r="Q84" s="59">
        <f t="shared" ref="Q84:S85" si="14">+N84+K84+H84</f>
        <v>75984.299999999988</v>
      </c>
      <c r="R84" s="60">
        <f t="shared" si="14"/>
        <v>0</v>
      </c>
      <c r="S84" s="62">
        <f t="shared" si="14"/>
        <v>0</v>
      </c>
      <c r="T84" s="161">
        <f t="shared" si="9"/>
        <v>75984.299999999988</v>
      </c>
    </row>
    <row r="85" spans="1:20" ht="30" hidden="1" x14ac:dyDescent="0.25">
      <c r="A85" s="55" t="s">
        <v>131</v>
      </c>
      <c r="B85" s="56" t="s">
        <v>175</v>
      </c>
      <c r="C85" s="75" t="s">
        <v>88</v>
      </c>
      <c r="D85" s="56" t="s">
        <v>137</v>
      </c>
      <c r="E85" s="57"/>
      <c r="F85" s="57"/>
      <c r="G85" s="58"/>
      <c r="H85" s="59">
        <v>3000</v>
      </c>
      <c r="I85" s="60"/>
      <c r="J85" s="61"/>
      <c r="K85" s="59">
        <f>+H85*1.3</f>
        <v>3900</v>
      </c>
      <c r="L85" s="60"/>
      <c r="M85" s="61"/>
      <c r="N85" s="59">
        <v>5070</v>
      </c>
      <c r="O85" s="60"/>
      <c r="P85" s="61"/>
      <c r="Q85" s="59">
        <f t="shared" si="14"/>
        <v>11970</v>
      </c>
      <c r="R85" s="60">
        <f t="shared" si="14"/>
        <v>0</v>
      </c>
      <c r="S85" s="62">
        <f t="shared" si="14"/>
        <v>0</v>
      </c>
      <c r="T85" s="161">
        <f t="shared" si="9"/>
        <v>11970</v>
      </c>
    </row>
    <row r="86" spans="1:20" hidden="1" x14ac:dyDescent="0.25">
      <c r="A86" s="42" t="s">
        <v>131</v>
      </c>
      <c r="B86" s="144" t="s">
        <v>99</v>
      </c>
      <c r="C86" s="158"/>
      <c r="D86" s="152"/>
      <c r="E86" s="44"/>
      <c r="F86" s="44"/>
      <c r="G86" s="43"/>
      <c r="H86" s="45"/>
      <c r="I86" s="46"/>
      <c r="J86" s="47"/>
      <c r="K86" s="45"/>
      <c r="L86" s="46"/>
      <c r="M86" s="47"/>
      <c r="N86" s="45"/>
      <c r="O86" s="46"/>
      <c r="P86" s="47"/>
      <c r="Q86" s="45"/>
      <c r="R86" s="46"/>
      <c r="S86" s="46"/>
      <c r="T86" s="48"/>
    </row>
    <row r="87" spans="1:20" hidden="1" x14ac:dyDescent="0.25">
      <c r="A87" s="65" t="s">
        <v>131</v>
      </c>
      <c r="B87" s="75" t="s">
        <v>43</v>
      </c>
      <c r="C87" s="75" t="s">
        <v>198</v>
      </c>
      <c r="D87" s="56" t="s">
        <v>132</v>
      </c>
      <c r="E87" s="57">
        <v>3</v>
      </c>
      <c r="F87" s="57"/>
      <c r="G87" s="58"/>
      <c r="H87" s="59"/>
      <c r="I87" s="60" t="e">
        <f>+#REF!</f>
        <v>#REF!</v>
      </c>
      <c r="J87" s="61"/>
      <c r="K87" s="59"/>
      <c r="L87" s="60" t="e">
        <f>+#REF!</f>
        <v>#REF!</v>
      </c>
      <c r="M87" s="61"/>
      <c r="N87" s="59"/>
      <c r="O87" s="60" t="e">
        <f>+#REF!</f>
        <v>#REF!</v>
      </c>
      <c r="P87" s="61"/>
      <c r="Q87" s="59">
        <f t="shared" ref="Q87:S89" si="15">+N87+K87+H87</f>
        <v>0</v>
      </c>
      <c r="R87" s="60" t="e">
        <f t="shared" si="15"/>
        <v>#REF!</v>
      </c>
      <c r="S87" s="62">
        <f t="shared" si="15"/>
        <v>0</v>
      </c>
      <c r="T87" s="161" t="e">
        <f t="shared" si="9"/>
        <v>#REF!</v>
      </c>
    </row>
    <row r="88" spans="1:20" hidden="1" x14ac:dyDescent="0.25">
      <c r="A88" s="55" t="s">
        <v>131</v>
      </c>
      <c r="B88" s="56" t="s">
        <v>44</v>
      </c>
      <c r="C88" s="75" t="s">
        <v>104</v>
      </c>
      <c r="D88" s="56" t="s">
        <v>132</v>
      </c>
      <c r="E88" s="57">
        <v>1</v>
      </c>
      <c r="F88" s="57"/>
      <c r="G88" s="58"/>
      <c r="H88" s="59"/>
      <c r="I88" s="60" t="e">
        <f>+#REF!</f>
        <v>#REF!</v>
      </c>
      <c r="J88" s="61"/>
      <c r="K88" s="59"/>
      <c r="L88" s="60" t="e">
        <f>+#REF!</f>
        <v>#REF!</v>
      </c>
      <c r="M88" s="61"/>
      <c r="N88" s="59"/>
      <c r="O88" s="60" t="e">
        <f>+#REF!</f>
        <v>#REF!</v>
      </c>
      <c r="P88" s="61"/>
      <c r="Q88" s="59">
        <f t="shared" si="15"/>
        <v>0</v>
      </c>
      <c r="R88" s="60" t="e">
        <f t="shared" si="15"/>
        <v>#REF!</v>
      </c>
      <c r="S88" s="62">
        <f t="shared" si="15"/>
        <v>0</v>
      </c>
      <c r="T88" s="161" t="e">
        <f t="shared" si="9"/>
        <v>#REF!</v>
      </c>
    </row>
    <row r="89" spans="1:20" hidden="1" x14ac:dyDescent="0.25">
      <c r="A89" s="3" t="s">
        <v>131</v>
      </c>
      <c r="B89" s="86" t="s">
        <v>40</v>
      </c>
      <c r="C89" s="86" t="s">
        <v>42</v>
      </c>
      <c r="D89" s="86" t="s">
        <v>133</v>
      </c>
      <c r="E89" s="21">
        <v>15</v>
      </c>
      <c r="F89" s="21"/>
      <c r="G89" s="87"/>
      <c r="H89" s="88"/>
      <c r="I89" s="89"/>
      <c r="J89" s="90"/>
      <c r="K89" s="69">
        <f>1200*15</f>
        <v>18000</v>
      </c>
      <c r="L89" s="70"/>
      <c r="M89" s="71"/>
      <c r="N89" s="69"/>
      <c r="O89" s="70"/>
      <c r="P89" s="71"/>
      <c r="Q89" s="59">
        <f t="shared" si="15"/>
        <v>18000</v>
      </c>
      <c r="R89" s="60">
        <f t="shared" si="15"/>
        <v>0</v>
      </c>
      <c r="S89" s="62">
        <f t="shared" si="15"/>
        <v>0</v>
      </c>
      <c r="T89" s="161">
        <f t="shared" si="9"/>
        <v>18000</v>
      </c>
    </row>
    <row r="90" spans="1:20" hidden="1" x14ac:dyDescent="0.25">
      <c r="A90" s="82" t="s">
        <v>131</v>
      </c>
      <c r="B90" s="146" t="s">
        <v>121</v>
      </c>
      <c r="C90" s="159"/>
      <c r="D90" s="154"/>
      <c r="E90" s="84"/>
      <c r="F90" s="84"/>
      <c r="G90" s="83"/>
      <c r="H90" s="38"/>
      <c r="I90" s="39"/>
      <c r="J90" s="40"/>
      <c r="K90" s="38"/>
      <c r="L90" s="39"/>
      <c r="M90" s="40"/>
      <c r="N90" s="38"/>
      <c r="O90" s="39"/>
      <c r="P90" s="40"/>
      <c r="Q90" s="38"/>
      <c r="R90" s="39"/>
      <c r="S90" s="39"/>
      <c r="T90" s="41"/>
    </row>
    <row r="91" spans="1:20" hidden="1" x14ac:dyDescent="0.25">
      <c r="A91" s="49" t="s">
        <v>131</v>
      </c>
      <c r="B91" s="145" t="s">
        <v>1</v>
      </c>
      <c r="C91" s="107"/>
      <c r="D91" s="153"/>
      <c r="E91" s="51"/>
      <c r="F91" s="51"/>
      <c r="G91" s="50"/>
      <c r="H91" s="52"/>
      <c r="I91" s="50"/>
      <c r="J91" s="53"/>
      <c r="K91" s="52"/>
      <c r="L91" s="50"/>
      <c r="M91" s="53"/>
      <c r="N91" s="52"/>
      <c r="O91" s="50"/>
      <c r="P91" s="53"/>
      <c r="Q91" s="52"/>
      <c r="R91" s="50"/>
      <c r="S91" s="50"/>
      <c r="T91" s="54"/>
    </row>
    <row r="92" spans="1:20" ht="30" hidden="1" x14ac:dyDescent="0.25">
      <c r="A92" s="65" t="s">
        <v>131</v>
      </c>
      <c r="B92" s="75" t="s">
        <v>61</v>
      </c>
      <c r="C92" s="75" t="s">
        <v>188</v>
      </c>
      <c r="D92" s="56" t="s">
        <v>132</v>
      </c>
      <c r="E92" s="57">
        <v>1</v>
      </c>
      <c r="F92" s="57"/>
      <c r="G92" s="58"/>
      <c r="H92" s="59"/>
      <c r="I92" s="60" t="e">
        <f>+#REF!</f>
        <v>#REF!</v>
      </c>
      <c r="J92" s="61"/>
      <c r="K92" s="59"/>
      <c r="L92" s="60" t="e">
        <f>+#REF!</f>
        <v>#REF!</v>
      </c>
      <c r="M92" s="61"/>
      <c r="N92" s="59"/>
      <c r="O92" s="60" t="e">
        <f>+#REF!</f>
        <v>#REF!</v>
      </c>
      <c r="P92" s="61"/>
      <c r="Q92" s="59">
        <f t="shared" ref="Q92:S95" si="16">+N92+K92+H92</f>
        <v>0</v>
      </c>
      <c r="R92" s="60" t="e">
        <f t="shared" si="16"/>
        <v>#REF!</v>
      </c>
      <c r="S92" s="62">
        <f t="shared" si="16"/>
        <v>0</v>
      </c>
      <c r="T92" s="161" t="e">
        <f t="shared" si="9"/>
        <v>#REF!</v>
      </c>
    </row>
    <row r="93" spans="1:20" ht="30" hidden="1" x14ac:dyDescent="0.25">
      <c r="A93" s="65" t="s">
        <v>131</v>
      </c>
      <c r="B93" s="75" t="s">
        <v>199</v>
      </c>
      <c r="C93" s="75" t="s">
        <v>105</v>
      </c>
      <c r="D93" s="56" t="s">
        <v>132</v>
      </c>
      <c r="E93" s="57">
        <v>12</v>
      </c>
      <c r="F93" s="57"/>
      <c r="G93" s="58"/>
      <c r="H93" s="59"/>
      <c r="I93" s="60" t="e">
        <f>+#REF!</f>
        <v>#REF!</v>
      </c>
      <c r="J93" s="61"/>
      <c r="K93" s="59"/>
      <c r="L93" s="60" t="e">
        <f>+#REF!</f>
        <v>#REF!</v>
      </c>
      <c r="M93" s="61"/>
      <c r="N93" s="59"/>
      <c r="O93" s="60" t="e">
        <f>+#REF!</f>
        <v>#REF!</v>
      </c>
      <c r="P93" s="61"/>
      <c r="Q93" s="59">
        <f t="shared" si="16"/>
        <v>0</v>
      </c>
      <c r="R93" s="60" t="e">
        <f t="shared" si="16"/>
        <v>#REF!</v>
      </c>
      <c r="S93" s="62">
        <f t="shared" si="16"/>
        <v>0</v>
      </c>
      <c r="T93" s="161" t="e">
        <f t="shared" si="9"/>
        <v>#REF!</v>
      </c>
    </row>
    <row r="94" spans="1:20" ht="30" hidden="1" x14ac:dyDescent="0.25">
      <c r="A94" s="65" t="s">
        <v>131</v>
      </c>
      <c r="B94" s="75" t="s">
        <v>200</v>
      </c>
      <c r="C94" s="75" t="s">
        <v>106</v>
      </c>
      <c r="D94" s="56" t="s">
        <v>132</v>
      </c>
      <c r="E94" s="57">
        <v>8</v>
      </c>
      <c r="F94" s="57"/>
      <c r="G94" s="58"/>
      <c r="H94" s="59"/>
      <c r="I94" s="60" t="e">
        <f>+#REF!</f>
        <v>#REF!</v>
      </c>
      <c r="J94" s="61"/>
      <c r="K94" s="59"/>
      <c r="L94" s="60" t="e">
        <f>+#REF!</f>
        <v>#REF!</v>
      </c>
      <c r="M94" s="61"/>
      <c r="N94" s="59"/>
      <c r="O94" s="60" t="e">
        <f>+#REF!</f>
        <v>#REF!</v>
      </c>
      <c r="P94" s="61"/>
      <c r="Q94" s="59">
        <f t="shared" si="16"/>
        <v>0</v>
      </c>
      <c r="R94" s="60" t="e">
        <f t="shared" si="16"/>
        <v>#REF!</v>
      </c>
      <c r="S94" s="62">
        <f t="shared" si="16"/>
        <v>0</v>
      </c>
      <c r="T94" s="161" t="e">
        <f t="shared" si="9"/>
        <v>#REF!</v>
      </c>
    </row>
    <row r="95" spans="1:20" ht="30" hidden="1" x14ac:dyDescent="0.25">
      <c r="A95" s="65" t="s">
        <v>131</v>
      </c>
      <c r="B95" s="75" t="s">
        <v>6</v>
      </c>
      <c r="C95" s="75" t="s">
        <v>92</v>
      </c>
      <c r="D95" s="56" t="s">
        <v>215</v>
      </c>
      <c r="E95" s="57">
        <v>21</v>
      </c>
      <c r="F95" s="57"/>
      <c r="G95" s="58"/>
      <c r="H95" s="59"/>
      <c r="I95" s="60">
        <f>+(2800*12*21)/15</f>
        <v>47040</v>
      </c>
      <c r="J95" s="61"/>
      <c r="K95" s="59"/>
      <c r="L95" s="60">
        <f>+(3100*12*21)/15</f>
        <v>52080</v>
      </c>
      <c r="M95" s="61"/>
      <c r="N95" s="59"/>
      <c r="O95" s="60">
        <f>+(3260*12*21)/15</f>
        <v>54768</v>
      </c>
      <c r="P95" s="61"/>
      <c r="Q95" s="59">
        <f t="shared" si="16"/>
        <v>0</v>
      </c>
      <c r="R95" s="60">
        <f t="shared" si="16"/>
        <v>153888</v>
      </c>
      <c r="S95" s="62">
        <f t="shared" si="16"/>
        <v>0</v>
      </c>
      <c r="T95" s="161">
        <f t="shared" si="9"/>
        <v>153888</v>
      </c>
    </row>
    <row r="96" spans="1:20" hidden="1" x14ac:dyDescent="0.25">
      <c r="A96" s="49" t="s">
        <v>131</v>
      </c>
      <c r="B96" s="145" t="s">
        <v>5</v>
      </c>
      <c r="C96" s="107"/>
      <c r="D96" s="153"/>
      <c r="E96" s="51"/>
      <c r="F96" s="51"/>
      <c r="G96" s="50"/>
      <c r="H96" s="52"/>
      <c r="I96" s="50"/>
      <c r="J96" s="53"/>
      <c r="K96" s="52"/>
      <c r="L96" s="50"/>
      <c r="M96" s="53"/>
      <c r="N96" s="52"/>
      <c r="O96" s="50"/>
      <c r="P96" s="53"/>
      <c r="Q96" s="52"/>
      <c r="R96" s="50"/>
      <c r="S96" s="50"/>
      <c r="T96" s="54"/>
    </row>
    <row r="97" spans="1:93" ht="60" hidden="1" x14ac:dyDescent="0.25">
      <c r="A97" s="65" t="s">
        <v>131</v>
      </c>
      <c r="B97" s="75" t="s">
        <v>0</v>
      </c>
      <c r="C97" s="75" t="s">
        <v>122</v>
      </c>
      <c r="D97" s="56" t="s">
        <v>139</v>
      </c>
      <c r="E97" s="57"/>
      <c r="F97" s="57"/>
      <c r="G97" s="58"/>
      <c r="H97" s="59">
        <v>0</v>
      </c>
      <c r="I97" s="60"/>
      <c r="J97" s="61"/>
      <c r="K97" s="59">
        <v>0</v>
      </c>
      <c r="L97" s="60"/>
      <c r="M97" s="61"/>
      <c r="N97" s="59">
        <v>0</v>
      </c>
      <c r="O97" s="60"/>
      <c r="P97" s="61"/>
      <c r="Q97" s="59">
        <f t="shared" ref="Q97:S101" si="17">+N97+K97+H97</f>
        <v>0</v>
      </c>
      <c r="R97" s="60">
        <f t="shared" si="17"/>
        <v>0</v>
      </c>
      <c r="S97" s="62">
        <f t="shared" si="17"/>
        <v>0</v>
      </c>
      <c r="T97" s="161">
        <f t="shared" si="9"/>
        <v>0</v>
      </c>
    </row>
    <row r="98" spans="1:93" ht="30" hidden="1" x14ac:dyDescent="0.25">
      <c r="A98" s="65" t="s">
        <v>131</v>
      </c>
      <c r="B98" s="75" t="s">
        <v>12</v>
      </c>
      <c r="C98" s="75" t="s">
        <v>201</v>
      </c>
      <c r="D98" s="56" t="s">
        <v>138</v>
      </c>
      <c r="E98" s="57"/>
      <c r="F98" s="57"/>
      <c r="G98" s="58"/>
      <c r="H98" s="59"/>
      <c r="I98" s="60"/>
      <c r="J98" s="61"/>
      <c r="K98" s="59"/>
      <c r="L98" s="60"/>
      <c r="M98" s="61"/>
      <c r="N98" s="59"/>
      <c r="O98" s="60"/>
      <c r="P98" s="61"/>
      <c r="Q98" s="59">
        <f t="shared" si="17"/>
        <v>0</v>
      </c>
      <c r="R98" s="60">
        <f t="shared" si="17"/>
        <v>0</v>
      </c>
      <c r="S98" s="62">
        <f t="shared" si="17"/>
        <v>0</v>
      </c>
      <c r="T98" s="161">
        <f t="shared" si="9"/>
        <v>0</v>
      </c>
    </row>
    <row r="99" spans="1:93" hidden="1" x14ac:dyDescent="0.25">
      <c r="A99" s="65" t="s">
        <v>131</v>
      </c>
      <c r="B99" s="75" t="s">
        <v>12</v>
      </c>
      <c r="C99" s="75" t="s">
        <v>202</v>
      </c>
      <c r="D99" s="56" t="s">
        <v>138</v>
      </c>
      <c r="E99" s="57"/>
      <c r="F99" s="57"/>
      <c r="G99" s="58"/>
      <c r="H99" s="59"/>
      <c r="I99" s="60">
        <f>18*10*29</f>
        <v>5220</v>
      </c>
      <c r="J99" s="61"/>
      <c r="K99" s="59"/>
      <c r="L99" s="60">
        <f>36*10*29</f>
        <v>10440</v>
      </c>
      <c r="M99" s="61"/>
      <c r="N99" s="59"/>
      <c r="O99" s="60">
        <f>48*10*29</f>
        <v>13920</v>
      </c>
      <c r="P99" s="61"/>
      <c r="Q99" s="59">
        <f t="shared" si="17"/>
        <v>0</v>
      </c>
      <c r="R99" s="60">
        <f t="shared" si="17"/>
        <v>29580</v>
      </c>
      <c r="S99" s="62">
        <f t="shared" si="17"/>
        <v>0</v>
      </c>
      <c r="T99" s="161">
        <f t="shared" si="9"/>
        <v>29580</v>
      </c>
    </row>
    <row r="100" spans="1:93" hidden="1" x14ac:dyDescent="0.25">
      <c r="A100" s="65" t="s">
        <v>131</v>
      </c>
      <c r="B100" s="75" t="s">
        <v>15</v>
      </c>
      <c r="C100" s="75" t="s">
        <v>72</v>
      </c>
      <c r="D100" s="56" t="s">
        <v>138</v>
      </c>
      <c r="E100" s="57"/>
      <c r="F100" s="57"/>
      <c r="G100" s="58"/>
      <c r="H100" s="59">
        <v>0</v>
      </c>
      <c r="I100" s="60"/>
      <c r="J100" s="61"/>
      <c r="K100" s="59"/>
      <c r="L100" s="60">
        <f>9*800*36</f>
        <v>259200</v>
      </c>
      <c r="M100" s="61"/>
      <c r="N100" s="59"/>
      <c r="O100" s="60">
        <f>18*800*36</f>
        <v>518400</v>
      </c>
      <c r="P100" s="61"/>
      <c r="Q100" s="59">
        <f t="shared" si="17"/>
        <v>0</v>
      </c>
      <c r="R100" s="60">
        <f t="shared" si="17"/>
        <v>777600</v>
      </c>
      <c r="S100" s="62">
        <f t="shared" si="17"/>
        <v>0</v>
      </c>
      <c r="T100" s="161">
        <f t="shared" si="9"/>
        <v>777600</v>
      </c>
    </row>
    <row r="101" spans="1:93" ht="45" hidden="1" x14ac:dyDescent="0.25">
      <c r="A101" s="65" t="s">
        <v>131</v>
      </c>
      <c r="B101" s="75" t="s">
        <v>13</v>
      </c>
      <c r="C101" s="75" t="s">
        <v>203</v>
      </c>
      <c r="D101" s="56" t="s">
        <v>138</v>
      </c>
      <c r="E101" s="57"/>
      <c r="F101" s="57"/>
      <c r="G101" s="58"/>
      <c r="H101" s="59"/>
      <c r="I101" s="60"/>
      <c r="J101" s="61"/>
      <c r="K101" s="59"/>
      <c r="L101" s="60"/>
      <c r="M101" s="61"/>
      <c r="N101" s="59"/>
      <c r="O101" s="60"/>
      <c r="P101" s="61"/>
      <c r="Q101" s="59">
        <f t="shared" si="17"/>
        <v>0</v>
      </c>
      <c r="R101" s="60">
        <f t="shared" si="17"/>
        <v>0</v>
      </c>
      <c r="S101" s="62">
        <f t="shared" si="17"/>
        <v>0</v>
      </c>
      <c r="T101" s="161">
        <f t="shared" si="9"/>
        <v>0</v>
      </c>
    </row>
    <row r="102" spans="1:93" hidden="1" x14ac:dyDescent="0.25">
      <c r="A102" s="49" t="s">
        <v>131</v>
      </c>
      <c r="B102" s="145" t="s">
        <v>10</v>
      </c>
      <c r="C102" s="107"/>
      <c r="D102" s="153"/>
      <c r="E102" s="51"/>
      <c r="F102" s="51"/>
      <c r="G102" s="50"/>
      <c r="H102" s="52"/>
      <c r="I102" s="50"/>
      <c r="J102" s="53"/>
      <c r="K102" s="52"/>
      <c r="L102" s="50"/>
      <c r="M102" s="53"/>
      <c r="N102" s="52"/>
      <c r="O102" s="50"/>
      <c r="P102" s="53"/>
      <c r="Q102" s="52"/>
      <c r="R102" s="50"/>
      <c r="S102" s="50"/>
      <c r="T102" s="54"/>
    </row>
    <row r="103" spans="1:93" s="15" customFormat="1" ht="45" hidden="1" x14ac:dyDescent="0.25">
      <c r="A103" s="65" t="s">
        <v>131</v>
      </c>
      <c r="B103" s="75" t="s">
        <v>32</v>
      </c>
      <c r="C103" s="18" t="s">
        <v>33</v>
      </c>
      <c r="D103" s="86" t="s">
        <v>135</v>
      </c>
      <c r="E103" s="94"/>
      <c r="F103" s="94"/>
      <c r="G103" s="95"/>
      <c r="H103" s="96">
        <v>102000</v>
      </c>
      <c r="I103" s="97"/>
      <c r="J103" s="98"/>
      <c r="K103" s="96">
        <v>110000</v>
      </c>
      <c r="L103" s="20"/>
      <c r="M103" s="24"/>
      <c r="N103" s="96">
        <v>120000</v>
      </c>
      <c r="O103" s="20"/>
      <c r="P103" s="24"/>
      <c r="Q103" s="59">
        <f t="shared" ref="Q103:S103" si="18">+N103+K103+H103</f>
        <v>332000</v>
      </c>
      <c r="R103" s="60">
        <f t="shared" si="18"/>
        <v>0</v>
      </c>
      <c r="S103" s="62">
        <f t="shared" si="18"/>
        <v>0</v>
      </c>
      <c r="T103" s="161">
        <f t="shared" si="9"/>
        <v>332000</v>
      </c>
    </row>
    <row r="104" spans="1:93" hidden="1" x14ac:dyDescent="0.25">
      <c r="A104" s="49" t="s">
        <v>131</v>
      </c>
      <c r="B104" s="145" t="s">
        <v>7</v>
      </c>
      <c r="C104" s="107"/>
      <c r="D104" s="153"/>
      <c r="E104" s="51"/>
      <c r="F104" s="51"/>
      <c r="G104" s="50"/>
      <c r="H104" s="52"/>
      <c r="I104" s="50"/>
      <c r="J104" s="53"/>
      <c r="K104" s="52"/>
      <c r="L104" s="50"/>
      <c r="M104" s="53"/>
      <c r="N104" s="52"/>
      <c r="O104" s="50"/>
      <c r="P104" s="53"/>
      <c r="Q104" s="52"/>
      <c r="R104" s="50"/>
      <c r="S104" s="50"/>
      <c r="T104" s="54"/>
    </row>
    <row r="105" spans="1:93" ht="30" hidden="1" x14ac:dyDescent="0.25">
      <c r="A105" s="65" t="s">
        <v>131</v>
      </c>
      <c r="B105" s="75" t="s">
        <v>11</v>
      </c>
      <c r="C105" s="75" t="s">
        <v>31</v>
      </c>
      <c r="D105" s="56" t="s">
        <v>136</v>
      </c>
      <c r="E105" s="57"/>
      <c r="F105" s="57"/>
      <c r="G105" s="58"/>
      <c r="H105" s="91">
        <f>330*35*2+80*35*2*2</f>
        <v>34300</v>
      </c>
      <c r="I105" s="92"/>
      <c r="J105" s="93"/>
      <c r="K105" s="91">
        <v>46305</v>
      </c>
      <c r="L105" s="60"/>
      <c r="M105" s="61"/>
      <c r="N105" s="91">
        <v>67142</v>
      </c>
      <c r="O105" s="60"/>
      <c r="P105" s="61"/>
      <c r="Q105" s="59">
        <f t="shared" ref="Q105:S108" si="19">+N105+K105+H105</f>
        <v>147747</v>
      </c>
      <c r="R105" s="60">
        <f t="shared" si="19"/>
        <v>0</v>
      </c>
      <c r="S105" s="62">
        <f t="shared" si="19"/>
        <v>0</v>
      </c>
      <c r="T105" s="161">
        <f t="shared" si="9"/>
        <v>147747</v>
      </c>
    </row>
    <row r="106" spans="1:93" ht="30" hidden="1" x14ac:dyDescent="0.25">
      <c r="A106" s="65" t="s">
        <v>131</v>
      </c>
      <c r="B106" s="75" t="s">
        <v>54</v>
      </c>
      <c r="C106" s="75" t="s">
        <v>31</v>
      </c>
      <c r="D106" s="56" t="s">
        <v>136</v>
      </c>
      <c r="E106" s="76"/>
      <c r="F106" s="76"/>
      <c r="G106" s="77"/>
      <c r="H106" s="91">
        <f>400*2*15</f>
        <v>12000</v>
      </c>
      <c r="I106" s="92"/>
      <c r="J106" s="93"/>
      <c r="K106" s="91">
        <v>15600</v>
      </c>
      <c r="L106" s="60"/>
      <c r="M106" s="61"/>
      <c r="N106" s="91">
        <v>17940</v>
      </c>
      <c r="O106" s="60"/>
      <c r="P106" s="61"/>
      <c r="Q106" s="59">
        <f t="shared" si="19"/>
        <v>45540</v>
      </c>
      <c r="R106" s="60">
        <f t="shared" si="19"/>
        <v>0</v>
      </c>
      <c r="S106" s="62">
        <f t="shared" si="19"/>
        <v>0</v>
      </c>
      <c r="T106" s="161">
        <f t="shared" si="9"/>
        <v>45540</v>
      </c>
    </row>
    <row r="107" spans="1:93" ht="45" hidden="1" x14ac:dyDescent="0.25">
      <c r="A107" s="65" t="s">
        <v>131</v>
      </c>
      <c r="B107" s="75" t="s">
        <v>9</v>
      </c>
      <c r="C107" s="75" t="s">
        <v>112</v>
      </c>
      <c r="D107" s="56" t="s">
        <v>136</v>
      </c>
      <c r="E107" s="57"/>
      <c r="F107" s="57"/>
      <c r="G107" s="58"/>
      <c r="H107" s="91">
        <f>130*45</f>
        <v>5850</v>
      </c>
      <c r="I107" s="92"/>
      <c r="J107" s="93"/>
      <c r="K107" s="91">
        <v>7898</v>
      </c>
      <c r="L107" s="20"/>
      <c r="M107" s="24"/>
      <c r="N107" s="91">
        <v>11451</v>
      </c>
      <c r="O107" s="20"/>
      <c r="P107" s="24"/>
      <c r="Q107" s="59">
        <f t="shared" si="19"/>
        <v>25199</v>
      </c>
      <c r="R107" s="60">
        <f t="shared" si="19"/>
        <v>0</v>
      </c>
      <c r="S107" s="62">
        <f t="shared" si="19"/>
        <v>0</v>
      </c>
      <c r="T107" s="161">
        <f t="shared" si="9"/>
        <v>25199</v>
      </c>
    </row>
    <row r="108" spans="1:93" ht="30" hidden="1" x14ac:dyDescent="0.25">
      <c r="A108" s="65" t="s">
        <v>131</v>
      </c>
      <c r="B108" s="75" t="s">
        <v>175</v>
      </c>
      <c r="C108" s="75" t="s">
        <v>31</v>
      </c>
      <c r="D108" s="56" t="s">
        <v>136</v>
      </c>
      <c r="E108" s="76"/>
      <c r="F108" s="76"/>
      <c r="G108" s="77"/>
      <c r="H108" s="91">
        <v>3000</v>
      </c>
      <c r="I108" s="92"/>
      <c r="J108" s="93"/>
      <c r="K108" s="91">
        <v>3900</v>
      </c>
      <c r="L108" s="60"/>
      <c r="M108" s="61"/>
      <c r="N108" s="91">
        <v>5070</v>
      </c>
      <c r="O108" s="60"/>
      <c r="P108" s="61"/>
      <c r="Q108" s="59">
        <f t="shared" si="19"/>
        <v>11970</v>
      </c>
      <c r="R108" s="60">
        <f t="shared" si="19"/>
        <v>0</v>
      </c>
      <c r="S108" s="62">
        <f t="shared" si="19"/>
        <v>0</v>
      </c>
      <c r="T108" s="161">
        <f t="shared" si="9"/>
        <v>11970</v>
      </c>
    </row>
    <row r="109" spans="1:93" hidden="1" x14ac:dyDescent="0.25">
      <c r="A109" s="82" t="s">
        <v>131</v>
      </c>
      <c r="B109" s="146" t="s">
        <v>73</v>
      </c>
      <c r="C109" s="159"/>
      <c r="D109" s="154"/>
      <c r="E109" s="84"/>
      <c r="F109" s="84"/>
      <c r="G109" s="83"/>
      <c r="H109" s="38"/>
      <c r="I109" s="39"/>
      <c r="J109" s="40"/>
      <c r="K109" s="38"/>
      <c r="L109" s="39"/>
      <c r="M109" s="40"/>
      <c r="N109" s="38"/>
      <c r="O109" s="39"/>
      <c r="P109" s="40"/>
      <c r="Q109" s="38"/>
      <c r="R109" s="39"/>
      <c r="S109" s="39"/>
      <c r="T109" s="41"/>
    </row>
    <row r="110" spans="1:93" hidden="1" x14ac:dyDescent="0.25">
      <c r="A110" s="42" t="s">
        <v>131</v>
      </c>
      <c r="B110" s="144" t="s">
        <v>49</v>
      </c>
      <c r="C110" s="158"/>
      <c r="D110" s="152"/>
      <c r="E110" s="44"/>
      <c r="F110" s="44"/>
      <c r="G110" s="43"/>
      <c r="H110" s="45"/>
      <c r="I110" s="46"/>
      <c r="J110" s="47"/>
      <c r="K110" s="45"/>
      <c r="L110" s="46"/>
      <c r="M110" s="47"/>
      <c r="N110" s="45"/>
      <c r="O110" s="46"/>
      <c r="P110" s="47"/>
      <c r="Q110" s="45"/>
      <c r="R110" s="46"/>
      <c r="S110" s="46"/>
      <c r="T110" s="48"/>
    </row>
    <row r="111" spans="1:93" hidden="1" x14ac:dyDescent="0.25">
      <c r="A111" s="49" t="s">
        <v>131</v>
      </c>
      <c r="B111" s="145" t="s">
        <v>1</v>
      </c>
      <c r="C111" s="107"/>
      <c r="D111" s="153"/>
      <c r="E111" s="51">
        <v>104</v>
      </c>
      <c r="F111" s="51"/>
      <c r="G111" s="50"/>
      <c r="H111" s="52"/>
      <c r="I111" s="50"/>
      <c r="J111" s="53"/>
      <c r="K111" s="52"/>
      <c r="L111" s="50"/>
      <c r="M111" s="53"/>
      <c r="N111" s="52"/>
      <c r="O111" s="50"/>
      <c r="P111" s="53"/>
      <c r="Q111" s="52"/>
      <c r="R111" s="50"/>
      <c r="S111" s="50"/>
      <c r="T111" s="54"/>
      <c r="U111" s="15"/>
      <c r="V111" s="15"/>
      <c r="W111" s="15"/>
      <c r="X111" s="15"/>
      <c r="Y111" s="15"/>
      <c r="Z111" s="15"/>
      <c r="AA111" s="15"/>
      <c r="AB111" s="15"/>
      <c r="AC111" s="15"/>
      <c r="AD111" s="15"/>
      <c r="AE111" s="15"/>
      <c r="AF111" s="15"/>
      <c r="AG111" s="15"/>
      <c r="AH111" s="15"/>
      <c r="AI111" s="15"/>
      <c r="AJ111" s="15"/>
      <c r="AK111" s="15"/>
      <c r="AL111" s="15"/>
      <c r="AM111" s="15"/>
      <c r="AN111" s="15"/>
      <c r="AO111" s="15"/>
      <c r="AP111" s="15"/>
      <c r="AQ111" s="15"/>
      <c r="AR111" s="15"/>
      <c r="AS111" s="15"/>
      <c r="AT111" s="15"/>
      <c r="AU111" s="15"/>
      <c r="AV111" s="15"/>
      <c r="AW111" s="15"/>
      <c r="AX111" s="15"/>
      <c r="AY111" s="15"/>
      <c r="AZ111" s="15"/>
      <c r="BA111" s="15"/>
      <c r="BB111" s="15"/>
      <c r="BC111" s="15"/>
      <c r="BD111" s="15"/>
      <c r="BE111" s="15"/>
      <c r="BF111" s="15"/>
      <c r="BG111" s="15"/>
      <c r="BH111" s="15"/>
      <c r="BI111" s="15"/>
      <c r="BJ111" s="15"/>
      <c r="BK111" s="15"/>
      <c r="BL111" s="15"/>
      <c r="BM111" s="15"/>
      <c r="BN111" s="15"/>
      <c r="BO111" s="15"/>
      <c r="BP111" s="15"/>
      <c r="BQ111" s="15"/>
      <c r="BR111" s="15"/>
      <c r="BS111" s="15"/>
      <c r="BT111" s="15"/>
      <c r="BU111" s="15"/>
      <c r="BV111" s="15"/>
      <c r="BW111" s="15"/>
      <c r="BX111" s="15"/>
      <c r="BY111" s="15"/>
      <c r="BZ111" s="15"/>
      <c r="CA111" s="15"/>
      <c r="CB111" s="15"/>
      <c r="CC111" s="15"/>
      <c r="CD111" s="15"/>
      <c r="CE111" s="15"/>
      <c r="CF111" s="15"/>
      <c r="CG111" s="15"/>
      <c r="CH111" s="15"/>
      <c r="CI111" s="15"/>
      <c r="CJ111" s="15"/>
      <c r="CK111" s="15"/>
      <c r="CL111" s="15"/>
      <c r="CM111" s="15"/>
      <c r="CN111" s="15"/>
      <c r="CO111" s="15"/>
    </row>
    <row r="112" spans="1:93" hidden="1" x14ac:dyDescent="0.25">
      <c r="A112" s="65" t="s">
        <v>131</v>
      </c>
      <c r="B112" s="75" t="s">
        <v>85</v>
      </c>
      <c r="C112" s="75" t="s">
        <v>204</v>
      </c>
      <c r="D112" s="56" t="s">
        <v>132</v>
      </c>
      <c r="E112" s="57">
        <v>4</v>
      </c>
      <c r="F112" s="57"/>
      <c r="G112" s="58"/>
      <c r="H112" s="91"/>
      <c r="I112" s="92" t="e">
        <f>+#REF!</f>
        <v>#REF!</v>
      </c>
      <c r="J112" s="93"/>
      <c r="K112" s="91"/>
      <c r="L112" s="20" t="e">
        <f>+#REF!</f>
        <v>#REF!</v>
      </c>
      <c r="M112" s="24"/>
      <c r="N112" s="91"/>
      <c r="O112" s="20" t="e">
        <f>+#REF!</f>
        <v>#REF!</v>
      </c>
      <c r="P112" s="24"/>
      <c r="Q112" s="59">
        <f t="shared" ref="Q112:S115" si="20">+N112+K112+H112</f>
        <v>0</v>
      </c>
      <c r="R112" s="60" t="e">
        <f t="shared" si="20"/>
        <v>#REF!</v>
      </c>
      <c r="S112" s="62">
        <f t="shared" si="20"/>
        <v>0</v>
      </c>
      <c r="T112" s="161" t="e">
        <f t="shared" si="9"/>
        <v>#REF!</v>
      </c>
    </row>
    <row r="113" spans="1:20" ht="30" hidden="1" x14ac:dyDescent="0.25">
      <c r="A113" s="65" t="s">
        <v>131</v>
      </c>
      <c r="B113" s="75" t="s">
        <v>205</v>
      </c>
      <c r="C113" s="75" t="s">
        <v>206</v>
      </c>
      <c r="D113" s="56" t="s">
        <v>132</v>
      </c>
      <c r="E113" s="57">
        <v>100</v>
      </c>
      <c r="F113" s="57"/>
      <c r="G113" s="58">
        <f>728*14</f>
        <v>10192</v>
      </c>
      <c r="H113" s="91"/>
      <c r="I113" s="92" t="e">
        <f>+#REF!</f>
        <v>#REF!</v>
      </c>
      <c r="J113" s="93"/>
      <c r="K113" s="91"/>
      <c r="L113" s="20" t="e">
        <f>+#REF!</f>
        <v>#REF!</v>
      </c>
      <c r="M113" s="24"/>
      <c r="N113" s="91"/>
      <c r="O113" s="20" t="e">
        <f>+#REF!</f>
        <v>#REF!</v>
      </c>
      <c r="P113" s="24"/>
      <c r="Q113" s="59">
        <f t="shared" si="20"/>
        <v>0</v>
      </c>
      <c r="R113" s="60" t="e">
        <f t="shared" si="20"/>
        <v>#REF!</v>
      </c>
      <c r="S113" s="62">
        <f t="shared" si="20"/>
        <v>0</v>
      </c>
      <c r="T113" s="161" t="e">
        <f t="shared" si="9"/>
        <v>#REF!</v>
      </c>
    </row>
    <row r="114" spans="1:20" ht="30" hidden="1" x14ac:dyDescent="0.25">
      <c r="A114" s="65" t="s">
        <v>131</v>
      </c>
      <c r="B114" s="75" t="s">
        <v>74</v>
      </c>
      <c r="C114" s="75" t="s">
        <v>207</v>
      </c>
      <c r="D114" s="56" t="s">
        <v>132</v>
      </c>
      <c r="E114" s="57">
        <v>2</v>
      </c>
      <c r="F114" s="57"/>
      <c r="G114" s="58"/>
      <c r="H114" s="91"/>
      <c r="I114" s="92" t="e">
        <f>+#REF!</f>
        <v>#REF!</v>
      </c>
      <c r="J114" s="93"/>
      <c r="K114" s="91"/>
      <c r="L114" s="20" t="e">
        <f>+#REF!</f>
        <v>#REF!</v>
      </c>
      <c r="M114" s="24"/>
      <c r="N114" s="91"/>
      <c r="O114" s="20" t="e">
        <f>+#REF!</f>
        <v>#REF!</v>
      </c>
      <c r="P114" s="24"/>
      <c r="Q114" s="59">
        <f t="shared" si="20"/>
        <v>0</v>
      </c>
      <c r="R114" s="60" t="e">
        <f t="shared" si="20"/>
        <v>#REF!</v>
      </c>
      <c r="S114" s="62">
        <f t="shared" si="20"/>
        <v>0</v>
      </c>
      <c r="T114" s="161" t="e">
        <f t="shared" si="9"/>
        <v>#REF!</v>
      </c>
    </row>
    <row r="115" spans="1:20" ht="30" hidden="1" x14ac:dyDescent="0.25">
      <c r="A115" s="65" t="s">
        <v>131</v>
      </c>
      <c r="B115" s="75" t="s">
        <v>6</v>
      </c>
      <c r="C115" s="75" t="s">
        <v>92</v>
      </c>
      <c r="D115" s="56" t="s">
        <v>215</v>
      </c>
      <c r="E115" s="57">
        <v>6</v>
      </c>
      <c r="F115" s="57"/>
      <c r="G115" s="58"/>
      <c r="H115" s="91"/>
      <c r="I115" s="92">
        <f>+(2800*12*6)/15</f>
        <v>13440</v>
      </c>
      <c r="J115" s="93"/>
      <c r="K115" s="91"/>
      <c r="L115" s="20">
        <f>+(3100*12*6)/15</f>
        <v>14880</v>
      </c>
      <c r="M115" s="24"/>
      <c r="N115" s="91"/>
      <c r="O115" s="20">
        <f>+(3260*12*6)/15</f>
        <v>15648</v>
      </c>
      <c r="P115" s="24"/>
      <c r="Q115" s="59">
        <f t="shared" si="20"/>
        <v>0</v>
      </c>
      <c r="R115" s="60">
        <f t="shared" si="20"/>
        <v>43968</v>
      </c>
      <c r="S115" s="62">
        <f t="shared" si="20"/>
        <v>0</v>
      </c>
      <c r="T115" s="161">
        <f t="shared" si="9"/>
        <v>43968</v>
      </c>
    </row>
    <row r="116" spans="1:20" hidden="1" x14ac:dyDescent="0.25">
      <c r="A116" s="49" t="s">
        <v>131</v>
      </c>
      <c r="B116" s="145" t="s">
        <v>22</v>
      </c>
      <c r="C116" s="107"/>
      <c r="D116" s="153"/>
      <c r="E116" s="51"/>
      <c r="F116" s="51"/>
      <c r="G116" s="50"/>
      <c r="H116" s="52"/>
      <c r="I116" s="50"/>
      <c r="J116" s="53"/>
      <c r="K116" s="52"/>
      <c r="L116" s="50"/>
      <c r="M116" s="53"/>
      <c r="N116" s="52"/>
      <c r="O116" s="50"/>
      <c r="P116" s="53"/>
      <c r="Q116" s="52"/>
      <c r="R116" s="50"/>
      <c r="S116" s="50"/>
      <c r="T116" s="54"/>
    </row>
    <row r="117" spans="1:20" hidden="1" x14ac:dyDescent="0.25">
      <c r="A117" s="65" t="s">
        <v>131</v>
      </c>
      <c r="B117" s="75" t="s">
        <v>23</v>
      </c>
      <c r="C117" s="75" t="s">
        <v>47</v>
      </c>
      <c r="D117" s="56" t="s">
        <v>133</v>
      </c>
      <c r="E117" s="57"/>
      <c r="F117" s="57"/>
      <c r="G117" s="58"/>
      <c r="H117" s="91">
        <f>24*1072</f>
        <v>25728</v>
      </c>
      <c r="I117" s="92"/>
      <c r="J117" s="93"/>
      <c r="K117" s="91">
        <f>24*1072</f>
        <v>25728</v>
      </c>
      <c r="L117" s="60"/>
      <c r="M117" s="61"/>
      <c r="N117" s="91">
        <f>16*1072</f>
        <v>17152</v>
      </c>
      <c r="O117" s="60"/>
      <c r="P117" s="61"/>
      <c r="Q117" s="59">
        <f t="shared" ref="Q117:S117" si="21">+N117+K117+H117</f>
        <v>68608</v>
      </c>
      <c r="R117" s="60">
        <f t="shared" si="21"/>
        <v>0</v>
      </c>
      <c r="S117" s="62">
        <f t="shared" si="21"/>
        <v>0</v>
      </c>
      <c r="T117" s="161">
        <f t="shared" si="9"/>
        <v>68608</v>
      </c>
    </row>
    <row r="118" spans="1:20" hidden="1" x14ac:dyDescent="0.25">
      <c r="A118" s="49" t="s">
        <v>131</v>
      </c>
      <c r="B118" s="145" t="s">
        <v>24</v>
      </c>
      <c r="C118" s="107"/>
      <c r="D118" s="153"/>
      <c r="E118" s="51"/>
      <c r="F118" s="51"/>
      <c r="G118" s="50"/>
      <c r="H118" s="52"/>
      <c r="I118" s="50"/>
      <c r="J118" s="53"/>
      <c r="K118" s="52"/>
      <c r="L118" s="50"/>
      <c r="M118" s="53"/>
      <c r="N118" s="52"/>
      <c r="O118" s="50"/>
      <c r="P118" s="53"/>
      <c r="Q118" s="52"/>
      <c r="R118" s="50"/>
      <c r="S118" s="50"/>
      <c r="T118" s="54"/>
    </row>
    <row r="119" spans="1:20" s="15" customFormat="1" ht="30" hidden="1" x14ac:dyDescent="0.25">
      <c r="A119" s="17" t="s">
        <v>131</v>
      </c>
      <c r="B119" s="18" t="s">
        <v>14</v>
      </c>
      <c r="C119" s="18" t="s">
        <v>89</v>
      </c>
      <c r="D119" s="105" t="s">
        <v>135</v>
      </c>
      <c r="E119" s="100"/>
      <c r="F119" s="100"/>
      <c r="G119" s="99"/>
      <c r="H119" s="22">
        <v>42000</v>
      </c>
      <c r="I119" s="20"/>
      <c r="J119" s="24"/>
      <c r="K119" s="22">
        <v>44000</v>
      </c>
      <c r="L119" s="101"/>
      <c r="M119" s="102"/>
      <c r="N119" s="22">
        <v>49000</v>
      </c>
      <c r="O119" s="101"/>
      <c r="P119" s="102"/>
      <c r="Q119" s="59">
        <f t="shared" ref="Q119:S120" si="22">+N119+K119+H119</f>
        <v>135000</v>
      </c>
      <c r="R119" s="60">
        <f t="shared" si="22"/>
        <v>0</v>
      </c>
      <c r="S119" s="62">
        <f t="shared" si="22"/>
        <v>0</v>
      </c>
      <c r="T119" s="161">
        <f t="shared" si="9"/>
        <v>135000</v>
      </c>
    </row>
    <row r="120" spans="1:20" s="15" customFormat="1" ht="30" hidden="1" x14ac:dyDescent="0.25">
      <c r="A120" s="17" t="s">
        <v>131</v>
      </c>
      <c r="B120" s="18" t="s">
        <v>11</v>
      </c>
      <c r="C120" s="18" t="s">
        <v>89</v>
      </c>
      <c r="D120" s="105" t="s">
        <v>136</v>
      </c>
      <c r="E120" s="100"/>
      <c r="F120" s="100"/>
      <c r="G120" s="99"/>
      <c r="H120" s="22">
        <f>330*2*56+80*56*2*2</f>
        <v>54880</v>
      </c>
      <c r="I120" s="20"/>
      <c r="J120" s="24"/>
      <c r="K120" s="22">
        <v>74088</v>
      </c>
      <c r="L120" s="99"/>
      <c r="M120" s="23"/>
      <c r="N120" s="22">
        <v>100019</v>
      </c>
      <c r="O120" s="99"/>
      <c r="P120" s="23"/>
      <c r="Q120" s="59">
        <f t="shared" si="22"/>
        <v>228987</v>
      </c>
      <c r="R120" s="60">
        <f t="shared" si="22"/>
        <v>0</v>
      </c>
      <c r="S120" s="62">
        <f t="shared" si="22"/>
        <v>0</v>
      </c>
      <c r="T120" s="161">
        <f t="shared" si="9"/>
        <v>228987</v>
      </c>
    </row>
    <row r="121" spans="1:20" hidden="1" x14ac:dyDescent="0.25">
      <c r="A121" s="42" t="s">
        <v>131</v>
      </c>
      <c r="B121" s="144" t="s">
        <v>50</v>
      </c>
      <c r="C121" s="158"/>
      <c r="D121" s="152"/>
      <c r="E121" s="44"/>
      <c r="F121" s="44"/>
      <c r="G121" s="43"/>
      <c r="H121" s="45"/>
      <c r="I121" s="46"/>
      <c r="J121" s="47"/>
      <c r="K121" s="45"/>
      <c r="L121" s="46"/>
      <c r="M121" s="47"/>
      <c r="N121" s="45"/>
      <c r="O121" s="46"/>
      <c r="P121" s="47"/>
      <c r="Q121" s="45"/>
      <c r="R121" s="46"/>
      <c r="S121" s="46"/>
      <c r="T121" s="48"/>
    </row>
    <row r="122" spans="1:20" hidden="1" x14ac:dyDescent="0.25">
      <c r="A122" s="49" t="s">
        <v>131</v>
      </c>
      <c r="B122" s="145" t="s">
        <v>76</v>
      </c>
      <c r="C122" s="107"/>
      <c r="D122" s="153"/>
      <c r="E122" s="51"/>
      <c r="F122" s="51"/>
      <c r="G122" s="50"/>
      <c r="H122" s="52"/>
      <c r="I122" s="50"/>
      <c r="J122" s="53"/>
      <c r="K122" s="52"/>
      <c r="L122" s="50"/>
      <c r="M122" s="53"/>
      <c r="N122" s="52"/>
      <c r="O122" s="50"/>
      <c r="P122" s="53"/>
      <c r="Q122" s="52"/>
      <c r="R122" s="50"/>
      <c r="S122" s="50"/>
      <c r="T122" s="54"/>
    </row>
    <row r="123" spans="1:20" s="15" customFormat="1" ht="30" hidden="1" x14ac:dyDescent="0.25">
      <c r="A123" s="78" t="s">
        <v>131</v>
      </c>
      <c r="B123" s="103" t="s">
        <v>11</v>
      </c>
      <c r="C123" s="103" t="s">
        <v>77</v>
      </c>
      <c r="D123" s="105" t="s">
        <v>136</v>
      </c>
      <c r="E123" s="100"/>
      <c r="F123" s="100"/>
      <c r="G123" s="99"/>
      <c r="H123" s="22">
        <f>2*330*23+2*2*23*80+50*330+2*50*80</f>
        <v>47040</v>
      </c>
      <c r="I123" s="20"/>
      <c r="J123" s="24"/>
      <c r="K123" s="22">
        <v>63504</v>
      </c>
      <c r="L123" s="99"/>
      <c r="M123" s="23"/>
      <c r="N123" s="22">
        <v>92081</v>
      </c>
      <c r="O123" s="99"/>
      <c r="P123" s="23"/>
      <c r="Q123" s="59">
        <f t="shared" ref="Q123:S124" si="23">+N123+K123+H123</f>
        <v>202625</v>
      </c>
      <c r="R123" s="60">
        <f t="shared" si="23"/>
        <v>0</v>
      </c>
      <c r="S123" s="62">
        <f t="shared" si="23"/>
        <v>0</v>
      </c>
      <c r="T123" s="161">
        <f t="shared" si="9"/>
        <v>202625</v>
      </c>
    </row>
    <row r="124" spans="1:20" s="15" customFormat="1" ht="30" hidden="1" x14ac:dyDescent="0.25">
      <c r="A124" s="78" t="s">
        <v>131</v>
      </c>
      <c r="B124" s="103" t="s">
        <v>9</v>
      </c>
      <c r="C124" s="103" t="s">
        <v>109</v>
      </c>
      <c r="D124" s="86" t="s">
        <v>136</v>
      </c>
      <c r="E124" s="80"/>
      <c r="F124" s="80"/>
      <c r="G124" s="81"/>
      <c r="H124" s="22">
        <f>50*130</f>
        <v>6500</v>
      </c>
      <c r="I124" s="20"/>
      <c r="J124" s="24"/>
      <c r="K124" s="22">
        <v>8775</v>
      </c>
      <c r="L124" s="20"/>
      <c r="M124" s="24"/>
      <c r="N124" s="22">
        <v>12724</v>
      </c>
      <c r="O124" s="20"/>
      <c r="P124" s="24"/>
      <c r="Q124" s="59">
        <f t="shared" si="23"/>
        <v>27999</v>
      </c>
      <c r="R124" s="60">
        <f t="shared" si="23"/>
        <v>0</v>
      </c>
      <c r="S124" s="62">
        <f t="shared" si="23"/>
        <v>0</v>
      </c>
      <c r="T124" s="161">
        <f t="shared" si="9"/>
        <v>27999</v>
      </c>
    </row>
    <row r="125" spans="1:20" hidden="1" x14ac:dyDescent="0.25">
      <c r="A125" s="49" t="s">
        <v>131</v>
      </c>
      <c r="B125" s="145" t="s">
        <v>22</v>
      </c>
      <c r="C125" s="107"/>
      <c r="D125" s="153"/>
      <c r="E125" s="51"/>
      <c r="F125" s="51"/>
      <c r="G125" s="50"/>
      <c r="H125" s="52"/>
      <c r="I125" s="50"/>
      <c r="J125" s="53"/>
      <c r="K125" s="52"/>
      <c r="L125" s="50"/>
      <c r="M125" s="53"/>
      <c r="N125" s="52"/>
      <c r="O125" s="50"/>
      <c r="P125" s="53"/>
      <c r="Q125" s="52"/>
      <c r="R125" s="50"/>
      <c r="S125" s="50"/>
      <c r="T125" s="54"/>
    </row>
    <row r="126" spans="1:20" s="15" customFormat="1" hidden="1" x14ac:dyDescent="0.25">
      <c r="A126" s="17" t="s">
        <v>131</v>
      </c>
      <c r="B126" s="18" t="s">
        <v>23</v>
      </c>
      <c r="C126" s="18" t="s">
        <v>78</v>
      </c>
      <c r="D126" s="105" t="s">
        <v>133</v>
      </c>
      <c r="E126" s="100"/>
      <c r="F126" s="100"/>
      <c r="G126" s="99"/>
      <c r="H126" s="22">
        <f>21*1400</f>
        <v>29400</v>
      </c>
      <c r="I126" s="20"/>
      <c r="J126" s="24"/>
      <c r="K126" s="22">
        <f>21*1400</f>
        <v>29400</v>
      </c>
      <c r="L126" s="101"/>
      <c r="M126" s="102"/>
      <c r="N126" s="22">
        <f>14*1400</f>
        <v>19600</v>
      </c>
      <c r="O126" s="101"/>
      <c r="P126" s="102"/>
      <c r="Q126" s="59">
        <f t="shared" ref="Q126:S126" si="24">+N126+K126+H126</f>
        <v>78400</v>
      </c>
      <c r="R126" s="60">
        <f t="shared" si="24"/>
        <v>0</v>
      </c>
      <c r="S126" s="62">
        <f t="shared" si="24"/>
        <v>0</v>
      </c>
      <c r="T126" s="161">
        <f t="shared" si="9"/>
        <v>78400</v>
      </c>
    </row>
    <row r="127" spans="1:20" hidden="1" x14ac:dyDescent="0.25">
      <c r="A127" s="82" t="s">
        <v>131</v>
      </c>
      <c r="B127" s="146" t="s">
        <v>96</v>
      </c>
      <c r="C127" s="159"/>
      <c r="D127" s="154"/>
      <c r="E127" s="84"/>
      <c r="F127" s="84"/>
      <c r="G127" s="83"/>
      <c r="H127" s="38"/>
      <c r="I127" s="39"/>
      <c r="J127" s="40"/>
      <c r="K127" s="38"/>
      <c r="L127" s="39"/>
      <c r="M127" s="40"/>
      <c r="N127" s="38"/>
      <c r="O127" s="39"/>
      <c r="P127" s="40"/>
      <c r="Q127" s="38"/>
      <c r="R127" s="39"/>
      <c r="S127" s="39"/>
      <c r="T127" s="41"/>
    </row>
    <row r="128" spans="1:20" hidden="1" x14ac:dyDescent="0.25">
      <c r="A128" s="42" t="s">
        <v>131</v>
      </c>
      <c r="B128" s="144" t="s">
        <v>93</v>
      </c>
      <c r="C128" s="158"/>
      <c r="D128" s="152"/>
      <c r="E128" s="44"/>
      <c r="F128" s="44"/>
      <c r="G128" s="43"/>
      <c r="H128" s="45"/>
      <c r="I128" s="46"/>
      <c r="J128" s="47"/>
      <c r="K128" s="45"/>
      <c r="L128" s="46"/>
      <c r="M128" s="47"/>
      <c r="N128" s="45"/>
      <c r="O128" s="46"/>
      <c r="P128" s="47"/>
      <c r="Q128" s="45"/>
      <c r="R128" s="46"/>
      <c r="S128" s="46"/>
      <c r="T128" s="48"/>
    </row>
    <row r="129" spans="1:20" s="15" customFormat="1" ht="30" hidden="1" x14ac:dyDescent="0.25">
      <c r="A129" s="78" t="s">
        <v>131</v>
      </c>
      <c r="B129" s="103" t="s">
        <v>11</v>
      </c>
      <c r="C129" s="103" t="s">
        <v>80</v>
      </c>
      <c r="D129" s="103" t="s">
        <v>136</v>
      </c>
      <c r="E129" s="21"/>
      <c r="F129" s="21"/>
      <c r="G129" s="104"/>
      <c r="H129" s="22">
        <v>176400</v>
      </c>
      <c r="I129" s="20"/>
      <c r="J129" s="24"/>
      <c r="K129" s="22">
        <v>238140</v>
      </c>
      <c r="L129" s="20"/>
      <c r="M129" s="24"/>
      <c r="N129" s="22">
        <v>345303</v>
      </c>
      <c r="O129" s="20"/>
      <c r="P129" s="24"/>
      <c r="Q129" s="59">
        <f t="shared" ref="Q129:S135" si="25">+N129+K129+H129</f>
        <v>759843</v>
      </c>
      <c r="R129" s="60">
        <f t="shared" si="25"/>
        <v>0</v>
      </c>
      <c r="S129" s="62">
        <f t="shared" si="25"/>
        <v>0</v>
      </c>
      <c r="T129" s="161">
        <f t="shared" si="9"/>
        <v>759843</v>
      </c>
    </row>
    <row r="130" spans="1:20" s="15" customFormat="1" ht="30" hidden="1" x14ac:dyDescent="0.25">
      <c r="A130" s="78" t="s">
        <v>131</v>
      </c>
      <c r="B130" s="103" t="s">
        <v>14</v>
      </c>
      <c r="C130" s="103" t="s">
        <v>80</v>
      </c>
      <c r="D130" s="103" t="s">
        <v>136</v>
      </c>
      <c r="E130" s="27"/>
      <c r="F130" s="27"/>
      <c r="G130" s="79"/>
      <c r="H130" s="22">
        <v>88000</v>
      </c>
      <c r="I130" s="20"/>
      <c r="J130" s="24"/>
      <c r="K130" s="22">
        <v>114400</v>
      </c>
      <c r="L130" s="20"/>
      <c r="M130" s="24"/>
      <c r="N130" s="22">
        <v>131560</v>
      </c>
      <c r="O130" s="20"/>
      <c r="P130" s="24"/>
      <c r="Q130" s="59">
        <f t="shared" si="25"/>
        <v>333960</v>
      </c>
      <c r="R130" s="60">
        <f t="shared" si="25"/>
        <v>0</v>
      </c>
      <c r="S130" s="62">
        <f t="shared" si="25"/>
        <v>0</v>
      </c>
      <c r="T130" s="161">
        <f t="shared" si="9"/>
        <v>333960</v>
      </c>
    </row>
    <row r="131" spans="1:20" s="15" customFormat="1" ht="45" hidden="1" x14ac:dyDescent="0.25">
      <c r="A131" s="78" t="s">
        <v>131</v>
      </c>
      <c r="B131" s="103" t="s">
        <v>9</v>
      </c>
      <c r="C131" s="103" t="s">
        <v>108</v>
      </c>
      <c r="D131" s="103" t="s">
        <v>136</v>
      </c>
      <c r="E131" s="27"/>
      <c r="F131" s="27"/>
      <c r="G131" s="79"/>
      <c r="H131" s="22">
        <v>16600</v>
      </c>
      <c r="I131" s="20"/>
      <c r="J131" s="24"/>
      <c r="K131" s="22">
        <v>22410</v>
      </c>
      <c r="L131" s="20"/>
      <c r="M131" s="24"/>
      <c r="N131" s="22">
        <v>32495</v>
      </c>
      <c r="O131" s="20"/>
      <c r="P131" s="24"/>
      <c r="Q131" s="59">
        <f t="shared" si="25"/>
        <v>71505</v>
      </c>
      <c r="R131" s="60">
        <f t="shared" si="25"/>
        <v>0</v>
      </c>
      <c r="S131" s="62">
        <f t="shared" si="25"/>
        <v>0</v>
      </c>
      <c r="T131" s="161">
        <f t="shared" si="9"/>
        <v>71505</v>
      </c>
    </row>
    <row r="132" spans="1:20" s="15" customFormat="1" ht="30" hidden="1" x14ac:dyDescent="0.25">
      <c r="A132" s="17" t="s">
        <v>131</v>
      </c>
      <c r="B132" s="18" t="s">
        <v>79</v>
      </c>
      <c r="C132" s="103" t="s">
        <v>80</v>
      </c>
      <c r="D132" s="86" t="s">
        <v>136</v>
      </c>
      <c r="E132" s="80"/>
      <c r="F132" s="80"/>
      <c r="G132" s="81"/>
      <c r="H132" s="22">
        <v>30000</v>
      </c>
      <c r="I132" s="20"/>
      <c r="J132" s="24"/>
      <c r="K132" s="22">
        <v>50000</v>
      </c>
      <c r="L132" s="67"/>
      <c r="M132" s="68"/>
      <c r="N132" s="22"/>
      <c r="O132" s="67"/>
      <c r="P132" s="68"/>
      <c r="Q132" s="59">
        <f t="shared" si="25"/>
        <v>80000</v>
      </c>
      <c r="R132" s="60">
        <f t="shared" si="25"/>
        <v>0</v>
      </c>
      <c r="S132" s="62">
        <f t="shared" si="25"/>
        <v>0</v>
      </c>
      <c r="T132" s="161">
        <f t="shared" si="9"/>
        <v>80000</v>
      </c>
    </row>
    <row r="133" spans="1:20" s="15" customFormat="1" ht="30" hidden="1" x14ac:dyDescent="0.25">
      <c r="A133" s="17" t="s">
        <v>131</v>
      </c>
      <c r="B133" s="18" t="s">
        <v>81</v>
      </c>
      <c r="C133" s="103" t="s">
        <v>208</v>
      </c>
      <c r="D133" s="86" t="s">
        <v>136</v>
      </c>
      <c r="E133" s="27"/>
      <c r="F133" s="27"/>
      <c r="G133" s="28"/>
      <c r="H133" s="22">
        <v>20000</v>
      </c>
      <c r="I133" s="20"/>
      <c r="J133" s="24"/>
      <c r="K133" s="22"/>
      <c r="L133" s="67"/>
      <c r="M133" s="68"/>
      <c r="N133" s="22"/>
      <c r="O133" s="67"/>
      <c r="P133" s="68"/>
      <c r="Q133" s="59">
        <f t="shared" si="25"/>
        <v>20000</v>
      </c>
      <c r="R133" s="60">
        <f t="shared" si="25"/>
        <v>0</v>
      </c>
      <c r="S133" s="62">
        <f t="shared" si="25"/>
        <v>0</v>
      </c>
      <c r="T133" s="161">
        <f t="shared" si="9"/>
        <v>20000</v>
      </c>
    </row>
    <row r="134" spans="1:20" s="15" customFormat="1" ht="30" hidden="1" x14ac:dyDescent="0.25">
      <c r="A134" s="17" t="s">
        <v>131</v>
      </c>
      <c r="B134" s="18" t="s">
        <v>82</v>
      </c>
      <c r="C134" s="103" t="s">
        <v>113</v>
      </c>
      <c r="D134" s="86" t="s">
        <v>132</v>
      </c>
      <c r="E134" s="27">
        <v>2</v>
      </c>
      <c r="F134" s="27"/>
      <c r="G134" s="28"/>
      <c r="H134" s="22"/>
      <c r="I134" s="20" t="e">
        <f>+#REF!</f>
        <v>#REF!</v>
      </c>
      <c r="J134" s="24"/>
      <c r="K134" s="22"/>
      <c r="L134" s="67" t="e">
        <f>+#REF!</f>
        <v>#REF!</v>
      </c>
      <c r="M134" s="68"/>
      <c r="N134" s="22"/>
      <c r="O134" s="67" t="e">
        <f>+#REF!</f>
        <v>#REF!</v>
      </c>
      <c r="P134" s="68"/>
      <c r="Q134" s="59">
        <f t="shared" si="25"/>
        <v>0</v>
      </c>
      <c r="R134" s="60" t="e">
        <f t="shared" si="25"/>
        <v>#REF!</v>
      </c>
      <c r="S134" s="62">
        <f t="shared" si="25"/>
        <v>0</v>
      </c>
      <c r="T134" s="161" t="e">
        <f t="shared" si="9"/>
        <v>#REF!</v>
      </c>
    </row>
    <row r="135" spans="1:20" s="15" customFormat="1" ht="30" hidden="1" x14ac:dyDescent="0.25">
      <c r="A135" s="17" t="s">
        <v>131</v>
      </c>
      <c r="B135" s="18" t="s">
        <v>83</v>
      </c>
      <c r="C135" s="103" t="s">
        <v>92</v>
      </c>
      <c r="D135" s="86" t="s">
        <v>215</v>
      </c>
      <c r="E135" s="27">
        <v>2</v>
      </c>
      <c r="F135" s="27"/>
      <c r="G135" s="28"/>
      <c r="H135" s="22"/>
      <c r="I135" s="20">
        <f>+(2800*12*2)/15</f>
        <v>4480</v>
      </c>
      <c r="J135" s="24"/>
      <c r="K135" s="22"/>
      <c r="L135" s="67">
        <f>+(3100*12*2)/15</f>
        <v>4960</v>
      </c>
      <c r="M135" s="68"/>
      <c r="N135" s="22"/>
      <c r="O135" s="67">
        <f>+(3260*12*2)/15</f>
        <v>5216</v>
      </c>
      <c r="P135" s="68"/>
      <c r="Q135" s="59">
        <f t="shared" si="25"/>
        <v>0</v>
      </c>
      <c r="R135" s="60">
        <f t="shared" si="25"/>
        <v>14656</v>
      </c>
      <c r="S135" s="62">
        <f t="shared" si="25"/>
        <v>0</v>
      </c>
      <c r="T135" s="161">
        <f t="shared" si="9"/>
        <v>14656</v>
      </c>
    </row>
    <row r="136" spans="1:20" ht="30" hidden="1" x14ac:dyDescent="0.25">
      <c r="A136" s="42" t="s">
        <v>131</v>
      </c>
      <c r="B136" s="144" t="s">
        <v>97</v>
      </c>
      <c r="C136" s="158"/>
      <c r="D136" s="152"/>
      <c r="E136" s="44"/>
      <c r="F136" s="44"/>
      <c r="G136" s="43"/>
      <c r="H136" s="45"/>
      <c r="I136" s="46"/>
      <c r="J136" s="47"/>
      <c r="K136" s="45"/>
      <c r="L136" s="46"/>
      <c r="M136" s="47"/>
      <c r="N136" s="45">
        <f>SUM(O137)</f>
        <v>0</v>
      </c>
      <c r="O136" s="46"/>
      <c r="P136" s="47"/>
      <c r="Q136" s="45"/>
      <c r="R136" s="46"/>
      <c r="S136" s="46"/>
      <c r="T136" s="48"/>
    </row>
    <row r="137" spans="1:20" s="15" customFormat="1" ht="30" hidden="1" x14ac:dyDescent="0.25">
      <c r="A137" s="17" t="s">
        <v>131</v>
      </c>
      <c r="B137" s="18" t="s">
        <v>94</v>
      </c>
      <c r="C137" s="103" t="s">
        <v>209</v>
      </c>
      <c r="D137" s="86" t="s">
        <v>132</v>
      </c>
      <c r="E137" s="27">
        <v>1</v>
      </c>
      <c r="F137" s="27"/>
      <c r="G137" s="28"/>
      <c r="H137" s="22"/>
      <c r="I137" s="20">
        <v>7000</v>
      </c>
      <c r="J137" s="24"/>
      <c r="K137" s="22"/>
      <c r="L137" s="67">
        <v>6000</v>
      </c>
      <c r="M137" s="68"/>
      <c r="N137" s="22"/>
      <c r="O137" s="67">
        <v>0</v>
      </c>
      <c r="P137" s="68"/>
      <c r="Q137" s="59">
        <f t="shared" ref="Q137:S137" si="26">+N137+K137+H137</f>
        <v>0</v>
      </c>
      <c r="R137" s="60">
        <f t="shared" si="26"/>
        <v>13000</v>
      </c>
      <c r="S137" s="62">
        <f t="shared" si="26"/>
        <v>0</v>
      </c>
      <c r="T137" s="161">
        <f t="shared" ref="T137:T200" si="27">+Q137+R137+S137</f>
        <v>13000</v>
      </c>
    </row>
    <row r="138" spans="1:20" hidden="1" x14ac:dyDescent="0.25">
      <c r="A138" s="82" t="s">
        <v>131</v>
      </c>
      <c r="B138" s="146" t="s">
        <v>95</v>
      </c>
      <c r="C138" s="159"/>
      <c r="D138" s="154"/>
      <c r="E138" s="84">
        <v>1</v>
      </c>
      <c r="F138" s="84"/>
      <c r="G138" s="83"/>
      <c r="H138" s="38"/>
      <c r="I138" s="39"/>
      <c r="J138" s="40"/>
      <c r="K138" s="38"/>
      <c r="L138" s="39"/>
      <c r="M138" s="40"/>
      <c r="N138" s="38"/>
      <c r="O138" s="39"/>
      <c r="P138" s="40"/>
      <c r="Q138" s="38"/>
      <c r="R138" s="39"/>
      <c r="S138" s="39"/>
      <c r="T138" s="41"/>
    </row>
    <row r="139" spans="1:20" hidden="1" x14ac:dyDescent="0.25">
      <c r="A139" s="49" t="s">
        <v>131</v>
      </c>
      <c r="B139" s="145" t="s">
        <v>1</v>
      </c>
      <c r="C139" s="107"/>
      <c r="D139" s="153"/>
      <c r="E139" s="51">
        <v>1</v>
      </c>
      <c r="F139" s="51"/>
      <c r="G139" s="50"/>
      <c r="H139" s="106"/>
      <c r="I139" s="107"/>
      <c r="J139" s="108"/>
      <c r="K139" s="106"/>
      <c r="L139" s="50"/>
      <c r="M139" s="53"/>
      <c r="N139" s="106"/>
      <c r="O139" s="50"/>
      <c r="P139" s="53"/>
      <c r="Q139" s="106"/>
      <c r="R139" s="50"/>
      <c r="S139" s="50"/>
      <c r="T139" s="54"/>
    </row>
    <row r="140" spans="1:20" s="15" customFormat="1" ht="30" hidden="1" x14ac:dyDescent="0.25">
      <c r="A140" s="17" t="s">
        <v>131</v>
      </c>
      <c r="B140" s="18" t="s">
        <v>210</v>
      </c>
      <c r="C140" s="103" t="s">
        <v>30</v>
      </c>
      <c r="D140" s="86" t="s">
        <v>132</v>
      </c>
      <c r="E140" s="27">
        <v>1</v>
      </c>
      <c r="F140" s="27"/>
      <c r="G140" s="28"/>
      <c r="H140" s="22"/>
      <c r="I140" s="20" t="e">
        <f>+#REF!</f>
        <v>#REF!</v>
      </c>
      <c r="J140" s="24"/>
      <c r="K140" s="22"/>
      <c r="L140" s="67" t="e">
        <f>+#REF!</f>
        <v>#REF!</v>
      </c>
      <c r="M140" s="68"/>
      <c r="N140" s="22"/>
      <c r="O140" s="67" t="e">
        <f>+#REF!</f>
        <v>#REF!</v>
      </c>
      <c r="P140" s="68"/>
      <c r="Q140" s="59">
        <f t="shared" ref="Q140:S142" si="28">+N140+K140+H140</f>
        <v>0</v>
      </c>
      <c r="R140" s="60" t="e">
        <f t="shared" si="28"/>
        <v>#REF!</v>
      </c>
      <c r="S140" s="62">
        <f t="shared" si="28"/>
        <v>0</v>
      </c>
      <c r="T140" s="161" t="e">
        <f t="shared" si="27"/>
        <v>#REF!</v>
      </c>
    </row>
    <row r="141" spans="1:20" s="15" customFormat="1" hidden="1" x14ac:dyDescent="0.25">
      <c r="A141" s="17" t="s">
        <v>131</v>
      </c>
      <c r="B141" s="18" t="s">
        <v>211</v>
      </c>
      <c r="C141" s="103" t="s">
        <v>30</v>
      </c>
      <c r="D141" s="86" t="s">
        <v>132</v>
      </c>
      <c r="E141" s="27">
        <v>1</v>
      </c>
      <c r="F141" s="27"/>
      <c r="G141" s="28"/>
      <c r="H141" s="22"/>
      <c r="I141" s="20" t="e">
        <f>+#REF!</f>
        <v>#REF!</v>
      </c>
      <c r="J141" s="24"/>
      <c r="K141" s="22"/>
      <c r="L141" s="67" t="e">
        <f>+#REF!</f>
        <v>#REF!</v>
      </c>
      <c r="M141" s="68"/>
      <c r="N141" s="22"/>
      <c r="O141" s="67" t="e">
        <f>+#REF!</f>
        <v>#REF!</v>
      </c>
      <c r="P141" s="68"/>
      <c r="Q141" s="59">
        <f t="shared" si="28"/>
        <v>0</v>
      </c>
      <c r="R141" s="60" t="e">
        <f t="shared" si="28"/>
        <v>#REF!</v>
      </c>
      <c r="S141" s="62">
        <f t="shared" si="28"/>
        <v>0</v>
      </c>
      <c r="T141" s="161" t="e">
        <f t="shared" si="27"/>
        <v>#REF!</v>
      </c>
    </row>
    <row r="142" spans="1:20" s="15" customFormat="1" ht="30" hidden="1" x14ac:dyDescent="0.25">
      <c r="A142" s="17" t="s">
        <v>131</v>
      </c>
      <c r="B142" s="18" t="s">
        <v>83</v>
      </c>
      <c r="C142" s="103" t="s">
        <v>92</v>
      </c>
      <c r="D142" s="86" t="s">
        <v>215</v>
      </c>
      <c r="E142" s="27">
        <v>2</v>
      </c>
      <c r="F142" s="27"/>
      <c r="G142" s="28"/>
      <c r="H142" s="22"/>
      <c r="I142" s="20">
        <f>+(2800*12*2)/15</f>
        <v>4480</v>
      </c>
      <c r="J142" s="24"/>
      <c r="K142" s="22"/>
      <c r="L142" s="67">
        <f>+(3100*12*2)/15</f>
        <v>4960</v>
      </c>
      <c r="M142" s="68"/>
      <c r="N142" s="22"/>
      <c r="O142" s="67">
        <f>+(3260*12*2)/15</f>
        <v>5216</v>
      </c>
      <c r="P142" s="68"/>
      <c r="Q142" s="59">
        <f t="shared" si="28"/>
        <v>0</v>
      </c>
      <c r="R142" s="60">
        <f t="shared" si="28"/>
        <v>14656</v>
      </c>
      <c r="S142" s="62">
        <f t="shared" si="28"/>
        <v>0</v>
      </c>
      <c r="T142" s="161">
        <f t="shared" si="27"/>
        <v>14656</v>
      </c>
    </row>
    <row r="143" spans="1:20" hidden="1" x14ac:dyDescent="0.25">
      <c r="A143" s="49" t="s">
        <v>131</v>
      </c>
      <c r="B143" s="145" t="s">
        <v>27</v>
      </c>
      <c r="C143" s="107"/>
      <c r="D143" s="153"/>
      <c r="E143" s="51">
        <v>4</v>
      </c>
      <c r="F143" s="51"/>
      <c r="G143" s="50"/>
      <c r="H143" s="52"/>
      <c r="I143" s="50"/>
      <c r="J143" s="53"/>
      <c r="K143" s="52"/>
      <c r="L143" s="50"/>
      <c r="M143" s="53"/>
      <c r="N143" s="52"/>
      <c r="O143" s="50"/>
      <c r="P143" s="53"/>
      <c r="Q143" s="52"/>
      <c r="R143" s="50"/>
      <c r="S143" s="50"/>
      <c r="T143" s="54"/>
    </row>
    <row r="144" spans="1:20" s="15" customFormat="1" ht="45" hidden="1" x14ac:dyDescent="0.25">
      <c r="A144" s="17" t="s">
        <v>131</v>
      </c>
      <c r="B144" s="18" t="s">
        <v>212</v>
      </c>
      <c r="C144" s="103" t="s">
        <v>123</v>
      </c>
      <c r="D144" s="86" t="s">
        <v>132</v>
      </c>
      <c r="E144" s="27">
        <v>1</v>
      </c>
      <c r="F144" s="27"/>
      <c r="G144" s="28"/>
      <c r="H144" s="22"/>
      <c r="I144" s="20" t="e">
        <f>+#REF!</f>
        <v>#REF!</v>
      </c>
      <c r="J144" s="24"/>
      <c r="K144" s="22"/>
      <c r="L144" s="67" t="e">
        <f>+#REF!</f>
        <v>#REF!</v>
      </c>
      <c r="M144" s="68"/>
      <c r="N144" s="22"/>
      <c r="O144" s="67" t="e">
        <f>+#REF!</f>
        <v>#REF!</v>
      </c>
      <c r="P144" s="68"/>
      <c r="Q144" s="59">
        <f t="shared" ref="Q144:S147" si="29">+N144+K144+H144</f>
        <v>0</v>
      </c>
      <c r="R144" s="60" t="e">
        <f t="shared" si="29"/>
        <v>#REF!</v>
      </c>
      <c r="S144" s="62">
        <f t="shared" si="29"/>
        <v>0</v>
      </c>
      <c r="T144" s="161" t="e">
        <f t="shared" si="27"/>
        <v>#REF!</v>
      </c>
    </row>
    <row r="145" spans="1:20" s="15" customFormat="1" ht="60" hidden="1" x14ac:dyDescent="0.25">
      <c r="A145" s="17" t="s">
        <v>131</v>
      </c>
      <c r="B145" s="18" t="s">
        <v>213</v>
      </c>
      <c r="C145" s="103" t="s">
        <v>118</v>
      </c>
      <c r="D145" s="86" t="s">
        <v>132</v>
      </c>
      <c r="E145" s="27">
        <v>4</v>
      </c>
      <c r="F145" s="27"/>
      <c r="G145" s="28"/>
      <c r="H145" s="22"/>
      <c r="I145" s="20" t="e">
        <f>+#REF!</f>
        <v>#REF!</v>
      </c>
      <c r="J145" s="24"/>
      <c r="K145" s="22"/>
      <c r="L145" s="67" t="e">
        <f>+#REF!</f>
        <v>#REF!</v>
      </c>
      <c r="M145" s="68"/>
      <c r="N145" s="22"/>
      <c r="O145" s="67" t="e">
        <f>+#REF!</f>
        <v>#REF!</v>
      </c>
      <c r="P145" s="68"/>
      <c r="Q145" s="59">
        <f t="shared" si="29"/>
        <v>0</v>
      </c>
      <c r="R145" s="60" t="e">
        <f t="shared" si="29"/>
        <v>#REF!</v>
      </c>
      <c r="S145" s="62">
        <f t="shared" si="29"/>
        <v>0</v>
      </c>
      <c r="T145" s="161" t="e">
        <f t="shared" si="27"/>
        <v>#REF!</v>
      </c>
    </row>
    <row r="146" spans="1:20" s="15" customFormat="1" ht="60" hidden="1" x14ac:dyDescent="0.25">
      <c r="A146" s="17" t="s">
        <v>131</v>
      </c>
      <c r="B146" s="18" t="s">
        <v>214</v>
      </c>
      <c r="C146" s="103" t="s">
        <v>117</v>
      </c>
      <c r="D146" s="86" t="s">
        <v>132</v>
      </c>
      <c r="E146" s="27">
        <v>4</v>
      </c>
      <c r="F146" s="27"/>
      <c r="G146" s="28"/>
      <c r="H146" s="22"/>
      <c r="I146" s="20" t="e">
        <f>+#REF!</f>
        <v>#REF!</v>
      </c>
      <c r="J146" s="24"/>
      <c r="K146" s="22"/>
      <c r="L146" s="67" t="e">
        <f>+#REF!</f>
        <v>#REF!</v>
      </c>
      <c r="M146" s="68"/>
      <c r="N146" s="22"/>
      <c r="O146" s="67" t="e">
        <f>+#REF!</f>
        <v>#REF!</v>
      </c>
      <c r="P146" s="68"/>
      <c r="Q146" s="59">
        <f t="shared" si="29"/>
        <v>0</v>
      </c>
      <c r="R146" s="60" t="e">
        <f t="shared" si="29"/>
        <v>#REF!</v>
      </c>
      <c r="S146" s="62">
        <f t="shared" si="29"/>
        <v>0</v>
      </c>
      <c r="T146" s="161" t="e">
        <f t="shared" si="27"/>
        <v>#REF!</v>
      </c>
    </row>
    <row r="147" spans="1:20" s="15" customFormat="1" ht="30" hidden="1" x14ac:dyDescent="0.25">
      <c r="A147" s="17" t="s">
        <v>131</v>
      </c>
      <c r="B147" s="18" t="s">
        <v>83</v>
      </c>
      <c r="C147" s="103" t="s">
        <v>92</v>
      </c>
      <c r="D147" s="86" t="s">
        <v>215</v>
      </c>
      <c r="E147" s="27">
        <v>8</v>
      </c>
      <c r="F147" s="27"/>
      <c r="G147" s="28"/>
      <c r="H147" s="22"/>
      <c r="I147" s="20">
        <f>+(2800*12*8)/15</f>
        <v>17920</v>
      </c>
      <c r="J147" s="24"/>
      <c r="K147" s="22"/>
      <c r="L147" s="67">
        <f>+(3100*12*8)/15</f>
        <v>19840</v>
      </c>
      <c r="M147" s="68"/>
      <c r="N147" s="22"/>
      <c r="O147" s="67">
        <f>+(3260*12*8)/15</f>
        <v>20864</v>
      </c>
      <c r="P147" s="68"/>
      <c r="Q147" s="59">
        <f t="shared" si="29"/>
        <v>0</v>
      </c>
      <c r="R147" s="60">
        <f t="shared" si="29"/>
        <v>58624</v>
      </c>
      <c r="S147" s="62">
        <f t="shared" si="29"/>
        <v>0</v>
      </c>
      <c r="T147" s="161">
        <f t="shared" si="27"/>
        <v>58624</v>
      </c>
    </row>
    <row r="148" spans="1:20" hidden="1" x14ac:dyDescent="0.25">
      <c r="A148" s="49" t="s">
        <v>131</v>
      </c>
      <c r="B148" s="145" t="s">
        <v>22</v>
      </c>
      <c r="C148" s="107"/>
      <c r="D148" s="153"/>
      <c r="E148" s="51"/>
      <c r="F148" s="51"/>
      <c r="G148" s="50"/>
      <c r="H148" s="109"/>
      <c r="I148" s="110"/>
      <c r="J148" s="111"/>
      <c r="K148" s="109"/>
      <c r="L148" s="50"/>
      <c r="M148" s="53"/>
      <c r="N148" s="109"/>
      <c r="O148" s="50"/>
      <c r="P148" s="53"/>
      <c r="Q148" s="109"/>
      <c r="R148" s="50"/>
      <c r="S148" s="50"/>
      <c r="T148" s="54"/>
    </row>
    <row r="149" spans="1:20" ht="30" hidden="1" x14ac:dyDescent="0.25">
      <c r="A149" s="75" t="s">
        <v>131</v>
      </c>
      <c r="B149" s="75" t="s">
        <v>115</v>
      </c>
      <c r="C149" s="75" t="s">
        <v>116</v>
      </c>
      <c r="D149" s="75" t="s">
        <v>133</v>
      </c>
      <c r="E149" s="76"/>
      <c r="F149" s="76"/>
      <c r="G149" s="77"/>
      <c r="H149" s="91">
        <f>1200*6</f>
        <v>7200</v>
      </c>
      <c r="I149" s="92"/>
      <c r="J149" s="93"/>
      <c r="K149" s="91">
        <v>0</v>
      </c>
      <c r="L149" s="20"/>
      <c r="M149" s="24"/>
      <c r="N149" s="91">
        <v>0</v>
      </c>
      <c r="O149" s="20"/>
      <c r="P149" s="24"/>
      <c r="Q149" s="59">
        <f t="shared" ref="Q149:S149" si="30">+N149+K149+H149</f>
        <v>7200</v>
      </c>
      <c r="R149" s="60">
        <f t="shared" si="30"/>
        <v>0</v>
      </c>
      <c r="S149" s="62">
        <f t="shared" si="30"/>
        <v>0</v>
      </c>
      <c r="T149" s="161">
        <f t="shared" si="27"/>
        <v>7200</v>
      </c>
    </row>
    <row r="150" spans="1:20" hidden="1" x14ac:dyDescent="0.25">
      <c r="A150" s="49" t="s">
        <v>131</v>
      </c>
      <c r="B150" s="145" t="s">
        <v>7</v>
      </c>
      <c r="C150" s="107"/>
      <c r="D150" s="153"/>
      <c r="E150" s="51"/>
      <c r="F150" s="51"/>
      <c r="G150" s="50"/>
      <c r="H150" s="52"/>
      <c r="I150" s="50"/>
      <c r="J150" s="53"/>
      <c r="K150" s="52"/>
      <c r="L150" s="50"/>
      <c r="M150" s="53"/>
      <c r="N150" s="52"/>
      <c r="O150" s="50"/>
      <c r="P150" s="53"/>
      <c r="Q150" s="52"/>
      <c r="R150" s="50"/>
      <c r="S150" s="50"/>
      <c r="T150" s="54"/>
    </row>
    <row r="151" spans="1:20" s="15" customFormat="1" ht="60" hidden="1" x14ac:dyDescent="0.25">
      <c r="A151" s="17" t="s">
        <v>131</v>
      </c>
      <c r="B151" s="18" t="s">
        <v>11</v>
      </c>
      <c r="C151" s="18" t="s">
        <v>114</v>
      </c>
      <c r="D151" s="18" t="s">
        <v>136</v>
      </c>
      <c r="E151" s="19"/>
      <c r="F151" s="19"/>
      <c r="G151" s="26"/>
      <c r="H151" s="22">
        <f>330*2*35+80*35*2*2</f>
        <v>34300</v>
      </c>
      <c r="I151" s="20"/>
      <c r="J151" s="24"/>
      <c r="K151" s="22">
        <v>46305</v>
      </c>
      <c r="L151" s="99"/>
      <c r="M151" s="23"/>
      <c r="N151" s="22">
        <v>67142</v>
      </c>
      <c r="O151" s="99"/>
      <c r="P151" s="23"/>
      <c r="Q151" s="59">
        <f t="shared" ref="Q151:S152" si="31">+N151+K151+H151</f>
        <v>147747</v>
      </c>
      <c r="R151" s="60">
        <f t="shared" si="31"/>
        <v>0</v>
      </c>
      <c r="S151" s="62">
        <f t="shared" si="31"/>
        <v>0</v>
      </c>
      <c r="T151" s="161">
        <f t="shared" si="27"/>
        <v>147747</v>
      </c>
    </row>
    <row r="152" spans="1:20" ht="45" hidden="1" x14ac:dyDescent="0.25">
      <c r="A152" s="65" t="s">
        <v>131</v>
      </c>
      <c r="B152" s="75" t="s">
        <v>9</v>
      </c>
      <c r="C152" s="75" t="s">
        <v>107</v>
      </c>
      <c r="D152" s="75" t="s">
        <v>136</v>
      </c>
      <c r="E152" s="57"/>
      <c r="F152" s="57"/>
      <c r="G152" s="58"/>
      <c r="H152" s="91">
        <f>130*30</f>
        <v>3900</v>
      </c>
      <c r="I152" s="92"/>
      <c r="J152" s="93"/>
      <c r="K152" s="91">
        <v>5265</v>
      </c>
      <c r="L152" s="20"/>
      <c r="M152" s="24"/>
      <c r="N152" s="91">
        <v>7634</v>
      </c>
      <c r="O152" s="20"/>
      <c r="P152" s="24"/>
      <c r="Q152" s="59">
        <f t="shared" si="31"/>
        <v>16799</v>
      </c>
      <c r="R152" s="60">
        <f t="shared" si="31"/>
        <v>0</v>
      </c>
      <c r="S152" s="62">
        <f t="shared" si="31"/>
        <v>0</v>
      </c>
      <c r="T152" s="161">
        <f t="shared" si="27"/>
        <v>16799</v>
      </c>
    </row>
    <row r="153" spans="1:20" hidden="1" x14ac:dyDescent="0.25">
      <c r="A153" s="49" t="s">
        <v>131</v>
      </c>
      <c r="B153" s="145" t="s">
        <v>10</v>
      </c>
      <c r="C153" s="107"/>
      <c r="D153" s="153"/>
      <c r="E153" s="51"/>
      <c r="F153" s="51"/>
      <c r="G153" s="50"/>
      <c r="H153" s="52"/>
      <c r="I153" s="50"/>
      <c r="J153" s="53"/>
      <c r="K153" s="52"/>
      <c r="L153" s="50"/>
      <c r="M153" s="53"/>
      <c r="N153" s="52"/>
      <c r="O153" s="50"/>
      <c r="P153" s="53"/>
      <c r="Q153" s="52"/>
      <c r="R153" s="50"/>
      <c r="S153" s="50"/>
      <c r="T153" s="54"/>
    </row>
    <row r="154" spans="1:20" hidden="1" x14ac:dyDescent="0.25">
      <c r="A154" s="65" t="s">
        <v>131</v>
      </c>
      <c r="B154" s="75" t="s">
        <v>75</v>
      </c>
      <c r="C154" s="75"/>
      <c r="D154" s="105" t="s">
        <v>135</v>
      </c>
      <c r="E154" s="57"/>
      <c r="F154" s="57"/>
      <c r="G154" s="58"/>
      <c r="H154" s="91">
        <v>20000</v>
      </c>
      <c r="I154" s="92"/>
      <c r="J154" s="93"/>
      <c r="K154" s="91">
        <v>23000</v>
      </c>
      <c r="L154" s="20"/>
      <c r="M154" s="24"/>
      <c r="N154" s="91">
        <v>26000</v>
      </c>
      <c r="O154" s="20"/>
      <c r="P154" s="24"/>
      <c r="Q154" s="59">
        <f t="shared" ref="Q154:S154" si="32">+N154+K154+H154</f>
        <v>69000</v>
      </c>
      <c r="R154" s="60">
        <f t="shared" si="32"/>
        <v>0</v>
      </c>
      <c r="S154" s="62">
        <f t="shared" si="32"/>
        <v>0</v>
      </c>
      <c r="T154" s="161">
        <f t="shared" si="27"/>
        <v>69000</v>
      </c>
    </row>
    <row r="155" spans="1:20" s="115" customFormat="1" hidden="1" x14ac:dyDescent="0.25">
      <c r="A155" s="112" t="s">
        <v>131</v>
      </c>
      <c r="B155" s="147" t="s">
        <v>140</v>
      </c>
      <c r="C155" s="147"/>
      <c r="D155" s="155"/>
      <c r="E155" s="113"/>
      <c r="F155" s="113"/>
      <c r="G155" s="82"/>
      <c r="H155" s="114">
        <f>SUM(H5:H154)</f>
        <v>1184070</v>
      </c>
      <c r="I155" s="114" t="e">
        <f t="shared" ref="I155:T155" si="33">SUM(I5:I154)</f>
        <v>#REF!</v>
      </c>
      <c r="J155" s="114">
        <f t="shared" si="33"/>
        <v>0</v>
      </c>
      <c r="K155" s="114">
        <f t="shared" si="33"/>
        <v>1468134</v>
      </c>
      <c r="L155" s="114" t="e">
        <f t="shared" si="33"/>
        <v>#REF!</v>
      </c>
      <c r="M155" s="114">
        <f t="shared" si="33"/>
        <v>0</v>
      </c>
      <c r="N155" s="114">
        <f t="shared" si="33"/>
        <v>1643728.05</v>
      </c>
      <c r="O155" s="114" t="e">
        <f t="shared" si="33"/>
        <v>#REF!</v>
      </c>
      <c r="P155" s="114">
        <f t="shared" si="33"/>
        <v>0</v>
      </c>
      <c r="Q155" s="114">
        <f t="shared" si="33"/>
        <v>4295932.05</v>
      </c>
      <c r="R155" s="114" t="e">
        <f t="shared" si="33"/>
        <v>#REF!</v>
      </c>
      <c r="S155" s="114">
        <f t="shared" si="33"/>
        <v>0</v>
      </c>
      <c r="T155" s="114" t="e">
        <f t="shared" si="33"/>
        <v>#REF!</v>
      </c>
    </row>
    <row r="156" spans="1:20" s="115" customFormat="1" x14ac:dyDescent="0.25">
      <c r="A156" s="116" t="s">
        <v>141</v>
      </c>
      <c r="B156" s="148" t="s">
        <v>319</v>
      </c>
      <c r="C156" s="148"/>
      <c r="D156" s="156"/>
      <c r="E156" s="117"/>
      <c r="F156" s="117"/>
      <c r="G156" s="118"/>
      <c r="H156" s="119"/>
      <c r="I156" s="120"/>
      <c r="J156" s="121"/>
      <c r="K156" s="119"/>
      <c r="L156" s="120"/>
      <c r="M156" s="121"/>
      <c r="N156" s="119"/>
      <c r="O156" s="120"/>
      <c r="P156" s="121"/>
      <c r="Q156" s="119"/>
      <c r="R156" s="120"/>
      <c r="S156" s="122"/>
      <c r="T156" s="123"/>
    </row>
    <row r="157" spans="1:20" hidden="1" x14ac:dyDescent="0.25">
      <c r="A157" s="49"/>
      <c r="B157" s="145" t="s">
        <v>219</v>
      </c>
      <c r="C157" s="107"/>
      <c r="D157" s="153"/>
      <c r="E157" s="51"/>
      <c r="F157" s="51"/>
      <c r="G157" s="50"/>
      <c r="H157" s="52"/>
      <c r="I157" s="50"/>
      <c r="J157" s="53"/>
      <c r="K157" s="52"/>
      <c r="L157" s="50"/>
      <c r="M157" s="53"/>
      <c r="N157" s="52"/>
      <c r="O157" s="50"/>
      <c r="P157" s="53"/>
      <c r="Q157" s="52"/>
      <c r="R157" s="50"/>
      <c r="S157" s="50"/>
      <c r="T157" s="54"/>
    </row>
    <row r="158" spans="1:20" s="15" customFormat="1" ht="45" x14ac:dyDescent="0.25">
      <c r="A158" s="17" t="s">
        <v>218</v>
      </c>
      <c r="B158" s="18" t="s">
        <v>220</v>
      </c>
      <c r="C158" s="103">
        <v>0.15</v>
      </c>
      <c r="D158" s="86" t="s">
        <v>221</v>
      </c>
      <c r="E158" s="27"/>
      <c r="F158" s="27"/>
      <c r="G158" s="28"/>
      <c r="H158" s="22">
        <v>6808801.3513782118</v>
      </c>
      <c r="I158" s="20"/>
      <c r="J158" s="24"/>
      <c r="K158" s="22"/>
      <c r="L158" s="67"/>
      <c r="M158" s="68"/>
      <c r="N158" s="22"/>
      <c r="O158" s="67"/>
      <c r="P158" s="68"/>
      <c r="Q158" s="59">
        <f t="shared" ref="Q158:S168" si="34">+N158+K158+H158</f>
        <v>6808801.3513782118</v>
      </c>
      <c r="R158" s="60">
        <f t="shared" si="34"/>
        <v>0</v>
      </c>
      <c r="S158" s="62">
        <f t="shared" si="34"/>
        <v>0</v>
      </c>
      <c r="T158" s="161">
        <f t="shared" si="27"/>
        <v>6808801.3513782118</v>
      </c>
    </row>
    <row r="159" spans="1:20" s="15" customFormat="1" ht="30" x14ac:dyDescent="0.25">
      <c r="A159" s="17" t="s">
        <v>218</v>
      </c>
      <c r="B159" s="18" t="s">
        <v>222</v>
      </c>
      <c r="C159" s="103">
        <v>0.05</v>
      </c>
      <c r="D159" s="86" t="s">
        <v>221</v>
      </c>
      <c r="E159" s="27"/>
      <c r="F159" s="27"/>
      <c r="G159" s="28"/>
      <c r="H159" s="22"/>
      <c r="I159" s="20"/>
      <c r="J159" s="24"/>
      <c r="K159" s="22">
        <v>2269600.4504594039</v>
      </c>
      <c r="L159" s="67"/>
      <c r="M159" s="68"/>
      <c r="N159" s="22"/>
      <c r="O159" s="67"/>
      <c r="P159" s="68"/>
      <c r="Q159" s="59">
        <f t="shared" si="34"/>
        <v>2269600.4504594039</v>
      </c>
      <c r="R159" s="60">
        <f t="shared" si="34"/>
        <v>0</v>
      </c>
      <c r="S159" s="62">
        <f t="shared" si="34"/>
        <v>0</v>
      </c>
      <c r="T159" s="161">
        <f t="shared" si="27"/>
        <v>2269600.4504594039</v>
      </c>
    </row>
    <row r="160" spans="1:20" s="15" customFormat="1" ht="30" x14ac:dyDescent="0.25">
      <c r="A160" s="17" t="s">
        <v>218</v>
      </c>
      <c r="B160" s="18" t="s">
        <v>223</v>
      </c>
      <c r="C160" s="103">
        <v>0.05</v>
      </c>
      <c r="D160" s="86" t="s">
        <v>221</v>
      </c>
      <c r="E160" s="27"/>
      <c r="F160" s="27"/>
      <c r="G160" s="28"/>
      <c r="H160" s="22">
        <v>2269600.4504594039</v>
      </c>
      <c r="I160" s="20"/>
      <c r="J160" s="24"/>
      <c r="K160" s="22"/>
      <c r="L160" s="67"/>
      <c r="M160" s="68"/>
      <c r="N160" s="22"/>
      <c r="O160" s="67"/>
      <c r="P160" s="68"/>
      <c r="Q160" s="59">
        <f t="shared" si="34"/>
        <v>2269600.4504594039</v>
      </c>
      <c r="R160" s="60">
        <f t="shared" si="34"/>
        <v>0</v>
      </c>
      <c r="S160" s="62">
        <f t="shared" si="34"/>
        <v>0</v>
      </c>
      <c r="T160" s="161">
        <f t="shared" si="27"/>
        <v>2269600.4504594039</v>
      </c>
    </row>
    <row r="161" spans="1:20" s="15" customFormat="1" x14ac:dyDescent="0.25">
      <c r="A161" s="17" t="s">
        <v>218</v>
      </c>
      <c r="B161" s="18" t="s">
        <v>224</v>
      </c>
      <c r="C161" s="103">
        <v>0.1</v>
      </c>
      <c r="D161" s="86" t="s">
        <v>221</v>
      </c>
      <c r="E161" s="27"/>
      <c r="F161" s="27"/>
      <c r="G161" s="28"/>
      <c r="H161" s="22">
        <v>4539200.9009188078</v>
      </c>
      <c r="I161" s="20"/>
      <c r="J161" s="24"/>
      <c r="K161" s="22"/>
      <c r="L161" s="67"/>
      <c r="M161" s="68"/>
      <c r="N161" s="22"/>
      <c r="O161" s="67"/>
      <c r="P161" s="68"/>
      <c r="Q161" s="59">
        <f t="shared" si="34"/>
        <v>4539200.9009188078</v>
      </c>
      <c r="R161" s="60">
        <f t="shared" si="34"/>
        <v>0</v>
      </c>
      <c r="S161" s="62">
        <f t="shared" si="34"/>
        <v>0</v>
      </c>
      <c r="T161" s="161">
        <f t="shared" si="27"/>
        <v>4539200.9009188078</v>
      </c>
    </row>
    <row r="162" spans="1:20" s="15" customFormat="1" ht="30" x14ac:dyDescent="0.25">
      <c r="A162" s="17" t="s">
        <v>218</v>
      </c>
      <c r="B162" s="18" t="s">
        <v>225</v>
      </c>
      <c r="C162" s="103">
        <v>0.1</v>
      </c>
      <c r="D162" s="86" t="s">
        <v>221</v>
      </c>
      <c r="E162" s="27"/>
      <c r="F162" s="27"/>
      <c r="G162" s="28"/>
      <c r="H162" s="22"/>
      <c r="I162" s="20"/>
      <c r="J162" s="24"/>
      <c r="K162" s="22"/>
      <c r="L162" s="67"/>
      <c r="M162" s="68"/>
      <c r="N162" s="22">
        <v>4539200.9009188078</v>
      </c>
      <c r="O162" s="67"/>
      <c r="P162" s="68"/>
      <c r="Q162" s="59">
        <f t="shared" si="34"/>
        <v>4539200.9009188078</v>
      </c>
      <c r="R162" s="60">
        <f t="shared" si="34"/>
        <v>0</v>
      </c>
      <c r="S162" s="62">
        <f t="shared" si="34"/>
        <v>0</v>
      </c>
      <c r="T162" s="161">
        <f t="shared" si="27"/>
        <v>4539200.9009188078</v>
      </c>
    </row>
    <row r="163" spans="1:20" s="15" customFormat="1" ht="45" x14ac:dyDescent="0.25">
      <c r="A163" s="17" t="s">
        <v>218</v>
      </c>
      <c r="B163" s="18" t="s">
        <v>226</v>
      </c>
      <c r="C163" s="103">
        <v>0.1</v>
      </c>
      <c r="D163" s="86" t="s">
        <v>221</v>
      </c>
      <c r="E163" s="27"/>
      <c r="F163" s="27"/>
      <c r="G163" s="28"/>
      <c r="H163" s="22">
        <v>4539200.9009188078</v>
      </c>
      <c r="I163" s="20"/>
      <c r="J163" s="24"/>
      <c r="K163" s="22"/>
      <c r="L163" s="67"/>
      <c r="M163" s="68"/>
      <c r="N163" s="22"/>
      <c r="O163" s="67"/>
      <c r="P163" s="68"/>
      <c r="Q163" s="59">
        <f t="shared" si="34"/>
        <v>4539200.9009188078</v>
      </c>
      <c r="R163" s="60">
        <f t="shared" si="34"/>
        <v>0</v>
      </c>
      <c r="S163" s="62">
        <f t="shared" si="34"/>
        <v>0</v>
      </c>
      <c r="T163" s="161">
        <f t="shared" si="27"/>
        <v>4539200.9009188078</v>
      </c>
    </row>
    <row r="164" spans="1:20" s="15" customFormat="1" ht="45" x14ac:dyDescent="0.25">
      <c r="A164" s="17" t="s">
        <v>218</v>
      </c>
      <c r="B164" s="18" t="s">
        <v>227</v>
      </c>
      <c r="C164" s="103">
        <v>0.1</v>
      </c>
      <c r="D164" s="86" t="s">
        <v>221</v>
      </c>
      <c r="E164" s="27"/>
      <c r="F164" s="27"/>
      <c r="G164" s="28"/>
      <c r="H164" s="22"/>
      <c r="I164" s="20"/>
      <c r="J164" s="24"/>
      <c r="K164" s="22">
        <v>4539200.9009188078</v>
      </c>
      <c r="L164" s="67"/>
      <c r="M164" s="68"/>
      <c r="N164" s="22"/>
      <c r="O164" s="67"/>
      <c r="P164" s="68"/>
      <c r="Q164" s="59">
        <f t="shared" si="34"/>
        <v>4539200.9009188078</v>
      </c>
      <c r="R164" s="60">
        <f t="shared" si="34"/>
        <v>0</v>
      </c>
      <c r="S164" s="62">
        <f t="shared" si="34"/>
        <v>0</v>
      </c>
      <c r="T164" s="161">
        <f t="shared" si="27"/>
        <v>4539200.9009188078</v>
      </c>
    </row>
    <row r="165" spans="1:20" s="15" customFormat="1" ht="30" x14ac:dyDescent="0.25">
      <c r="A165" s="17" t="s">
        <v>218</v>
      </c>
      <c r="B165" s="18" t="s">
        <v>228</v>
      </c>
      <c r="C165" s="103">
        <v>0.1</v>
      </c>
      <c r="D165" s="86" t="s">
        <v>221</v>
      </c>
      <c r="E165" s="27"/>
      <c r="F165" s="27"/>
      <c r="G165" s="28"/>
      <c r="H165" s="22">
        <v>4539200.9009188078</v>
      </c>
      <c r="I165" s="20"/>
      <c r="J165" s="24"/>
      <c r="K165" s="22"/>
      <c r="L165" s="67"/>
      <c r="M165" s="68"/>
      <c r="N165" s="22"/>
      <c r="O165" s="67"/>
      <c r="P165" s="68"/>
      <c r="Q165" s="59">
        <f t="shared" si="34"/>
        <v>4539200.9009188078</v>
      </c>
      <c r="R165" s="60">
        <f t="shared" si="34"/>
        <v>0</v>
      </c>
      <c r="S165" s="62">
        <f t="shared" si="34"/>
        <v>0</v>
      </c>
      <c r="T165" s="161">
        <f t="shared" si="27"/>
        <v>4539200.9009188078</v>
      </c>
    </row>
    <row r="166" spans="1:20" s="15" customFormat="1" ht="30" x14ac:dyDescent="0.25">
      <c r="A166" s="17" t="s">
        <v>218</v>
      </c>
      <c r="B166" s="18" t="s">
        <v>229</v>
      </c>
      <c r="C166" s="103">
        <v>0.05</v>
      </c>
      <c r="D166" s="86" t="s">
        <v>221</v>
      </c>
      <c r="E166" s="27"/>
      <c r="F166" s="27"/>
      <c r="G166" s="28"/>
      <c r="H166" s="22"/>
      <c r="I166" s="20"/>
      <c r="J166" s="24"/>
      <c r="K166" s="22">
        <v>2269600.4504594039</v>
      </c>
      <c r="L166" s="67"/>
      <c r="M166" s="68"/>
      <c r="N166" s="22"/>
      <c r="O166" s="67"/>
      <c r="P166" s="68"/>
      <c r="Q166" s="59">
        <f t="shared" si="34"/>
        <v>2269600.4504594039</v>
      </c>
      <c r="R166" s="60">
        <f t="shared" si="34"/>
        <v>0</v>
      </c>
      <c r="S166" s="62">
        <f t="shared" si="34"/>
        <v>0</v>
      </c>
      <c r="T166" s="161">
        <f t="shared" si="27"/>
        <v>2269600.4504594039</v>
      </c>
    </row>
    <row r="167" spans="1:20" s="15" customFormat="1" ht="45" x14ac:dyDescent="0.25">
      <c r="A167" s="17" t="s">
        <v>218</v>
      </c>
      <c r="B167" s="18" t="s">
        <v>230</v>
      </c>
      <c r="C167" s="103">
        <v>0.1</v>
      </c>
      <c r="D167" s="86" t="s">
        <v>221</v>
      </c>
      <c r="E167" s="27"/>
      <c r="F167" s="27"/>
      <c r="G167" s="28"/>
      <c r="H167" s="22"/>
      <c r="I167" s="20"/>
      <c r="J167" s="24"/>
      <c r="K167" s="22">
        <v>4539200.9009188078</v>
      </c>
      <c r="L167" s="67"/>
      <c r="M167" s="68"/>
      <c r="N167" s="22"/>
      <c r="O167" s="67"/>
      <c r="P167" s="68"/>
      <c r="Q167" s="59">
        <f t="shared" si="34"/>
        <v>4539200.9009188078</v>
      </c>
      <c r="R167" s="60">
        <f t="shared" si="34"/>
        <v>0</v>
      </c>
      <c r="S167" s="62">
        <f t="shared" si="34"/>
        <v>0</v>
      </c>
      <c r="T167" s="161">
        <f t="shared" si="27"/>
        <v>4539200.9009188078</v>
      </c>
    </row>
    <row r="168" spans="1:20" s="15" customFormat="1" ht="45" x14ac:dyDescent="0.25">
      <c r="A168" s="17" t="s">
        <v>218</v>
      </c>
      <c r="B168" s="18" t="s">
        <v>231</v>
      </c>
      <c r="C168" s="103">
        <v>0.1</v>
      </c>
      <c r="D168" s="86" t="s">
        <v>221</v>
      </c>
      <c r="E168" s="27"/>
      <c r="F168" s="27"/>
      <c r="G168" s="28"/>
      <c r="H168" s="22"/>
      <c r="I168" s="20"/>
      <c r="J168" s="24"/>
      <c r="K168" s="22"/>
      <c r="L168" s="67"/>
      <c r="M168" s="68"/>
      <c r="N168" s="22">
        <v>4539200.9009188078</v>
      </c>
      <c r="O168" s="67"/>
      <c r="P168" s="68"/>
      <c r="Q168" s="59">
        <f t="shared" si="34"/>
        <v>4539200.9009188078</v>
      </c>
      <c r="R168" s="60">
        <f t="shared" si="34"/>
        <v>0</v>
      </c>
      <c r="S168" s="62">
        <f t="shared" si="34"/>
        <v>0</v>
      </c>
      <c r="T168" s="161">
        <f t="shared" si="27"/>
        <v>4539200.9009188078</v>
      </c>
    </row>
    <row r="169" spans="1:20" x14ac:dyDescent="0.25">
      <c r="A169" s="49" t="s">
        <v>218</v>
      </c>
      <c r="B169" s="145" t="s">
        <v>232</v>
      </c>
      <c r="C169" s="107"/>
      <c r="D169" s="153"/>
      <c r="E169" s="51"/>
      <c r="F169" s="51"/>
      <c r="G169" s="50"/>
      <c r="H169" s="52"/>
      <c r="I169" s="50"/>
      <c r="J169" s="53"/>
      <c r="K169" s="52"/>
      <c r="L169" s="50"/>
      <c r="M169" s="53"/>
      <c r="N169" s="52"/>
      <c r="O169" s="50"/>
      <c r="P169" s="53"/>
      <c r="Q169" s="52"/>
      <c r="R169" s="50"/>
      <c r="S169" s="50"/>
      <c r="T169" s="54"/>
    </row>
    <row r="170" spans="1:20" s="15" customFormat="1" ht="45" x14ac:dyDescent="0.25">
      <c r="A170" s="17" t="s">
        <v>218</v>
      </c>
      <c r="B170" s="18" t="s">
        <v>233</v>
      </c>
      <c r="C170" s="103" t="s">
        <v>234</v>
      </c>
      <c r="D170" s="86" t="s">
        <v>221</v>
      </c>
      <c r="E170" s="27">
        <v>60</v>
      </c>
      <c r="F170" s="27" t="s">
        <v>235</v>
      </c>
      <c r="G170" s="28">
        <v>10000</v>
      </c>
      <c r="H170" s="22">
        <v>200000</v>
      </c>
      <c r="I170" s="20"/>
      <c r="J170" s="24"/>
      <c r="K170" s="22">
        <v>200000</v>
      </c>
      <c r="L170" s="67"/>
      <c r="M170" s="68"/>
      <c r="N170" s="22">
        <v>200000</v>
      </c>
      <c r="O170" s="67"/>
      <c r="P170" s="68"/>
      <c r="Q170" s="59">
        <f t="shared" ref="Q170:S172" si="35">+N170+K170+H170</f>
        <v>600000</v>
      </c>
      <c r="R170" s="60">
        <f t="shared" si="35"/>
        <v>0</v>
      </c>
      <c r="S170" s="62">
        <f t="shared" si="35"/>
        <v>0</v>
      </c>
      <c r="T170" s="161">
        <f t="shared" si="27"/>
        <v>600000</v>
      </c>
    </row>
    <row r="171" spans="1:20" s="15" customFormat="1" x14ac:dyDescent="0.25">
      <c r="A171" s="17" t="s">
        <v>218</v>
      </c>
      <c r="B171" s="18" t="s">
        <v>236</v>
      </c>
      <c r="C171" s="103" t="s">
        <v>237</v>
      </c>
      <c r="D171" s="86" t="s">
        <v>238</v>
      </c>
      <c r="E171" s="27">
        <v>3</v>
      </c>
      <c r="F171" s="27" t="s">
        <v>235</v>
      </c>
      <c r="G171" s="28">
        <f>6500/15</f>
        <v>433.33333333333331</v>
      </c>
      <c r="H171" s="22"/>
      <c r="I171" s="20">
        <v>1300</v>
      </c>
      <c r="J171" s="24"/>
      <c r="K171" s="22"/>
      <c r="L171" s="67">
        <v>1300</v>
      </c>
      <c r="M171" s="68"/>
      <c r="N171" s="22"/>
      <c r="O171" s="67">
        <v>1300</v>
      </c>
      <c r="P171" s="68"/>
      <c r="Q171" s="59">
        <f t="shared" si="35"/>
        <v>0</v>
      </c>
      <c r="R171" s="60">
        <f t="shared" si="35"/>
        <v>3900</v>
      </c>
      <c r="S171" s="62">
        <f t="shared" si="35"/>
        <v>0</v>
      </c>
      <c r="T171" s="161">
        <f t="shared" si="27"/>
        <v>3900</v>
      </c>
    </row>
    <row r="172" spans="1:20" s="15" customFormat="1" x14ac:dyDescent="0.25">
      <c r="A172" s="17" t="s">
        <v>218</v>
      </c>
      <c r="B172" s="18" t="s">
        <v>34</v>
      </c>
      <c r="C172" s="103" t="s">
        <v>239</v>
      </c>
      <c r="D172" s="86" t="s">
        <v>240</v>
      </c>
      <c r="E172" s="27"/>
      <c r="F172" s="27"/>
      <c r="G172" s="28"/>
      <c r="H172" s="22">
        <f>6333.33333333333*0.6</f>
        <v>3799.9999999999982</v>
      </c>
      <c r="I172" s="20">
        <f>6333*0.4</f>
        <v>2533.2000000000003</v>
      </c>
      <c r="J172" s="24"/>
      <c r="K172" s="22">
        <f>6333.33333333333*0.6</f>
        <v>3799.9999999999982</v>
      </c>
      <c r="L172" s="67">
        <f>6333*0.4</f>
        <v>2533.2000000000003</v>
      </c>
      <c r="M172" s="68"/>
      <c r="N172" s="22">
        <f>6333.33333333333*0.6</f>
        <v>3799.9999999999982</v>
      </c>
      <c r="O172" s="67">
        <f>6333*0.4</f>
        <v>2533.2000000000003</v>
      </c>
      <c r="P172" s="68"/>
      <c r="Q172" s="59">
        <f t="shared" si="35"/>
        <v>11399.999999999995</v>
      </c>
      <c r="R172" s="60">
        <f t="shared" si="35"/>
        <v>7599.6</v>
      </c>
      <c r="S172" s="62">
        <f t="shared" si="35"/>
        <v>0</v>
      </c>
      <c r="T172" s="161">
        <f t="shared" si="27"/>
        <v>18999.599999999995</v>
      </c>
    </row>
    <row r="173" spans="1:20" x14ac:dyDescent="0.25">
      <c r="A173" s="49" t="s">
        <v>218</v>
      </c>
      <c r="B173" s="145" t="s">
        <v>241</v>
      </c>
      <c r="C173" s="107"/>
      <c r="D173" s="153"/>
      <c r="E173" s="51"/>
      <c r="F173" s="51"/>
      <c r="G173" s="50"/>
      <c r="H173" s="52"/>
      <c r="I173" s="50"/>
      <c r="J173" s="53"/>
      <c r="K173" s="52"/>
      <c r="L173" s="50"/>
      <c r="M173" s="53"/>
      <c r="N173" s="52"/>
      <c r="O173" s="50"/>
      <c r="P173" s="53"/>
      <c r="Q173" s="52"/>
      <c r="R173" s="50"/>
      <c r="S173" s="50"/>
      <c r="T173" s="54"/>
    </row>
    <row r="174" spans="1:20" s="15" customFormat="1" x14ac:dyDescent="0.25">
      <c r="A174" s="17" t="s">
        <v>218</v>
      </c>
      <c r="B174" s="18" t="s">
        <v>242</v>
      </c>
      <c r="C174" s="103" t="s">
        <v>243</v>
      </c>
      <c r="D174" s="86" t="s">
        <v>221</v>
      </c>
      <c r="E174" s="27"/>
      <c r="F174" s="27"/>
      <c r="G174" s="28"/>
      <c r="H174" s="22">
        <v>60000</v>
      </c>
      <c r="I174" s="20"/>
      <c r="J174" s="24"/>
      <c r="K174" s="22">
        <v>30000</v>
      </c>
      <c r="L174" s="67"/>
      <c r="M174" s="68"/>
      <c r="N174" s="22">
        <v>20000</v>
      </c>
      <c r="O174" s="67"/>
      <c r="P174" s="68"/>
      <c r="Q174" s="59">
        <f t="shared" ref="Q174:S174" si="36">+N174+K174+H174</f>
        <v>110000</v>
      </c>
      <c r="R174" s="60">
        <f t="shared" si="36"/>
        <v>0</v>
      </c>
      <c r="S174" s="62">
        <f t="shared" si="36"/>
        <v>0</v>
      </c>
      <c r="T174" s="161">
        <f t="shared" si="27"/>
        <v>110000</v>
      </c>
    </row>
    <row r="175" spans="1:20" x14ac:dyDescent="0.25">
      <c r="A175" s="49" t="s">
        <v>218</v>
      </c>
      <c r="B175" s="145" t="s">
        <v>244</v>
      </c>
      <c r="C175" s="107"/>
      <c r="D175" s="153"/>
      <c r="E175" s="51"/>
      <c r="F175" s="51"/>
      <c r="G175" s="50"/>
      <c r="H175" s="52"/>
      <c r="I175" s="50"/>
      <c r="J175" s="53"/>
      <c r="K175" s="52"/>
      <c r="L175" s="50"/>
      <c r="M175" s="53"/>
      <c r="N175" s="52"/>
      <c r="O175" s="50"/>
      <c r="P175" s="53"/>
      <c r="Q175" s="52"/>
      <c r="R175" s="50"/>
      <c r="S175" s="50"/>
      <c r="T175" s="54"/>
    </row>
    <row r="176" spans="1:20" s="15" customFormat="1" x14ac:dyDescent="0.25">
      <c r="A176" s="17" t="s">
        <v>218</v>
      </c>
      <c r="B176" s="18" t="s">
        <v>245</v>
      </c>
      <c r="C176" s="103" t="s">
        <v>246</v>
      </c>
      <c r="D176" s="86" t="s">
        <v>248</v>
      </c>
      <c r="E176" s="27"/>
      <c r="F176" s="27"/>
      <c r="G176" s="28"/>
      <c r="H176" s="22">
        <v>0</v>
      </c>
      <c r="I176" s="20"/>
      <c r="J176" s="24"/>
      <c r="K176" s="22">
        <f>1900000*0.2</f>
        <v>380000</v>
      </c>
      <c r="L176" s="67"/>
      <c r="M176" s="68"/>
      <c r="N176" s="22">
        <v>0</v>
      </c>
      <c r="O176" s="67"/>
      <c r="P176" s="68"/>
      <c r="Q176" s="59">
        <f t="shared" ref="Q176:S180" si="37">+N176+K176+H176</f>
        <v>380000</v>
      </c>
      <c r="R176" s="60">
        <f t="shared" si="37"/>
        <v>0</v>
      </c>
      <c r="S176" s="62">
        <f t="shared" si="37"/>
        <v>0</v>
      </c>
      <c r="T176" s="161">
        <f t="shared" si="27"/>
        <v>380000</v>
      </c>
    </row>
    <row r="177" spans="1:20" s="15" customFormat="1" x14ac:dyDescent="0.25">
      <c r="A177" s="17" t="s">
        <v>218</v>
      </c>
      <c r="B177" s="18" t="s">
        <v>247</v>
      </c>
      <c r="C177" s="103"/>
      <c r="D177" s="86" t="s">
        <v>248</v>
      </c>
      <c r="E177" s="27"/>
      <c r="F177" s="27"/>
      <c r="G177" s="28"/>
      <c r="H177" s="22">
        <v>60545.728927999997</v>
      </c>
      <c r="I177" s="20"/>
      <c r="J177" s="24"/>
      <c r="K177" s="22">
        <v>30000</v>
      </c>
      <c r="L177" s="67"/>
      <c r="M177" s="68"/>
      <c r="N177" s="22">
        <v>30000</v>
      </c>
      <c r="O177" s="67"/>
      <c r="P177" s="68"/>
      <c r="Q177" s="59">
        <f t="shared" si="37"/>
        <v>120545.728928</v>
      </c>
      <c r="R177" s="60">
        <f t="shared" si="37"/>
        <v>0</v>
      </c>
      <c r="S177" s="62">
        <f t="shared" si="37"/>
        <v>0</v>
      </c>
      <c r="T177" s="161">
        <f t="shared" si="27"/>
        <v>120545.728928</v>
      </c>
    </row>
    <row r="178" spans="1:20" s="15" customFormat="1" x14ac:dyDescent="0.25">
      <c r="A178" s="17" t="s">
        <v>218</v>
      </c>
      <c r="B178" s="18" t="s">
        <v>249</v>
      </c>
      <c r="C178" s="103"/>
      <c r="D178" s="86" t="s">
        <v>248</v>
      </c>
      <c r="E178" s="27"/>
      <c r="F178" s="27"/>
      <c r="G178" s="28"/>
      <c r="H178" s="22">
        <v>48000</v>
      </c>
      <c r="I178" s="20"/>
      <c r="J178" s="24"/>
      <c r="K178" s="22">
        <v>30000</v>
      </c>
      <c r="L178" s="67"/>
      <c r="M178" s="68"/>
      <c r="N178" s="22">
        <v>20000</v>
      </c>
      <c r="O178" s="67"/>
      <c r="P178" s="68"/>
      <c r="Q178" s="59">
        <f t="shared" si="37"/>
        <v>98000</v>
      </c>
      <c r="R178" s="60">
        <f t="shared" si="37"/>
        <v>0</v>
      </c>
      <c r="S178" s="62">
        <f t="shared" si="37"/>
        <v>0</v>
      </c>
      <c r="T178" s="161">
        <f t="shared" si="27"/>
        <v>98000</v>
      </c>
    </row>
    <row r="179" spans="1:20" s="15" customFormat="1" x14ac:dyDescent="0.25">
      <c r="A179" s="17" t="s">
        <v>218</v>
      </c>
      <c r="B179" s="18" t="s">
        <v>250</v>
      </c>
      <c r="C179" s="103"/>
      <c r="D179" s="86" t="s">
        <v>248</v>
      </c>
      <c r="E179" s="27"/>
      <c r="F179" s="27"/>
      <c r="G179" s="28"/>
      <c r="H179" s="22">
        <v>50000</v>
      </c>
      <c r="I179" s="20"/>
      <c r="J179" s="24"/>
      <c r="K179" s="22">
        <v>30000</v>
      </c>
      <c r="L179" s="67"/>
      <c r="M179" s="68"/>
      <c r="N179" s="22">
        <v>30000</v>
      </c>
      <c r="O179" s="67"/>
      <c r="P179" s="68"/>
      <c r="Q179" s="59">
        <f t="shared" si="37"/>
        <v>110000</v>
      </c>
      <c r="R179" s="60">
        <f t="shared" si="37"/>
        <v>0</v>
      </c>
      <c r="S179" s="62">
        <f t="shared" si="37"/>
        <v>0</v>
      </c>
      <c r="T179" s="161">
        <f t="shared" si="27"/>
        <v>110000</v>
      </c>
    </row>
    <row r="180" spans="1:20" s="15" customFormat="1" x14ac:dyDescent="0.25">
      <c r="A180" s="17" t="s">
        <v>218</v>
      </c>
      <c r="B180" s="18" t="s">
        <v>251</v>
      </c>
      <c r="C180" s="103"/>
      <c r="D180" s="86" t="s">
        <v>248</v>
      </c>
      <c r="E180" s="27"/>
      <c r="F180" s="27"/>
      <c r="G180" s="28"/>
      <c r="H180" s="22">
        <v>50000</v>
      </c>
      <c r="I180" s="20"/>
      <c r="J180" s="24"/>
      <c r="K180" s="22">
        <v>30000</v>
      </c>
      <c r="L180" s="67"/>
      <c r="M180" s="68"/>
      <c r="N180" s="22">
        <v>30000</v>
      </c>
      <c r="O180" s="67"/>
      <c r="P180" s="68"/>
      <c r="Q180" s="59">
        <f t="shared" si="37"/>
        <v>110000</v>
      </c>
      <c r="R180" s="60">
        <f t="shared" si="37"/>
        <v>0</v>
      </c>
      <c r="S180" s="62">
        <f t="shared" si="37"/>
        <v>0</v>
      </c>
      <c r="T180" s="161">
        <f t="shared" si="27"/>
        <v>110000</v>
      </c>
    </row>
    <row r="181" spans="1:20" x14ac:dyDescent="0.25">
      <c r="A181" s="49" t="s">
        <v>218</v>
      </c>
      <c r="B181" s="145" t="s">
        <v>252</v>
      </c>
      <c r="C181" s="107"/>
      <c r="D181" s="153"/>
      <c r="E181" s="51"/>
      <c r="F181" s="51"/>
      <c r="G181" s="50"/>
      <c r="H181" s="52"/>
      <c r="I181" s="50"/>
      <c r="J181" s="53"/>
      <c r="K181" s="52"/>
      <c r="L181" s="50"/>
      <c r="M181" s="53"/>
      <c r="N181" s="52"/>
      <c r="O181" s="50"/>
      <c r="P181" s="53"/>
      <c r="Q181" s="52"/>
      <c r="R181" s="50"/>
      <c r="S181" s="50"/>
      <c r="T181" s="54"/>
    </row>
    <row r="182" spans="1:20" s="15" customFormat="1" x14ac:dyDescent="0.25">
      <c r="A182" s="17" t="s">
        <v>218</v>
      </c>
      <c r="B182" s="18" t="s">
        <v>253</v>
      </c>
      <c r="C182" s="103" t="s">
        <v>254</v>
      </c>
      <c r="D182" s="86" t="s">
        <v>132</v>
      </c>
      <c r="E182" s="27">
        <v>1</v>
      </c>
      <c r="F182" s="27">
        <v>12</v>
      </c>
      <c r="G182" s="28">
        <v>27748</v>
      </c>
      <c r="H182" s="22"/>
      <c r="I182" s="20" t="e">
        <f>+#REF!</f>
        <v>#REF!</v>
      </c>
      <c r="J182" s="24" t="e">
        <f>+#REF!</f>
        <v>#REF!</v>
      </c>
      <c r="K182" s="22"/>
      <c r="L182" s="67" t="e">
        <f>+#REF!</f>
        <v>#REF!</v>
      </c>
      <c r="M182" s="68" t="e">
        <f>+#REF!</f>
        <v>#REF!</v>
      </c>
      <c r="N182" s="22"/>
      <c r="O182" s="67" t="e">
        <f>+#REF!</f>
        <v>#REF!</v>
      </c>
      <c r="P182" s="68" t="e">
        <f>+#REF!</f>
        <v>#REF!</v>
      </c>
      <c r="Q182" s="59">
        <f t="shared" ref="Q182:S216" si="38">+N182+K182+H182</f>
        <v>0</v>
      </c>
      <c r="R182" s="60" t="e">
        <f t="shared" si="38"/>
        <v>#REF!</v>
      </c>
      <c r="S182" s="62" t="e">
        <f t="shared" si="38"/>
        <v>#REF!</v>
      </c>
      <c r="T182" s="161" t="e">
        <f t="shared" si="27"/>
        <v>#REF!</v>
      </c>
    </row>
    <row r="183" spans="1:20" s="15" customFormat="1" ht="30" x14ac:dyDescent="0.25">
      <c r="A183" s="17" t="s">
        <v>218</v>
      </c>
      <c r="B183" s="18" t="s">
        <v>255</v>
      </c>
      <c r="C183" s="103" t="s">
        <v>256</v>
      </c>
      <c r="D183" s="86" t="s">
        <v>132</v>
      </c>
      <c r="E183" s="27">
        <v>2</v>
      </c>
      <c r="F183" s="27">
        <v>12</v>
      </c>
      <c r="G183" s="28">
        <v>13025</v>
      </c>
      <c r="H183" s="22"/>
      <c r="I183" s="20" t="e">
        <f>+#REF!</f>
        <v>#REF!</v>
      </c>
      <c r="J183" s="24" t="e">
        <f>+#REF!</f>
        <v>#REF!</v>
      </c>
      <c r="K183" s="22"/>
      <c r="L183" s="67" t="e">
        <f>+#REF!</f>
        <v>#REF!</v>
      </c>
      <c r="M183" s="68" t="e">
        <f>+#REF!</f>
        <v>#REF!</v>
      </c>
      <c r="N183" s="22"/>
      <c r="O183" s="67" t="e">
        <f>+#REF!</f>
        <v>#REF!</v>
      </c>
      <c r="P183" s="68" t="e">
        <f>+#REF!</f>
        <v>#REF!</v>
      </c>
      <c r="Q183" s="59">
        <f t="shared" si="38"/>
        <v>0</v>
      </c>
      <c r="R183" s="60" t="e">
        <f t="shared" si="38"/>
        <v>#REF!</v>
      </c>
      <c r="S183" s="62" t="e">
        <f t="shared" si="38"/>
        <v>#REF!</v>
      </c>
      <c r="T183" s="161" t="e">
        <f t="shared" si="27"/>
        <v>#REF!</v>
      </c>
    </row>
    <row r="184" spans="1:20" s="15" customFormat="1" x14ac:dyDescent="0.25">
      <c r="A184" s="17" t="s">
        <v>218</v>
      </c>
      <c r="B184" s="18" t="s">
        <v>257</v>
      </c>
      <c r="C184" s="103" t="s">
        <v>258</v>
      </c>
      <c r="D184" s="86" t="s">
        <v>132</v>
      </c>
      <c r="E184" s="27">
        <v>2</v>
      </c>
      <c r="F184" s="27">
        <v>12</v>
      </c>
      <c r="G184" s="28">
        <v>13025</v>
      </c>
      <c r="H184" s="22"/>
      <c r="I184" s="20" t="e">
        <f>+#REF!</f>
        <v>#REF!</v>
      </c>
      <c r="J184" s="24" t="e">
        <f>+#REF!</f>
        <v>#REF!</v>
      </c>
      <c r="K184" s="22"/>
      <c r="L184" s="67" t="e">
        <f>+#REF!</f>
        <v>#REF!</v>
      </c>
      <c r="M184" s="68" t="e">
        <f>+#REF!</f>
        <v>#REF!</v>
      </c>
      <c r="N184" s="22"/>
      <c r="O184" s="67" t="e">
        <f>+#REF!</f>
        <v>#REF!</v>
      </c>
      <c r="P184" s="68" t="e">
        <f>+#REF!</f>
        <v>#REF!</v>
      </c>
      <c r="Q184" s="59">
        <f t="shared" si="38"/>
        <v>0</v>
      </c>
      <c r="R184" s="60" t="e">
        <f t="shared" si="38"/>
        <v>#REF!</v>
      </c>
      <c r="S184" s="62" t="e">
        <f t="shared" si="38"/>
        <v>#REF!</v>
      </c>
      <c r="T184" s="161" t="e">
        <f t="shared" si="27"/>
        <v>#REF!</v>
      </c>
    </row>
    <row r="185" spans="1:20" s="15" customFormat="1" ht="30" x14ac:dyDescent="0.25">
      <c r="A185" s="17" t="s">
        <v>218</v>
      </c>
      <c r="B185" s="18" t="s">
        <v>259</v>
      </c>
      <c r="C185" s="103" t="s">
        <v>260</v>
      </c>
      <c r="D185" s="86" t="s">
        <v>132</v>
      </c>
      <c r="E185" s="27">
        <v>1</v>
      </c>
      <c r="F185" s="27">
        <v>12</v>
      </c>
      <c r="G185" s="28">
        <v>26238</v>
      </c>
      <c r="H185" s="22"/>
      <c r="I185" s="20" t="e">
        <f>+#REF!</f>
        <v>#REF!</v>
      </c>
      <c r="J185" s="24" t="e">
        <f>+#REF!</f>
        <v>#REF!</v>
      </c>
      <c r="K185" s="22"/>
      <c r="L185" s="67" t="e">
        <f>+#REF!</f>
        <v>#REF!</v>
      </c>
      <c r="M185" s="68" t="e">
        <f>+#REF!</f>
        <v>#REF!</v>
      </c>
      <c r="N185" s="22"/>
      <c r="O185" s="67" t="e">
        <f>+#REF!</f>
        <v>#REF!</v>
      </c>
      <c r="P185" s="68" t="e">
        <f>+#REF!</f>
        <v>#REF!</v>
      </c>
      <c r="Q185" s="59">
        <f t="shared" si="38"/>
        <v>0</v>
      </c>
      <c r="R185" s="60" t="e">
        <f t="shared" si="38"/>
        <v>#REF!</v>
      </c>
      <c r="S185" s="62" t="e">
        <f t="shared" si="38"/>
        <v>#REF!</v>
      </c>
      <c r="T185" s="161" t="e">
        <f t="shared" si="27"/>
        <v>#REF!</v>
      </c>
    </row>
    <row r="186" spans="1:20" s="15" customFormat="1" ht="30" x14ac:dyDescent="0.25">
      <c r="A186" s="17" t="s">
        <v>218</v>
      </c>
      <c r="B186" s="18" t="s">
        <v>261</v>
      </c>
      <c r="C186" s="103" t="s">
        <v>260</v>
      </c>
      <c r="D186" s="86" t="s">
        <v>132</v>
      </c>
      <c r="E186" s="27">
        <v>1</v>
      </c>
      <c r="F186" s="27">
        <v>12</v>
      </c>
      <c r="G186" s="28">
        <v>26238</v>
      </c>
      <c r="H186" s="22"/>
      <c r="I186" s="20" t="e">
        <f>+#REF!</f>
        <v>#REF!</v>
      </c>
      <c r="J186" s="24" t="e">
        <f>+#REF!</f>
        <v>#REF!</v>
      </c>
      <c r="K186" s="22"/>
      <c r="L186" s="67" t="e">
        <f>+#REF!</f>
        <v>#REF!</v>
      </c>
      <c r="M186" s="68" t="e">
        <f>+#REF!</f>
        <v>#REF!</v>
      </c>
      <c r="N186" s="22"/>
      <c r="O186" s="67" t="e">
        <f>+#REF!</f>
        <v>#REF!</v>
      </c>
      <c r="P186" s="68" t="e">
        <f>+#REF!</f>
        <v>#REF!</v>
      </c>
      <c r="Q186" s="59">
        <f t="shared" si="38"/>
        <v>0</v>
      </c>
      <c r="R186" s="60" t="e">
        <f t="shared" si="38"/>
        <v>#REF!</v>
      </c>
      <c r="S186" s="62" t="e">
        <f t="shared" si="38"/>
        <v>#REF!</v>
      </c>
      <c r="T186" s="161" t="e">
        <f t="shared" si="27"/>
        <v>#REF!</v>
      </c>
    </row>
    <row r="187" spans="1:20" s="15" customFormat="1" x14ac:dyDescent="0.25">
      <c r="A187" s="17" t="s">
        <v>218</v>
      </c>
      <c r="B187" s="18" t="s">
        <v>262</v>
      </c>
      <c r="C187" s="103" t="s">
        <v>263</v>
      </c>
      <c r="D187" s="86" t="s">
        <v>132</v>
      </c>
      <c r="E187" s="27">
        <v>1</v>
      </c>
      <c r="F187" s="27">
        <v>12</v>
      </c>
      <c r="G187" s="28">
        <v>12080</v>
      </c>
      <c r="H187" s="22"/>
      <c r="I187" s="20" t="e">
        <f>+#REF!</f>
        <v>#REF!</v>
      </c>
      <c r="J187" s="24" t="e">
        <f>+#REF!</f>
        <v>#REF!</v>
      </c>
      <c r="K187" s="22"/>
      <c r="L187" s="67" t="e">
        <f>+#REF!</f>
        <v>#REF!</v>
      </c>
      <c r="M187" s="68" t="e">
        <f>+#REF!</f>
        <v>#REF!</v>
      </c>
      <c r="N187" s="22"/>
      <c r="O187" s="67" t="e">
        <f>+#REF!</f>
        <v>#REF!</v>
      </c>
      <c r="P187" s="68" t="e">
        <f>+#REF!</f>
        <v>#REF!</v>
      </c>
      <c r="Q187" s="59">
        <f t="shared" si="38"/>
        <v>0</v>
      </c>
      <c r="R187" s="60" t="e">
        <f t="shared" si="38"/>
        <v>#REF!</v>
      </c>
      <c r="S187" s="62" t="e">
        <f t="shared" si="38"/>
        <v>#REF!</v>
      </c>
      <c r="T187" s="161" t="e">
        <f t="shared" si="27"/>
        <v>#REF!</v>
      </c>
    </row>
    <row r="188" spans="1:20" s="15" customFormat="1" x14ac:dyDescent="0.25">
      <c r="A188" s="17" t="s">
        <v>218</v>
      </c>
      <c r="B188" s="18" t="s">
        <v>264</v>
      </c>
      <c r="C188" s="103" t="s">
        <v>265</v>
      </c>
      <c r="D188" s="86" t="s">
        <v>132</v>
      </c>
      <c r="E188" s="27">
        <v>3</v>
      </c>
      <c r="F188" s="27">
        <v>12</v>
      </c>
      <c r="G188" s="28">
        <v>18876</v>
      </c>
      <c r="H188" s="22"/>
      <c r="I188" s="20" t="e">
        <f>+#REF!</f>
        <v>#REF!</v>
      </c>
      <c r="J188" s="24" t="e">
        <f>+#REF!</f>
        <v>#REF!</v>
      </c>
      <c r="K188" s="22"/>
      <c r="L188" s="67" t="e">
        <f>+#REF!</f>
        <v>#REF!</v>
      </c>
      <c r="M188" s="68" t="e">
        <f>+#REF!</f>
        <v>#REF!</v>
      </c>
      <c r="N188" s="22"/>
      <c r="O188" s="67" t="e">
        <f>+#REF!</f>
        <v>#REF!</v>
      </c>
      <c r="P188" s="68" t="e">
        <f>+#REF!</f>
        <v>#REF!</v>
      </c>
      <c r="Q188" s="59">
        <f t="shared" si="38"/>
        <v>0</v>
      </c>
      <c r="R188" s="60" t="e">
        <f t="shared" si="38"/>
        <v>#REF!</v>
      </c>
      <c r="S188" s="62" t="e">
        <f t="shared" si="38"/>
        <v>#REF!</v>
      </c>
      <c r="T188" s="161" t="e">
        <f t="shared" si="27"/>
        <v>#REF!</v>
      </c>
    </row>
    <row r="189" spans="1:20" s="15" customFormat="1" x14ac:dyDescent="0.25">
      <c r="A189" s="17" t="s">
        <v>218</v>
      </c>
      <c r="B189" s="18" t="s">
        <v>266</v>
      </c>
      <c r="C189" s="103" t="s">
        <v>267</v>
      </c>
      <c r="D189" s="86" t="s">
        <v>132</v>
      </c>
      <c r="E189" s="27">
        <v>17</v>
      </c>
      <c r="F189" s="27">
        <v>12</v>
      </c>
      <c r="G189" s="28">
        <v>16234</v>
      </c>
      <c r="H189" s="22"/>
      <c r="I189" s="20" t="e">
        <f>+#REF!</f>
        <v>#REF!</v>
      </c>
      <c r="J189" s="24" t="e">
        <f>+#REF!</f>
        <v>#REF!</v>
      </c>
      <c r="K189" s="22"/>
      <c r="L189" s="67" t="e">
        <f>+#REF!</f>
        <v>#REF!</v>
      </c>
      <c r="M189" s="68" t="e">
        <f>+#REF!</f>
        <v>#REF!</v>
      </c>
      <c r="N189" s="22"/>
      <c r="O189" s="67" t="e">
        <f>+#REF!</f>
        <v>#REF!</v>
      </c>
      <c r="P189" s="68" t="e">
        <f>+#REF!</f>
        <v>#REF!</v>
      </c>
      <c r="Q189" s="59">
        <f t="shared" si="38"/>
        <v>0</v>
      </c>
      <c r="R189" s="60" t="e">
        <f t="shared" si="38"/>
        <v>#REF!</v>
      </c>
      <c r="S189" s="62" t="e">
        <f t="shared" si="38"/>
        <v>#REF!</v>
      </c>
      <c r="T189" s="161" t="e">
        <f t="shared" si="27"/>
        <v>#REF!</v>
      </c>
    </row>
    <row r="190" spans="1:20" s="15" customFormat="1" x14ac:dyDescent="0.25">
      <c r="A190" s="17" t="s">
        <v>218</v>
      </c>
      <c r="B190" s="18" t="s">
        <v>268</v>
      </c>
      <c r="C190" s="103" t="s">
        <v>256</v>
      </c>
      <c r="D190" s="86" t="s">
        <v>132</v>
      </c>
      <c r="E190" s="27">
        <v>1</v>
      </c>
      <c r="F190" s="27">
        <v>12</v>
      </c>
      <c r="G190" s="28">
        <v>11137</v>
      </c>
      <c r="H190" s="22"/>
      <c r="I190" s="20" t="e">
        <f>+#REF!</f>
        <v>#REF!</v>
      </c>
      <c r="J190" s="24" t="e">
        <f>+#REF!</f>
        <v>#REF!</v>
      </c>
      <c r="K190" s="22"/>
      <c r="L190" s="67" t="e">
        <f>+#REF!</f>
        <v>#REF!</v>
      </c>
      <c r="M190" s="68" t="e">
        <f>+#REF!</f>
        <v>#REF!</v>
      </c>
      <c r="N190" s="22"/>
      <c r="O190" s="67" t="e">
        <f>+#REF!</f>
        <v>#REF!</v>
      </c>
      <c r="P190" s="68" t="e">
        <f>+#REF!</f>
        <v>#REF!</v>
      </c>
      <c r="Q190" s="59">
        <f t="shared" si="38"/>
        <v>0</v>
      </c>
      <c r="R190" s="60" t="e">
        <f t="shared" si="38"/>
        <v>#REF!</v>
      </c>
      <c r="S190" s="62" t="e">
        <f t="shared" si="38"/>
        <v>#REF!</v>
      </c>
      <c r="T190" s="161" t="e">
        <f t="shared" si="27"/>
        <v>#REF!</v>
      </c>
    </row>
    <row r="191" spans="1:20" s="15" customFormat="1" x14ac:dyDescent="0.25">
      <c r="A191" s="17" t="s">
        <v>218</v>
      </c>
      <c r="B191" s="18" t="s">
        <v>269</v>
      </c>
      <c r="C191" s="103" t="s">
        <v>270</v>
      </c>
      <c r="D191" s="86" t="s">
        <v>132</v>
      </c>
      <c r="E191" s="27">
        <v>1</v>
      </c>
      <c r="F191" s="27">
        <v>12</v>
      </c>
      <c r="G191" s="28">
        <v>16234</v>
      </c>
      <c r="H191" s="22"/>
      <c r="I191" s="20" t="e">
        <f>+#REF!</f>
        <v>#REF!</v>
      </c>
      <c r="J191" s="24" t="e">
        <f>+#REF!</f>
        <v>#REF!</v>
      </c>
      <c r="K191" s="22"/>
      <c r="L191" s="67" t="e">
        <f>+#REF!</f>
        <v>#REF!</v>
      </c>
      <c r="M191" s="68" t="e">
        <f>+#REF!</f>
        <v>#REF!</v>
      </c>
      <c r="N191" s="22"/>
      <c r="O191" s="67" t="e">
        <f>+#REF!</f>
        <v>#REF!</v>
      </c>
      <c r="P191" s="68" t="e">
        <f>+#REF!</f>
        <v>#REF!</v>
      </c>
      <c r="Q191" s="59">
        <f t="shared" si="38"/>
        <v>0</v>
      </c>
      <c r="R191" s="60" t="e">
        <f t="shared" si="38"/>
        <v>#REF!</v>
      </c>
      <c r="S191" s="62" t="e">
        <f t="shared" si="38"/>
        <v>#REF!</v>
      </c>
      <c r="T191" s="161" t="e">
        <f t="shared" si="27"/>
        <v>#REF!</v>
      </c>
    </row>
    <row r="192" spans="1:20" s="15" customFormat="1" x14ac:dyDescent="0.25">
      <c r="A192" s="17" t="s">
        <v>218</v>
      </c>
      <c r="B192" s="18" t="s">
        <v>271</v>
      </c>
      <c r="C192" s="103" t="s">
        <v>272</v>
      </c>
      <c r="D192" s="86" t="s">
        <v>132</v>
      </c>
      <c r="E192" s="27">
        <v>1</v>
      </c>
      <c r="F192" s="27">
        <v>12</v>
      </c>
      <c r="G192" s="28">
        <v>15101</v>
      </c>
      <c r="H192" s="22"/>
      <c r="I192" s="20" t="e">
        <f>+#REF!</f>
        <v>#REF!</v>
      </c>
      <c r="J192" s="24" t="e">
        <f>+#REF!</f>
        <v>#REF!</v>
      </c>
      <c r="K192" s="22"/>
      <c r="L192" s="67" t="e">
        <f>+#REF!</f>
        <v>#REF!</v>
      </c>
      <c r="M192" s="68" t="e">
        <f>+#REF!</f>
        <v>#REF!</v>
      </c>
      <c r="N192" s="22"/>
      <c r="O192" s="67" t="e">
        <f>+#REF!</f>
        <v>#REF!</v>
      </c>
      <c r="P192" s="68" t="e">
        <f>+#REF!</f>
        <v>#REF!</v>
      </c>
      <c r="Q192" s="59">
        <f t="shared" si="38"/>
        <v>0</v>
      </c>
      <c r="R192" s="60" t="e">
        <f t="shared" si="38"/>
        <v>#REF!</v>
      </c>
      <c r="S192" s="62" t="e">
        <f t="shared" si="38"/>
        <v>#REF!</v>
      </c>
      <c r="T192" s="161" t="e">
        <f t="shared" si="27"/>
        <v>#REF!</v>
      </c>
    </row>
    <row r="193" spans="1:20" s="15" customFormat="1" x14ac:dyDescent="0.25">
      <c r="A193" s="17" t="s">
        <v>218</v>
      </c>
      <c r="B193" s="18" t="s">
        <v>273</v>
      </c>
      <c r="C193" s="103" t="s">
        <v>274</v>
      </c>
      <c r="D193" s="86" t="s">
        <v>132</v>
      </c>
      <c r="E193" s="27">
        <v>24</v>
      </c>
      <c r="F193" s="27">
        <v>12</v>
      </c>
      <c r="G193" s="28">
        <v>21896</v>
      </c>
      <c r="H193" s="22"/>
      <c r="I193" s="20" t="e">
        <f>+#REF!</f>
        <v>#REF!</v>
      </c>
      <c r="J193" s="24" t="e">
        <f>+#REF!</f>
        <v>#REF!</v>
      </c>
      <c r="K193" s="22"/>
      <c r="L193" s="67" t="e">
        <f>+#REF!</f>
        <v>#REF!</v>
      </c>
      <c r="M193" s="68" t="e">
        <f>+#REF!</f>
        <v>#REF!</v>
      </c>
      <c r="N193" s="22"/>
      <c r="O193" s="67" t="e">
        <f>+#REF!</f>
        <v>#REF!</v>
      </c>
      <c r="P193" s="68" t="e">
        <f>+#REF!</f>
        <v>#REF!</v>
      </c>
      <c r="Q193" s="59">
        <f t="shared" si="38"/>
        <v>0</v>
      </c>
      <c r="R193" s="60" t="e">
        <f t="shared" si="38"/>
        <v>#REF!</v>
      </c>
      <c r="S193" s="62" t="e">
        <f t="shared" si="38"/>
        <v>#REF!</v>
      </c>
      <c r="T193" s="161" t="e">
        <f t="shared" si="27"/>
        <v>#REF!</v>
      </c>
    </row>
    <row r="194" spans="1:20" s="15" customFormat="1" x14ac:dyDescent="0.25">
      <c r="A194" s="17" t="s">
        <v>218</v>
      </c>
      <c r="B194" s="18" t="s">
        <v>275</v>
      </c>
      <c r="C194" s="103" t="s">
        <v>276</v>
      </c>
      <c r="D194" s="86" t="s">
        <v>132</v>
      </c>
      <c r="E194" s="27">
        <v>1</v>
      </c>
      <c r="F194" s="27">
        <v>12</v>
      </c>
      <c r="G194" s="28">
        <v>23406</v>
      </c>
      <c r="H194" s="22"/>
      <c r="I194" s="20" t="e">
        <f>+#REF!</f>
        <v>#REF!</v>
      </c>
      <c r="J194" s="24" t="e">
        <f>+#REF!</f>
        <v>#REF!</v>
      </c>
      <c r="K194" s="22"/>
      <c r="L194" s="67" t="e">
        <f>+#REF!</f>
        <v>#REF!</v>
      </c>
      <c r="M194" s="68" t="e">
        <f>+#REF!</f>
        <v>#REF!</v>
      </c>
      <c r="N194" s="22"/>
      <c r="O194" s="67" t="e">
        <f>+#REF!</f>
        <v>#REF!</v>
      </c>
      <c r="P194" s="68" t="e">
        <f>+#REF!</f>
        <v>#REF!</v>
      </c>
      <c r="Q194" s="59">
        <f t="shared" si="38"/>
        <v>0</v>
      </c>
      <c r="R194" s="60" t="e">
        <f t="shared" si="38"/>
        <v>#REF!</v>
      </c>
      <c r="S194" s="62" t="e">
        <f t="shared" si="38"/>
        <v>#REF!</v>
      </c>
      <c r="T194" s="161" t="e">
        <f t="shared" si="27"/>
        <v>#REF!</v>
      </c>
    </row>
    <row r="195" spans="1:20" s="15" customFormat="1" x14ac:dyDescent="0.25">
      <c r="A195" s="17" t="s">
        <v>218</v>
      </c>
      <c r="B195" s="18" t="s">
        <v>277</v>
      </c>
      <c r="C195" s="103" t="s">
        <v>278</v>
      </c>
      <c r="D195" s="86" t="s">
        <v>132</v>
      </c>
      <c r="E195" s="27">
        <v>4</v>
      </c>
      <c r="F195" s="27">
        <v>12</v>
      </c>
      <c r="G195" s="28">
        <v>13968</v>
      </c>
      <c r="H195" s="22"/>
      <c r="I195" s="20" t="e">
        <f>+#REF!</f>
        <v>#REF!</v>
      </c>
      <c r="J195" s="24" t="e">
        <f>+#REF!</f>
        <v>#REF!</v>
      </c>
      <c r="K195" s="22"/>
      <c r="L195" s="67" t="e">
        <f>+#REF!</f>
        <v>#REF!</v>
      </c>
      <c r="M195" s="68" t="e">
        <f>+#REF!</f>
        <v>#REF!</v>
      </c>
      <c r="N195" s="22"/>
      <c r="O195" s="67" t="e">
        <f>+#REF!</f>
        <v>#REF!</v>
      </c>
      <c r="P195" s="68" t="e">
        <f>+#REF!</f>
        <v>#REF!</v>
      </c>
      <c r="Q195" s="59">
        <f t="shared" si="38"/>
        <v>0</v>
      </c>
      <c r="R195" s="60" t="e">
        <f t="shared" si="38"/>
        <v>#REF!</v>
      </c>
      <c r="S195" s="62" t="e">
        <f t="shared" si="38"/>
        <v>#REF!</v>
      </c>
      <c r="T195" s="161" t="e">
        <f t="shared" si="27"/>
        <v>#REF!</v>
      </c>
    </row>
    <row r="196" spans="1:20" s="15" customFormat="1" x14ac:dyDescent="0.25">
      <c r="A196" s="17" t="s">
        <v>218</v>
      </c>
      <c r="B196" s="18" t="s">
        <v>279</v>
      </c>
      <c r="C196" s="103" t="s">
        <v>280</v>
      </c>
      <c r="D196" s="86" t="s">
        <v>132</v>
      </c>
      <c r="E196" s="27">
        <v>1</v>
      </c>
      <c r="F196" s="27">
        <v>12</v>
      </c>
      <c r="G196" s="28">
        <v>10193</v>
      </c>
      <c r="H196" s="22"/>
      <c r="I196" s="20" t="e">
        <f>+#REF!</f>
        <v>#REF!</v>
      </c>
      <c r="J196" s="24" t="e">
        <f>+#REF!</f>
        <v>#REF!</v>
      </c>
      <c r="K196" s="22"/>
      <c r="L196" s="67" t="e">
        <f>+#REF!</f>
        <v>#REF!</v>
      </c>
      <c r="M196" s="68" t="e">
        <f>+#REF!</f>
        <v>#REF!</v>
      </c>
      <c r="N196" s="22"/>
      <c r="O196" s="67" t="e">
        <f>+#REF!</f>
        <v>#REF!</v>
      </c>
      <c r="P196" s="68" t="e">
        <f>+#REF!</f>
        <v>#REF!</v>
      </c>
      <c r="Q196" s="59">
        <f t="shared" si="38"/>
        <v>0</v>
      </c>
      <c r="R196" s="60" t="e">
        <f t="shared" si="38"/>
        <v>#REF!</v>
      </c>
      <c r="S196" s="62" t="e">
        <f t="shared" si="38"/>
        <v>#REF!</v>
      </c>
      <c r="T196" s="161" t="e">
        <f t="shared" si="27"/>
        <v>#REF!</v>
      </c>
    </row>
    <row r="197" spans="1:20" s="15" customFormat="1" x14ac:dyDescent="0.25">
      <c r="A197" s="17" t="s">
        <v>218</v>
      </c>
      <c r="B197" s="18" t="s">
        <v>281</v>
      </c>
      <c r="C197" s="103" t="s">
        <v>278</v>
      </c>
      <c r="D197" s="86" t="s">
        <v>132</v>
      </c>
      <c r="E197" s="27">
        <v>27</v>
      </c>
      <c r="F197" s="27">
        <v>12</v>
      </c>
      <c r="G197" s="28">
        <v>12080</v>
      </c>
      <c r="H197" s="22"/>
      <c r="I197" s="20" t="e">
        <f>+#REF!</f>
        <v>#REF!</v>
      </c>
      <c r="J197" s="24" t="e">
        <f>+#REF!</f>
        <v>#REF!</v>
      </c>
      <c r="K197" s="22"/>
      <c r="L197" s="67" t="e">
        <f>+#REF!</f>
        <v>#REF!</v>
      </c>
      <c r="M197" s="68" t="e">
        <f>+#REF!</f>
        <v>#REF!</v>
      </c>
      <c r="N197" s="22"/>
      <c r="O197" s="67" t="e">
        <f>+#REF!</f>
        <v>#REF!</v>
      </c>
      <c r="P197" s="68" t="e">
        <f>+#REF!</f>
        <v>#REF!</v>
      </c>
      <c r="Q197" s="59">
        <f t="shared" si="38"/>
        <v>0</v>
      </c>
      <c r="R197" s="60" t="e">
        <f t="shared" si="38"/>
        <v>#REF!</v>
      </c>
      <c r="S197" s="62" t="e">
        <f t="shared" si="38"/>
        <v>#REF!</v>
      </c>
      <c r="T197" s="161" t="e">
        <f t="shared" si="27"/>
        <v>#REF!</v>
      </c>
    </row>
    <row r="198" spans="1:20" s="15" customFormat="1" x14ac:dyDescent="0.25">
      <c r="A198" s="17" t="s">
        <v>218</v>
      </c>
      <c r="B198" s="18" t="s">
        <v>282</v>
      </c>
      <c r="C198" s="103" t="s">
        <v>283</v>
      </c>
      <c r="D198" s="86" t="s">
        <v>132</v>
      </c>
      <c r="E198" s="27">
        <v>24</v>
      </c>
      <c r="F198" s="27">
        <v>12</v>
      </c>
      <c r="G198" s="28">
        <v>15101</v>
      </c>
      <c r="H198" s="22"/>
      <c r="I198" s="20" t="e">
        <f>+#REF!</f>
        <v>#REF!</v>
      </c>
      <c r="J198" s="24" t="e">
        <f>+#REF!</f>
        <v>#REF!</v>
      </c>
      <c r="K198" s="22"/>
      <c r="L198" s="67" t="e">
        <f>+#REF!</f>
        <v>#REF!</v>
      </c>
      <c r="M198" s="68" t="e">
        <f>+#REF!</f>
        <v>#REF!</v>
      </c>
      <c r="N198" s="22"/>
      <c r="O198" s="67" t="e">
        <f>+#REF!</f>
        <v>#REF!</v>
      </c>
      <c r="P198" s="68" t="e">
        <f>+#REF!</f>
        <v>#REF!</v>
      </c>
      <c r="Q198" s="59">
        <f t="shared" si="38"/>
        <v>0</v>
      </c>
      <c r="R198" s="60" t="e">
        <f t="shared" si="38"/>
        <v>#REF!</v>
      </c>
      <c r="S198" s="62" t="e">
        <f t="shared" si="38"/>
        <v>#REF!</v>
      </c>
      <c r="T198" s="161" t="e">
        <f t="shared" si="27"/>
        <v>#REF!</v>
      </c>
    </row>
    <row r="199" spans="1:20" s="15" customFormat="1" x14ac:dyDescent="0.25">
      <c r="A199" s="17" t="s">
        <v>218</v>
      </c>
      <c r="B199" s="18" t="s">
        <v>284</v>
      </c>
      <c r="C199" s="103" t="s">
        <v>280</v>
      </c>
      <c r="D199" s="86" t="s">
        <v>132</v>
      </c>
      <c r="E199" s="27">
        <v>25</v>
      </c>
      <c r="F199" s="27">
        <v>12</v>
      </c>
      <c r="G199" s="28">
        <v>11137</v>
      </c>
      <c r="H199" s="22"/>
      <c r="I199" s="20" t="e">
        <f>+#REF!</f>
        <v>#REF!</v>
      </c>
      <c r="J199" s="24" t="e">
        <f>+#REF!</f>
        <v>#REF!</v>
      </c>
      <c r="K199" s="22"/>
      <c r="L199" s="67" t="e">
        <f>+#REF!</f>
        <v>#REF!</v>
      </c>
      <c r="M199" s="68" t="e">
        <f>+#REF!</f>
        <v>#REF!</v>
      </c>
      <c r="N199" s="22"/>
      <c r="O199" s="67" t="e">
        <f>+#REF!</f>
        <v>#REF!</v>
      </c>
      <c r="P199" s="68" t="e">
        <f>+#REF!</f>
        <v>#REF!</v>
      </c>
      <c r="Q199" s="59">
        <f t="shared" si="38"/>
        <v>0</v>
      </c>
      <c r="R199" s="60" t="e">
        <f t="shared" si="38"/>
        <v>#REF!</v>
      </c>
      <c r="S199" s="62" t="e">
        <f t="shared" si="38"/>
        <v>#REF!</v>
      </c>
      <c r="T199" s="161" t="e">
        <f t="shared" si="27"/>
        <v>#REF!</v>
      </c>
    </row>
    <row r="200" spans="1:20" s="15" customFormat="1" ht="30" x14ac:dyDescent="0.25">
      <c r="A200" s="17" t="s">
        <v>218</v>
      </c>
      <c r="B200" s="18" t="s">
        <v>285</v>
      </c>
      <c r="C200" s="103" t="s">
        <v>260</v>
      </c>
      <c r="D200" s="86" t="s">
        <v>132</v>
      </c>
      <c r="E200" s="27">
        <v>1</v>
      </c>
      <c r="F200" s="27">
        <v>12</v>
      </c>
      <c r="G200" s="28">
        <v>26238</v>
      </c>
      <c r="H200" s="22"/>
      <c r="I200" s="20" t="e">
        <f>+#REF!</f>
        <v>#REF!</v>
      </c>
      <c r="J200" s="24" t="e">
        <f>+#REF!</f>
        <v>#REF!</v>
      </c>
      <c r="K200" s="22"/>
      <c r="L200" s="67" t="e">
        <f>+#REF!</f>
        <v>#REF!</v>
      </c>
      <c r="M200" s="68" t="e">
        <f>+#REF!</f>
        <v>#REF!</v>
      </c>
      <c r="N200" s="22"/>
      <c r="O200" s="67" t="e">
        <f>+#REF!</f>
        <v>#REF!</v>
      </c>
      <c r="P200" s="68" t="e">
        <f>+#REF!</f>
        <v>#REF!</v>
      </c>
      <c r="Q200" s="59">
        <f t="shared" si="38"/>
        <v>0</v>
      </c>
      <c r="R200" s="60" t="e">
        <f t="shared" si="38"/>
        <v>#REF!</v>
      </c>
      <c r="S200" s="62" t="e">
        <f t="shared" si="38"/>
        <v>#REF!</v>
      </c>
      <c r="T200" s="161" t="e">
        <f t="shared" si="27"/>
        <v>#REF!</v>
      </c>
    </row>
    <row r="201" spans="1:20" s="15" customFormat="1" ht="30" x14ac:dyDescent="0.25">
      <c r="A201" s="17" t="s">
        <v>218</v>
      </c>
      <c r="B201" s="18" t="s">
        <v>286</v>
      </c>
      <c r="C201" s="103" t="s">
        <v>278</v>
      </c>
      <c r="D201" s="86" t="s">
        <v>132</v>
      </c>
      <c r="E201" s="27">
        <v>6</v>
      </c>
      <c r="F201" s="27">
        <v>12</v>
      </c>
      <c r="G201" s="28">
        <v>13025</v>
      </c>
      <c r="H201" s="22"/>
      <c r="I201" s="20" t="e">
        <f>+#REF!</f>
        <v>#REF!</v>
      </c>
      <c r="J201" s="24" t="e">
        <f>+#REF!</f>
        <v>#REF!</v>
      </c>
      <c r="K201" s="22"/>
      <c r="L201" s="67" t="e">
        <f>+#REF!</f>
        <v>#REF!</v>
      </c>
      <c r="M201" s="68" t="e">
        <f>+#REF!</f>
        <v>#REF!</v>
      </c>
      <c r="N201" s="22"/>
      <c r="O201" s="67" t="e">
        <f>+#REF!</f>
        <v>#REF!</v>
      </c>
      <c r="P201" s="68" t="e">
        <f>+#REF!</f>
        <v>#REF!</v>
      </c>
      <c r="Q201" s="59">
        <f t="shared" si="38"/>
        <v>0</v>
      </c>
      <c r="R201" s="60" t="e">
        <f t="shared" si="38"/>
        <v>#REF!</v>
      </c>
      <c r="S201" s="62" t="e">
        <f t="shared" si="38"/>
        <v>#REF!</v>
      </c>
      <c r="T201" s="161" t="e">
        <f t="shared" ref="T201:T264" si="39">+Q201+R201+S201</f>
        <v>#REF!</v>
      </c>
    </row>
    <row r="202" spans="1:20" s="15" customFormat="1" x14ac:dyDescent="0.25">
      <c r="A202" s="17" t="s">
        <v>218</v>
      </c>
      <c r="B202" s="18" t="s">
        <v>287</v>
      </c>
      <c r="C202" s="103" t="s">
        <v>288</v>
      </c>
      <c r="D202" s="86" t="s">
        <v>132</v>
      </c>
      <c r="E202" s="27">
        <v>3</v>
      </c>
      <c r="F202" s="27">
        <v>12</v>
      </c>
      <c r="G202" s="28">
        <v>13025</v>
      </c>
      <c r="H202" s="22"/>
      <c r="I202" s="20" t="e">
        <f>+#REF!</f>
        <v>#REF!</v>
      </c>
      <c r="J202" s="24" t="e">
        <f>+#REF!</f>
        <v>#REF!</v>
      </c>
      <c r="K202" s="22"/>
      <c r="L202" s="67" t="e">
        <f>+#REF!</f>
        <v>#REF!</v>
      </c>
      <c r="M202" s="68" t="e">
        <f>+#REF!</f>
        <v>#REF!</v>
      </c>
      <c r="N202" s="22"/>
      <c r="O202" s="67" t="e">
        <f>+#REF!</f>
        <v>#REF!</v>
      </c>
      <c r="P202" s="68" t="e">
        <f>+#REF!</f>
        <v>#REF!</v>
      </c>
      <c r="Q202" s="59">
        <f t="shared" si="38"/>
        <v>0</v>
      </c>
      <c r="R202" s="60" t="e">
        <f t="shared" si="38"/>
        <v>#REF!</v>
      </c>
      <c r="S202" s="62" t="e">
        <f t="shared" si="38"/>
        <v>#REF!</v>
      </c>
      <c r="T202" s="161" t="e">
        <f t="shared" si="39"/>
        <v>#REF!</v>
      </c>
    </row>
    <row r="203" spans="1:20" s="15" customFormat="1" x14ac:dyDescent="0.25">
      <c r="A203" s="17" t="s">
        <v>218</v>
      </c>
      <c r="B203" s="18" t="s">
        <v>289</v>
      </c>
      <c r="C203" s="103" t="s">
        <v>290</v>
      </c>
      <c r="D203" s="86" t="s">
        <v>132</v>
      </c>
      <c r="E203" s="27">
        <v>1</v>
      </c>
      <c r="F203" s="27">
        <v>12</v>
      </c>
      <c r="G203" s="28">
        <v>20386</v>
      </c>
      <c r="H203" s="22"/>
      <c r="I203" s="20" t="e">
        <f>+#REF!</f>
        <v>#REF!</v>
      </c>
      <c r="J203" s="24" t="e">
        <f>+#REF!</f>
        <v>#REF!</v>
      </c>
      <c r="K203" s="22"/>
      <c r="L203" s="67" t="e">
        <f>+#REF!</f>
        <v>#REF!</v>
      </c>
      <c r="M203" s="68" t="e">
        <f>+#REF!</f>
        <v>#REF!</v>
      </c>
      <c r="N203" s="22"/>
      <c r="O203" s="67" t="e">
        <f>+#REF!</f>
        <v>#REF!</v>
      </c>
      <c r="P203" s="68" t="e">
        <f>+#REF!</f>
        <v>#REF!</v>
      </c>
      <c r="Q203" s="59">
        <f t="shared" si="38"/>
        <v>0</v>
      </c>
      <c r="R203" s="60" t="e">
        <f t="shared" si="38"/>
        <v>#REF!</v>
      </c>
      <c r="S203" s="62" t="e">
        <f t="shared" si="38"/>
        <v>#REF!</v>
      </c>
      <c r="T203" s="161" t="e">
        <f t="shared" si="39"/>
        <v>#REF!</v>
      </c>
    </row>
    <row r="204" spans="1:20" s="15" customFormat="1" x14ac:dyDescent="0.25">
      <c r="A204" s="17" t="s">
        <v>218</v>
      </c>
      <c r="B204" s="18" t="s">
        <v>291</v>
      </c>
      <c r="C204" s="103" t="s">
        <v>292</v>
      </c>
      <c r="D204" s="86" t="s">
        <v>132</v>
      </c>
      <c r="E204" s="27">
        <v>3</v>
      </c>
      <c r="F204" s="27">
        <v>12</v>
      </c>
      <c r="G204" s="28">
        <v>15101</v>
      </c>
      <c r="H204" s="22"/>
      <c r="I204" s="20" t="e">
        <f>+#REF!</f>
        <v>#REF!</v>
      </c>
      <c r="J204" s="24" t="e">
        <f>+#REF!</f>
        <v>#REF!</v>
      </c>
      <c r="K204" s="22"/>
      <c r="L204" s="67" t="e">
        <f>+#REF!</f>
        <v>#REF!</v>
      </c>
      <c r="M204" s="68" t="e">
        <f>+#REF!</f>
        <v>#REF!</v>
      </c>
      <c r="N204" s="22"/>
      <c r="O204" s="67" t="e">
        <f>+#REF!</f>
        <v>#REF!</v>
      </c>
      <c r="P204" s="68" t="e">
        <f>+#REF!</f>
        <v>#REF!</v>
      </c>
      <c r="Q204" s="59">
        <f t="shared" si="38"/>
        <v>0</v>
      </c>
      <c r="R204" s="60" t="e">
        <f t="shared" si="38"/>
        <v>#REF!</v>
      </c>
      <c r="S204" s="62" t="e">
        <f t="shared" si="38"/>
        <v>#REF!</v>
      </c>
      <c r="T204" s="161" t="e">
        <f t="shared" si="39"/>
        <v>#REF!</v>
      </c>
    </row>
    <row r="205" spans="1:20" s="15" customFormat="1" ht="30" x14ac:dyDescent="0.25">
      <c r="A205" s="17" t="s">
        <v>218</v>
      </c>
      <c r="B205" s="18" t="s">
        <v>293</v>
      </c>
      <c r="C205" s="103" t="s">
        <v>260</v>
      </c>
      <c r="D205" s="86" t="s">
        <v>132</v>
      </c>
      <c r="E205" s="27">
        <v>1</v>
      </c>
      <c r="F205" s="27">
        <v>12</v>
      </c>
      <c r="G205" s="28">
        <v>26238</v>
      </c>
      <c r="H205" s="22"/>
      <c r="I205" s="20" t="e">
        <f>+#REF!</f>
        <v>#REF!</v>
      </c>
      <c r="J205" s="24" t="e">
        <f>+#REF!</f>
        <v>#REF!</v>
      </c>
      <c r="K205" s="22"/>
      <c r="L205" s="67" t="e">
        <f>+#REF!</f>
        <v>#REF!</v>
      </c>
      <c r="M205" s="68" t="e">
        <f>+#REF!</f>
        <v>#REF!</v>
      </c>
      <c r="N205" s="22"/>
      <c r="O205" s="67" t="e">
        <f>+#REF!</f>
        <v>#REF!</v>
      </c>
      <c r="P205" s="68" t="e">
        <f>+#REF!</f>
        <v>#REF!</v>
      </c>
      <c r="Q205" s="59">
        <f t="shared" si="38"/>
        <v>0</v>
      </c>
      <c r="R205" s="60" t="e">
        <f t="shared" si="38"/>
        <v>#REF!</v>
      </c>
      <c r="S205" s="62" t="e">
        <f t="shared" si="38"/>
        <v>#REF!</v>
      </c>
      <c r="T205" s="161" t="e">
        <f t="shared" si="39"/>
        <v>#REF!</v>
      </c>
    </row>
    <row r="206" spans="1:20" s="15" customFormat="1" x14ac:dyDescent="0.25">
      <c r="A206" s="17" t="s">
        <v>218</v>
      </c>
      <c r="B206" s="18" t="s">
        <v>294</v>
      </c>
      <c r="C206" s="103" t="s">
        <v>295</v>
      </c>
      <c r="D206" s="86" t="s">
        <v>132</v>
      </c>
      <c r="E206" s="27">
        <v>1</v>
      </c>
      <c r="F206" s="27">
        <v>12</v>
      </c>
      <c r="G206" s="28">
        <v>20386</v>
      </c>
      <c r="H206" s="22"/>
      <c r="I206" s="20" t="e">
        <f>+#REF!</f>
        <v>#REF!</v>
      </c>
      <c r="J206" s="24" t="e">
        <f>+#REF!</f>
        <v>#REF!</v>
      </c>
      <c r="K206" s="22"/>
      <c r="L206" s="67" t="e">
        <f>+#REF!</f>
        <v>#REF!</v>
      </c>
      <c r="M206" s="68" t="e">
        <f>+#REF!</f>
        <v>#REF!</v>
      </c>
      <c r="N206" s="22"/>
      <c r="O206" s="67" t="e">
        <f>+#REF!</f>
        <v>#REF!</v>
      </c>
      <c r="P206" s="68" t="e">
        <f>+#REF!</f>
        <v>#REF!</v>
      </c>
      <c r="Q206" s="59">
        <f t="shared" si="38"/>
        <v>0</v>
      </c>
      <c r="R206" s="60" t="e">
        <f t="shared" si="38"/>
        <v>#REF!</v>
      </c>
      <c r="S206" s="62" t="e">
        <f t="shared" si="38"/>
        <v>#REF!</v>
      </c>
      <c r="T206" s="161" t="e">
        <f t="shared" si="39"/>
        <v>#REF!</v>
      </c>
    </row>
    <row r="207" spans="1:20" s="15" customFormat="1" x14ac:dyDescent="0.25">
      <c r="A207" s="17" t="s">
        <v>218</v>
      </c>
      <c r="B207" s="18" t="s">
        <v>296</v>
      </c>
      <c r="C207" s="103" t="s">
        <v>297</v>
      </c>
      <c r="D207" s="86" t="s">
        <v>132</v>
      </c>
      <c r="E207" s="27">
        <v>5</v>
      </c>
      <c r="F207" s="27">
        <v>12</v>
      </c>
      <c r="G207" s="28">
        <v>13025</v>
      </c>
      <c r="H207" s="22"/>
      <c r="I207" s="20" t="e">
        <f>+#REF!</f>
        <v>#REF!</v>
      </c>
      <c r="J207" s="24" t="e">
        <f>+#REF!</f>
        <v>#REF!</v>
      </c>
      <c r="K207" s="22"/>
      <c r="L207" s="67" t="e">
        <f>+#REF!</f>
        <v>#REF!</v>
      </c>
      <c r="M207" s="68" t="e">
        <f>+#REF!</f>
        <v>#REF!</v>
      </c>
      <c r="N207" s="22"/>
      <c r="O207" s="67" t="e">
        <f>+#REF!</f>
        <v>#REF!</v>
      </c>
      <c r="P207" s="68" t="e">
        <f>+#REF!</f>
        <v>#REF!</v>
      </c>
      <c r="Q207" s="59">
        <f t="shared" si="38"/>
        <v>0</v>
      </c>
      <c r="R207" s="60" t="e">
        <f t="shared" si="38"/>
        <v>#REF!</v>
      </c>
      <c r="S207" s="62" t="e">
        <f t="shared" si="38"/>
        <v>#REF!</v>
      </c>
      <c r="T207" s="161" t="e">
        <f t="shared" si="39"/>
        <v>#REF!</v>
      </c>
    </row>
    <row r="208" spans="1:20" s="15" customFormat="1" x14ac:dyDescent="0.25">
      <c r="A208" s="17" t="s">
        <v>218</v>
      </c>
      <c r="B208" s="18" t="s">
        <v>298</v>
      </c>
      <c r="C208" s="103" t="s">
        <v>299</v>
      </c>
      <c r="D208" s="86" t="s">
        <v>132</v>
      </c>
      <c r="E208" s="27">
        <v>1</v>
      </c>
      <c r="F208" s="27">
        <v>12</v>
      </c>
      <c r="G208" s="28">
        <v>18876</v>
      </c>
      <c r="H208" s="22"/>
      <c r="I208" s="20" t="e">
        <f>+#REF!</f>
        <v>#REF!</v>
      </c>
      <c r="J208" s="24" t="e">
        <f>+#REF!</f>
        <v>#REF!</v>
      </c>
      <c r="K208" s="22"/>
      <c r="L208" s="67" t="e">
        <f>+#REF!</f>
        <v>#REF!</v>
      </c>
      <c r="M208" s="68" t="e">
        <f>+#REF!</f>
        <v>#REF!</v>
      </c>
      <c r="N208" s="22"/>
      <c r="O208" s="67" t="e">
        <f>+#REF!</f>
        <v>#REF!</v>
      </c>
      <c r="P208" s="68" t="e">
        <f>+#REF!</f>
        <v>#REF!</v>
      </c>
      <c r="Q208" s="59">
        <f t="shared" si="38"/>
        <v>0</v>
      </c>
      <c r="R208" s="60" t="e">
        <f t="shared" si="38"/>
        <v>#REF!</v>
      </c>
      <c r="S208" s="62" t="e">
        <f t="shared" si="38"/>
        <v>#REF!</v>
      </c>
      <c r="T208" s="161" t="e">
        <f t="shared" si="39"/>
        <v>#REF!</v>
      </c>
    </row>
    <row r="209" spans="1:20" s="15" customFormat="1" x14ac:dyDescent="0.25">
      <c r="A209" s="17" t="s">
        <v>218</v>
      </c>
      <c r="B209" s="18" t="s">
        <v>300</v>
      </c>
      <c r="C209" s="103" t="s">
        <v>292</v>
      </c>
      <c r="D209" s="86" t="s">
        <v>132</v>
      </c>
      <c r="E209" s="27">
        <v>2</v>
      </c>
      <c r="F209" s="27">
        <v>12</v>
      </c>
      <c r="G209" s="28">
        <v>17366</v>
      </c>
      <c r="H209" s="22"/>
      <c r="I209" s="20" t="e">
        <f>+#REF!</f>
        <v>#REF!</v>
      </c>
      <c r="J209" s="24" t="e">
        <f>+#REF!</f>
        <v>#REF!</v>
      </c>
      <c r="K209" s="22"/>
      <c r="L209" s="67" t="e">
        <f>+#REF!</f>
        <v>#REF!</v>
      </c>
      <c r="M209" s="68" t="e">
        <f>+#REF!</f>
        <v>#REF!</v>
      </c>
      <c r="N209" s="22"/>
      <c r="O209" s="67" t="e">
        <f>+#REF!</f>
        <v>#REF!</v>
      </c>
      <c r="P209" s="68" t="e">
        <f>+#REF!</f>
        <v>#REF!</v>
      </c>
      <c r="Q209" s="59">
        <f t="shared" si="38"/>
        <v>0</v>
      </c>
      <c r="R209" s="60" t="e">
        <f t="shared" si="38"/>
        <v>#REF!</v>
      </c>
      <c r="S209" s="62" t="e">
        <f t="shared" si="38"/>
        <v>#REF!</v>
      </c>
      <c r="T209" s="161" t="e">
        <f t="shared" si="39"/>
        <v>#REF!</v>
      </c>
    </row>
    <row r="210" spans="1:20" s="15" customFormat="1" x14ac:dyDescent="0.25">
      <c r="A210" s="17" t="s">
        <v>218</v>
      </c>
      <c r="B210" s="18" t="s">
        <v>301</v>
      </c>
      <c r="C210" s="103" t="s">
        <v>302</v>
      </c>
      <c r="D210" s="86" t="s">
        <v>132</v>
      </c>
      <c r="E210" s="27">
        <v>1</v>
      </c>
      <c r="F210" s="27">
        <v>12</v>
      </c>
      <c r="G210" s="28">
        <v>17366</v>
      </c>
      <c r="H210" s="22"/>
      <c r="I210" s="20" t="e">
        <f>+#REF!</f>
        <v>#REF!</v>
      </c>
      <c r="J210" s="24" t="e">
        <f>+#REF!</f>
        <v>#REF!</v>
      </c>
      <c r="K210" s="22"/>
      <c r="L210" s="67" t="e">
        <f>+#REF!</f>
        <v>#REF!</v>
      </c>
      <c r="M210" s="68" t="e">
        <f>+#REF!</f>
        <v>#REF!</v>
      </c>
      <c r="N210" s="22"/>
      <c r="O210" s="67" t="e">
        <f>+#REF!</f>
        <v>#REF!</v>
      </c>
      <c r="P210" s="68" t="e">
        <f>+#REF!</f>
        <v>#REF!</v>
      </c>
      <c r="Q210" s="59">
        <f t="shared" si="38"/>
        <v>0</v>
      </c>
      <c r="R210" s="60" t="e">
        <f t="shared" si="38"/>
        <v>#REF!</v>
      </c>
      <c r="S210" s="62" t="e">
        <f t="shared" si="38"/>
        <v>#REF!</v>
      </c>
      <c r="T210" s="161" t="e">
        <f t="shared" si="39"/>
        <v>#REF!</v>
      </c>
    </row>
    <row r="211" spans="1:20" s="15" customFormat="1" x14ac:dyDescent="0.25">
      <c r="A211" s="17" t="s">
        <v>218</v>
      </c>
      <c r="B211" s="18" t="s">
        <v>303</v>
      </c>
      <c r="C211" s="103" t="s">
        <v>304</v>
      </c>
      <c r="D211" s="86" t="s">
        <v>132</v>
      </c>
      <c r="E211" s="27">
        <v>3</v>
      </c>
      <c r="F211" s="27">
        <v>12</v>
      </c>
      <c r="G211" s="28">
        <v>13968</v>
      </c>
      <c r="H211" s="22"/>
      <c r="I211" s="20" t="e">
        <f>+#REF!</f>
        <v>#REF!</v>
      </c>
      <c r="J211" s="24" t="e">
        <f>+#REF!</f>
        <v>#REF!</v>
      </c>
      <c r="K211" s="22"/>
      <c r="L211" s="67" t="e">
        <f>+#REF!</f>
        <v>#REF!</v>
      </c>
      <c r="M211" s="68" t="e">
        <f>+#REF!</f>
        <v>#REF!</v>
      </c>
      <c r="N211" s="22"/>
      <c r="O211" s="67" t="e">
        <f>+#REF!</f>
        <v>#REF!</v>
      </c>
      <c r="P211" s="68" t="e">
        <f>+#REF!</f>
        <v>#REF!</v>
      </c>
      <c r="Q211" s="59">
        <f t="shared" si="38"/>
        <v>0</v>
      </c>
      <c r="R211" s="60" t="e">
        <f t="shared" si="38"/>
        <v>#REF!</v>
      </c>
      <c r="S211" s="62" t="e">
        <f t="shared" si="38"/>
        <v>#REF!</v>
      </c>
      <c r="T211" s="161" t="e">
        <f t="shared" si="39"/>
        <v>#REF!</v>
      </c>
    </row>
    <row r="212" spans="1:20" s="15" customFormat="1" ht="30" x14ac:dyDescent="0.25">
      <c r="A212" s="17" t="s">
        <v>218</v>
      </c>
      <c r="B212" s="18" t="s">
        <v>305</v>
      </c>
      <c r="C212" s="103" t="s">
        <v>260</v>
      </c>
      <c r="D212" s="86" t="s">
        <v>132</v>
      </c>
      <c r="E212" s="27">
        <v>1</v>
      </c>
      <c r="F212" s="27">
        <v>12</v>
      </c>
      <c r="G212" s="28">
        <v>26238</v>
      </c>
      <c r="H212" s="22"/>
      <c r="I212" s="20" t="e">
        <f>+#REF!</f>
        <v>#REF!</v>
      </c>
      <c r="J212" s="24" t="e">
        <f>+#REF!</f>
        <v>#REF!</v>
      </c>
      <c r="K212" s="22"/>
      <c r="L212" s="67" t="e">
        <f>+#REF!</f>
        <v>#REF!</v>
      </c>
      <c r="M212" s="68" t="e">
        <f>+#REF!</f>
        <v>#REF!</v>
      </c>
      <c r="N212" s="22"/>
      <c r="O212" s="67" t="e">
        <f>+#REF!</f>
        <v>#REF!</v>
      </c>
      <c r="P212" s="68" t="e">
        <f>+#REF!</f>
        <v>#REF!</v>
      </c>
      <c r="Q212" s="59">
        <f t="shared" si="38"/>
        <v>0</v>
      </c>
      <c r="R212" s="60" t="e">
        <f t="shared" si="38"/>
        <v>#REF!</v>
      </c>
      <c r="S212" s="62" t="e">
        <f t="shared" si="38"/>
        <v>#REF!</v>
      </c>
      <c r="T212" s="161" t="e">
        <f t="shared" si="39"/>
        <v>#REF!</v>
      </c>
    </row>
    <row r="213" spans="1:20" s="15" customFormat="1" x14ac:dyDescent="0.25">
      <c r="A213" s="17" t="s">
        <v>218</v>
      </c>
      <c r="B213" s="18" t="s">
        <v>306</v>
      </c>
      <c r="C213" s="103" t="s">
        <v>307</v>
      </c>
      <c r="D213" s="86" t="s">
        <v>132</v>
      </c>
      <c r="E213" s="27">
        <v>1</v>
      </c>
      <c r="F213" s="27">
        <v>12</v>
      </c>
      <c r="G213" s="28">
        <v>23406</v>
      </c>
      <c r="H213" s="22"/>
      <c r="I213" s="20" t="e">
        <f>+#REF!</f>
        <v>#REF!</v>
      </c>
      <c r="J213" s="24" t="e">
        <f>+#REF!</f>
        <v>#REF!</v>
      </c>
      <c r="K213" s="22"/>
      <c r="L213" s="67" t="e">
        <f>+#REF!</f>
        <v>#REF!</v>
      </c>
      <c r="M213" s="68" t="e">
        <f>+#REF!</f>
        <v>#REF!</v>
      </c>
      <c r="N213" s="22"/>
      <c r="O213" s="67" t="e">
        <f>+#REF!</f>
        <v>#REF!</v>
      </c>
      <c r="P213" s="68" t="e">
        <f>+#REF!</f>
        <v>#REF!</v>
      </c>
      <c r="Q213" s="59">
        <f t="shared" si="38"/>
        <v>0</v>
      </c>
      <c r="R213" s="60" t="e">
        <f t="shared" si="38"/>
        <v>#REF!</v>
      </c>
      <c r="S213" s="62" t="e">
        <f t="shared" si="38"/>
        <v>#REF!</v>
      </c>
      <c r="T213" s="161" t="e">
        <f t="shared" si="39"/>
        <v>#REF!</v>
      </c>
    </row>
    <row r="214" spans="1:20" s="15" customFormat="1" x14ac:dyDescent="0.25">
      <c r="A214" s="17" t="s">
        <v>218</v>
      </c>
      <c r="B214" s="18" t="s">
        <v>308</v>
      </c>
      <c r="C214" s="103" t="s">
        <v>302</v>
      </c>
      <c r="D214" s="86" t="s">
        <v>132</v>
      </c>
      <c r="E214" s="27">
        <v>3</v>
      </c>
      <c r="F214" s="27">
        <v>12</v>
      </c>
      <c r="G214" s="28">
        <v>16234</v>
      </c>
      <c r="H214" s="22"/>
      <c r="I214" s="20" t="e">
        <f>+#REF!</f>
        <v>#REF!</v>
      </c>
      <c r="J214" s="24" t="e">
        <f>+#REF!</f>
        <v>#REF!</v>
      </c>
      <c r="K214" s="22"/>
      <c r="L214" s="67" t="e">
        <f>+#REF!</f>
        <v>#REF!</v>
      </c>
      <c r="M214" s="68" t="e">
        <f>+#REF!</f>
        <v>#REF!</v>
      </c>
      <c r="N214" s="22"/>
      <c r="O214" s="67" t="e">
        <f>+#REF!</f>
        <v>#REF!</v>
      </c>
      <c r="P214" s="68" t="e">
        <f>+#REF!</f>
        <v>#REF!</v>
      </c>
      <c r="Q214" s="59">
        <f t="shared" si="38"/>
        <v>0</v>
      </c>
      <c r="R214" s="60" t="e">
        <f t="shared" si="38"/>
        <v>#REF!</v>
      </c>
      <c r="S214" s="62" t="e">
        <f t="shared" si="38"/>
        <v>#REF!</v>
      </c>
      <c r="T214" s="161" t="e">
        <f t="shared" si="39"/>
        <v>#REF!</v>
      </c>
    </row>
    <row r="215" spans="1:20" s="15" customFormat="1" x14ac:dyDescent="0.25">
      <c r="A215" s="17" t="s">
        <v>218</v>
      </c>
      <c r="B215" s="18" t="s">
        <v>350</v>
      </c>
      <c r="C215" s="103" t="s">
        <v>309</v>
      </c>
      <c r="D215" s="86" t="s">
        <v>36</v>
      </c>
      <c r="E215" s="27">
        <v>95</v>
      </c>
      <c r="F215" s="27">
        <v>12</v>
      </c>
      <c r="G215" s="28">
        <v>3260</v>
      </c>
      <c r="H215" s="22"/>
      <c r="I215" s="20" t="e">
        <f>+#REF!</f>
        <v>#REF!</v>
      </c>
      <c r="J215" s="24"/>
      <c r="K215" s="22"/>
      <c r="L215" s="67" t="e">
        <f>+#REF!</f>
        <v>#REF!</v>
      </c>
      <c r="M215" s="68"/>
      <c r="N215" s="22"/>
      <c r="O215" s="67" t="e">
        <f>+#REF!</f>
        <v>#REF!</v>
      </c>
      <c r="P215" s="68"/>
      <c r="Q215" s="59">
        <f t="shared" si="38"/>
        <v>0</v>
      </c>
      <c r="R215" s="60" t="e">
        <f t="shared" si="38"/>
        <v>#REF!</v>
      </c>
      <c r="S215" s="62">
        <f t="shared" si="38"/>
        <v>0</v>
      </c>
      <c r="T215" s="161" t="e">
        <f t="shared" si="39"/>
        <v>#REF!</v>
      </c>
    </row>
    <row r="216" spans="1:20" s="15" customFormat="1" ht="30" x14ac:dyDescent="0.25">
      <c r="A216" s="17" t="s">
        <v>218</v>
      </c>
      <c r="B216" s="18" t="s">
        <v>34</v>
      </c>
      <c r="C216" s="103" t="s">
        <v>315</v>
      </c>
      <c r="D216" s="86" t="s">
        <v>240</v>
      </c>
      <c r="E216" s="27"/>
      <c r="F216" s="27"/>
      <c r="G216" s="28"/>
      <c r="H216" s="22">
        <f>20886.705396*0.6</f>
        <v>12532.0232376</v>
      </c>
      <c r="I216" s="20">
        <f>20887*0.4</f>
        <v>8354.8000000000011</v>
      </c>
      <c r="J216" s="24">
        <v>0</v>
      </c>
      <c r="K216" s="22">
        <f>25064.0464752*0.6</f>
        <v>15038.42788512</v>
      </c>
      <c r="L216" s="67">
        <f>25064.05*0.4</f>
        <v>10025.620000000001</v>
      </c>
      <c r="M216" s="68">
        <v>0</v>
      </c>
      <c r="N216" s="22">
        <f>32583.26041776*0.6</f>
        <v>19549.956250656</v>
      </c>
      <c r="O216" s="67">
        <f>32583*0.4</f>
        <v>13033.2</v>
      </c>
      <c r="P216" s="68">
        <v>0</v>
      </c>
      <c r="Q216" s="59">
        <f t="shared" si="38"/>
        <v>47120.407373375994</v>
      </c>
      <c r="R216" s="60">
        <f t="shared" si="38"/>
        <v>31413.620000000003</v>
      </c>
      <c r="S216" s="62">
        <f t="shared" si="38"/>
        <v>0</v>
      </c>
      <c r="T216" s="161">
        <f t="shared" si="39"/>
        <v>78534.027373375997</v>
      </c>
    </row>
    <row r="217" spans="1:20" x14ac:dyDescent="0.25">
      <c r="A217" s="49" t="s">
        <v>218</v>
      </c>
      <c r="B217" s="145" t="s">
        <v>320</v>
      </c>
      <c r="C217" s="107"/>
      <c r="D217" s="153"/>
      <c r="E217" s="51"/>
      <c r="F217" s="51"/>
      <c r="G217" s="50"/>
      <c r="H217" s="52"/>
      <c r="I217" s="50"/>
      <c r="J217" s="53"/>
      <c r="K217" s="52"/>
      <c r="L217" s="50"/>
      <c r="M217" s="53"/>
      <c r="N217" s="52"/>
      <c r="O217" s="50"/>
      <c r="P217" s="53"/>
      <c r="Q217" s="52"/>
      <c r="R217" s="50"/>
      <c r="S217" s="50"/>
      <c r="T217" s="54"/>
    </row>
    <row r="218" spans="1:20" s="15" customFormat="1" x14ac:dyDescent="0.25">
      <c r="A218" s="17" t="s">
        <v>218</v>
      </c>
      <c r="B218" s="18" t="s">
        <v>310</v>
      </c>
      <c r="C218" s="103" t="s">
        <v>311</v>
      </c>
      <c r="D218" s="86" t="s">
        <v>133</v>
      </c>
      <c r="E218" s="27"/>
      <c r="F218" s="27"/>
      <c r="G218" s="28"/>
      <c r="H218" s="22">
        <v>146664.79999999999</v>
      </c>
      <c r="I218" s="20"/>
      <c r="J218" s="24"/>
      <c r="K218" s="22">
        <v>175997.75999999998</v>
      </c>
      <c r="L218" s="67"/>
      <c r="M218" s="68"/>
      <c r="N218" s="22">
        <v>211197.31200000001</v>
      </c>
      <c r="O218" s="67"/>
      <c r="P218" s="68"/>
      <c r="Q218" s="59">
        <f t="shared" ref="Q218:S218" si="40">+N218+K218+H218</f>
        <v>533859.87199999997</v>
      </c>
      <c r="R218" s="60">
        <f t="shared" si="40"/>
        <v>0</v>
      </c>
      <c r="S218" s="62">
        <f t="shared" si="40"/>
        <v>0</v>
      </c>
      <c r="T218" s="161">
        <f t="shared" si="39"/>
        <v>533859.87199999997</v>
      </c>
    </row>
    <row r="219" spans="1:20" x14ac:dyDescent="0.25">
      <c r="A219" s="49" t="s">
        <v>218</v>
      </c>
      <c r="B219" s="145" t="s">
        <v>321</v>
      </c>
      <c r="C219" s="107"/>
      <c r="D219" s="153"/>
      <c r="E219" s="51"/>
      <c r="F219" s="51"/>
      <c r="G219" s="50"/>
      <c r="H219" s="52"/>
      <c r="I219" s="50"/>
      <c r="J219" s="53"/>
      <c r="K219" s="52"/>
      <c r="L219" s="50"/>
      <c r="M219" s="53"/>
      <c r="N219" s="52"/>
      <c r="O219" s="50"/>
      <c r="P219" s="53"/>
      <c r="Q219" s="52"/>
      <c r="R219" s="50"/>
      <c r="S219" s="50"/>
      <c r="T219" s="54"/>
    </row>
    <row r="220" spans="1:20" s="15" customFormat="1" ht="30" x14ac:dyDescent="0.25">
      <c r="A220" s="17" t="s">
        <v>218</v>
      </c>
      <c r="B220" s="18" t="s">
        <v>34</v>
      </c>
      <c r="C220" s="103" t="s">
        <v>312</v>
      </c>
      <c r="D220" s="86" t="s">
        <v>136</v>
      </c>
      <c r="E220" s="27"/>
      <c r="F220" s="27"/>
      <c r="G220" s="28"/>
      <c r="H220" s="22">
        <v>573448.30514013604</v>
      </c>
      <c r="I220" s="20">
        <v>0</v>
      </c>
      <c r="J220" s="24">
        <v>0</v>
      </c>
      <c r="K220" s="22">
        <v>688137.96616816323</v>
      </c>
      <c r="L220" s="67"/>
      <c r="M220" s="68"/>
      <c r="N220" s="22">
        <v>773168.00764331198</v>
      </c>
      <c r="O220" s="67"/>
      <c r="P220" s="68"/>
      <c r="Q220" s="59">
        <f t="shared" ref="Q220:S223" si="41">+N220+K220+H220</f>
        <v>2034754.2789516111</v>
      </c>
      <c r="R220" s="60">
        <f t="shared" si="41"/>
        <v>0</v>
      </c>
      <c r="S220" s="62">
        <f t="shared" si="41"/>
        <v>0</v>
      </c>
      <c r="T220" s="161">
        <f t="shared" si="39"/>
        <v>2034754.2789516111</v>
      </c>
    </row>
    <row r="221" spans="1:20" s="15" customFormat="1" ht="30" x14ac:dyDescent="0.25">
      <c r="A221" s="17" t="s">
        <v>218</v>
      </c>
      <c r="B221" s="18" t="s">
        <v>8</v>
      </c>
      <c r="C221" s="103" t="s">
        <v>313</v>
      </c>
      <c r="D221" s="86" t="s">
        <v>136</v>
      </c>
      <c r="E221" s="27"/>
      <c r="F221" s="27"/>
      <c r="G221" s="28"/>
      <c r="H221" s="22">
        <v>8000</v>
      </c>
      <c r="I221" s="20">
        <v>0</v>
      </c>
      <c r="J221" s="24">
        <v>0</v>
      </c>
      <c r="K221" s="22">
        <v>8000</v>
      </c>
      <c r="L221" s="67"/>
      <c r="M221" s="68"/>
      <c r="N221" s="22">
        <v>8000</v>
      </c>
      <c r="O221" s="67"/>
      <c r="P221" s="68"/>
      <c r="Q221" s="59">
        <f t="shared" si="41"/>
        <v>24000</v>
      </c>
      <c r="R221" s="60">
        <f t="shared" si="41"/>
        <v>0</v>
      </c>
      <c r="S221" s="62">
        <f t="shared" si="41"/>
        <v>0</v>
      </c>
      <c r="T221" s="161">
        <f t="shared" si="39"/>
        <v>24000</v>
      </c>
    </row>
    <row r="222" spans="1:20" s="15" customFormat="1" x14ac:dyDescent="0.25">
      <c r="A222" s="17" t="s">
        <v>218</v>
      </c>
      <c r="B222" s="18" t="s">
        <v>9</v>
      </c>
      <c r="C222" s="103" t="s">
        <v>314</v>
      </c>
      <c r="D222" s="86" t="s">
        <v>136</v>
      </c>
      <c r="E222" s="27"/>
      <c r="F222" s="27"/>
      <c r="G222" s="28"/>
      <c r="H222" s="22">
        <v>550960.13631111116</v>
      </c>
      <c r="I222" s="20">
        <v>0</v>
      </c>
      <c r="J222" s="24">
        <v>0</v>
      </c>
      <c r="K222" s="22">
        <v>661152.1635733333</v>
      </c>
      <c r="L222" s="67"/>
      <c r="M222" s="68"/>
      <c r="N222" s="22">
        <v>848862.77762237762</v>
      </c>
      <c r="O222" s="67"/>
      <c r="P222" s="68"/>
      <c r="Q222" s="59">
        <f t="shared" si="41"/>
        <v>2060975.0775068221</v>
      </c>
      <c r="R222" s="60">
        <f t="shared" si="41"/>
        <v>0</v>
      </c>
      <c r="S222" s="62">
        <f t="shared" si="41"/>
        <v>0</v>
      </c>
      <c r="T222" s="161">
        <f t="shared" si="39"/>
        <v>2060975.0775068221</v>
      </c>
    </row>
    <row r="223" spans="1:20" s="15" customFormat="1" x14ac:dyDescent="0.25">
      <c r="A223" s="17" t="s">
        <v>218</v>
      </c>
      <c r="B223" s="18" t="s">
        <v>20</v>
      </c>
      <c r="C223" s="103" t="s">
        <v>39</v>
      </c>
      <c r="D223" s="86" t="s">
        <v>135</v>
      </c>
      <c r="E223" s="27"/>
      <c r="F223" s="27"/>
      <c r="G223" s="28"/>
      <c r="H223" s="22">
        <v>20000</v>
      </c>
      <c r="I223" s="20"/>
      <c r="J223" s="24"/>
      <c r="K223" s="22">
        <v>20000</v>
      </c>
      <c r="L223" s="67"/>
      <c r="M223" s="68"/>
      <c r="N223" s="22">
        <v>20000</v>
      </c>
      <c r="O223" s="67"/>
      <c r="P223" s="68"/>
      <c r="Q223" s="59">
        <f t="shared" si="41"/>
        <v>60000</v>
      </c>
      <c r="R223" s="60">
        <f t="shared" si="41"/>
        <v>0</v>
      </c>
      <c r="S223" s="62">
        <f t="shared" si="41"/>
        <v>0</v>
      </c>
      <c r="T223" s="161">
        <f t="shared" si="39"/>
        <v>60000</v>
      </c>
    </row>
    <row r="224" spans="1:20" x14ac:dyDescent="0.25">
      <c r="A224" s="49" t="s">
        <v>218</v>
      </c>
      <c r="B224" s="145" t="s">
        <v>381</v>
      </c>
      <c r="C224" s="107"/>
      <c r="D224" s="153"/>
      <c r="E224" s="51"/>
      <c r="F224" s="51"/>
      <c r="G224" s="50"/>
      <c r="H224" s="52"/>
      <c r="I224" s="50"/>
      <c r="J224" s="53"/>
      <c r="K224" s="52"/>
      <c r="L224" s="50"/>
      <c r="M224" s="53"/>
      <c r="N224" s="52"/>
      <c r="O224" s="50"/>
      <c r="P224" s="53"/>
      <c r="Q224" s="52"/>
      <c r="R224" s="50"/>
      <c r="S224" s="50"/>
      <c r="T224" s="54"/>
    </row>
    <row r="225" spans="1:20" s="15" customFormat="1" x14ac:dyDescent="0.25">
      <c r="A225" s="17" t="s">
        <v>218</v>
      </c>
      <c r="B225" s="18" t="s">
        <v>10</v>
      </c>
      <c r="C225" s="103" t="s">
        <v>316</v>
      </c>
      <c r="D225" s="86" t="s">
        <v>135</v>
      </c>
      <c r="E225" s="27"/>
      <c r="F225" s="27"/>
      <c r="G225" s="28"/>
      <c r="H225" s="22">
        <v>164670.264456</v>
      </c>
      <c r="I225" s="20">
        <v>38000</v>
      </c>
      <c r="J225" s="24">
        <v>0</v>
      </c>
      <c r="K225" s="22">
        <v>197604.31734720001</v>
      </c>
      <c r="L225" s="67">
        <v>45600</v>
      </c>
      <c r="M225" s="68">
        <v>0</v>
      </c>
      <c r="N225" s="22">
        <v>256885.61266666665</v>
      </c>
      <c r="O225" s="67">
        <v>54666.666666666664</v>
      </c>
      <c r="P225" s="68">
        <v>0</v>
      </c>
      <c r="Q225" s="59">
        <f t="shared" ref="Q225:S225" si="42">+N225+K225+H225</f>
        <v>619160.19446986658</v>
      </c>
      <c r="R225" s="60">
        <f t="shared" si="42"/>
        <v>138266.66666666666</v>
      </c>
      <c r="S225" s="62">
        <f t="shared" si="42"/>
        <v>0</v>
      </c>
      <c r="T225" s="161">
        <f t="shared" si="39"/>
        <v>757426.8611365332</v>
      </c>
    </row>
    <row r="226" spans="1:20" x14ac:dyDescent="0.25">
      <c r="A226" s="49" t="s">
        <v>218</v>
      </c>
      <c r="B226" s="145" t="s">
        <v>322</v>
      </c>
      <c r="C226" s="107"/>
      <c r="D226" s="153"/>
      <c r="E226" s="51"/>
      <c r="F226" s="51"/>
      <c r="G226" s="50"/>
      <c r="H226" s="52"/>
      <c r="I226" s="50"/>
      <c r="J226" s="53"/>
      <c r="K226" s="52"/>
      <c r="L226" s="50"/>
      <c r="M226" s="53"/>
      <c r="N226" s="52"/>
      <c r="O226" s="50"/>
      <c r="P226" s="53"/>
      <c r="Q226" s="52"/>
      <c r="R226" s="50"/>
      <c r="S226" s="50"/>
      <c r="T226" s="54"/>
    </row>
    <row r="227" spans="1:20" s="15" customFormat="1" x14ac:dyDescent="0.25">
      <c r="A227" s="17" t="s">
        <v>218</v>
      </c>
      <c r="B227" s="18" t="s">
        <v>317</v>
      </c>
      <c r="C227" s="103" t="s">
        <v>318</v>
      </c>
      <c r="D227" s="86" t="s">
        <v>383</v>
      </c>
      <c r="E227" s="27"/>
      <c r="F227" s="27"/>
      <c r="G227" s="28"/>
      <c r="H227" s="22">
        <v>719410.20888888882</v>
      </c>
      <c r="I227" s="20"/>
      <c r="J227" s="24"/>
      <c r="K227" s="22">
        <v>719410.20888888882</v>
      </c>
      <c r="L227" s="67"/>
      <c r="M227" s="68"/>
      <c r="N227" s="22">
        <v>719410.20888888882</v>
      </c>
      <c r="O227" s="67"/>
      <c r="P227" s="68"/>
      <c r="Q227" s="59">
        <f t="shared" ref="Q227:S228" si="43">+N227+K227+H227</f>
        <v>2158230.6266666665</v>
      </c>
      <c r="R227" s="60">
        <f t="shared" si="43"/>
        <v>0</v>
      </c>
      <c r="S227" s="62">
        <f t="shared" si="43"/>
        <v>0</v>
      </c>
      <c r="T227" s="161">
        <f t="shared" si="39"/>
        <v>2158230.6266666665</v>
      </c>
    </row>
    <row r="228" spans="1:20" s="115" customFormat="1" hidden="1" x14ac:dyDescent="0.25">
      <c r="A228" s="116" t="s">
        <v>351</v>
      </c>
      <c r="B228" s="148"/>
      <c r="C228" s="148"/>
      <c r="D228" s="156"/>
      <c r="E228" s="117"/>
      <c r="F228" s="117"/>
      <c r="G228" s="118"/>
      <c r="H228" s="119">
        <f>SUM(H157:H227)</f>
        <v>25364035.971555777</v>
      </c>
      <c r="I228" s="119" t="e">
        <f t="shared" ref="I228:P228" si="44">SUM(I157:I227)</f>
        <v>#REF!</v>
      </c>
      <c r="J228" s="119" t="e">
        <f t="shared" si="44"/>
        <v>#REF!</v>
      </c>
      <c r="K228" s="119">
        <f t="shared" si="44"/>
        <v>16836743.546619132</v>
      </c>
      <c r="L228" s="119" t="e">
        <f t="shared" si="44"/>
        <v>#REF!</v>
      </c>
      <c r="M228" s="119" t="e">
        <f t="shared" si="44"/>
        <v>#REF!</v>
      </c>
      <c r="N228" s="119">
        <f t="shared" si="44"/>
        <v>12269275.676909517</v>
      </c>
      <c r="O228" s="119" t="e">
        <f t="shared" si="44"/>
        <v>#REF!</v>
      </c>
      <c r="P228" s="119" t="e">
        <f t="shared" si="44"/>
        <v>#REF!</v>
      </c>
      <c r="Q228" s="119">
        <f>+N228+K228+H228</f>
        <v>54470055.195084423</v>
      </c>
      <c r="R228" s="120" t="e">
        <f>+O228+L228+I228</f>
        <v>#REF!</v>
      </c>
      <c r="S228" s="122" t="e">
        <f t="shared" si="43"/>
        <v>#REF!</v>
      </c>
      <c r="T228" s="124" t="e">
        <f t="shared" si="39"/>
        <v>#REF!</v>
      </c>
    </row>
    <row r="229" spans="1:20" s="115" customFormat="1" hidden="1" x14ac:dyDescent="0.25">
      <c r="A229" s="125"/>
      <c r="B229" s="149" t="s">
        <v>323</v>
      </c>
      <c r="C229" s="149"/>
      <c r="D229" s="149"/>
      <c r="E229" s="126"/>
      <c r="F229" s="127"/>
      <c r="G229" s="128"/>
      <c r="H229" s="129"/>
      <c r="I229" s="130"/>
      <c r="J229" s="131"/>
      <c r="K229" s="132"/>
      <c r="L229" s="130"/>
      <c r="M229" s="131"/>
      <c r="N229" s="132"/>
      <c r="O229" s="130"/>
      <c r="P229" s="131"/>
      <c r="Q229" s="132"/>
      <c r="R229" s="130"/>
      <c r="S229" s="133"/>
      <c r="T229" s="134"/>
    </row>
    <row r="230" spans="1:20" hidden="1" x14ac:dyDescent="0.25">
      <c r="A230" s="49"/>
      <c r="B230" s="145" t="s">
        <v>324</v>
      </c>
      <c r="C230" s="107"/>
      <c r="D230" s="153"/>
      <c r="E230" s="51"/>
      <c r="F230" s="51"/>
      <c r="G230" s="50"/>
      <c r="H230" s="52"/>
      <c r="I230" s="50"/>
      <c r="J230" s="53"/>
      <c r="K230" s="52"/>
      <c r="L230" s="50"/>
      <c r="M230" s="53"/>
      <c r="N230" s="52"/>
      <c r="O230" s="50"/>
      <c r="P230" s="53"/>
      <c r="Q230" s="52"/>
      <c r="R230" s="50"/>
      <c r="S230" s="50"/>
      <c r="T230" s="54"/>
    </row>
    <row r="231" spans="1:20" s="15" customFormat="1" hidden="1" x14ac:dyDescent="0.25">
      <c r="A231" s="17" t="s">
        <v>323</v>
      </c>
      <c r="B231" s="18" t="s">
        <v>369</v>
      </c>
      <c r="C231" s="103" t="s">
        <v>132</v>
      </c>
      <c r="D231" s="86" t="s">
        <v>132</v>
      </c>
      <c r="E231" s="27">
        <v>5</v>
      </c>
      <c r="F231" s="27"/>
      <c r="G231" s="28"/>
      <c r="H231" s="22"/>
      <c r="I231" s="20">
        <v>12563.2</v>
      </c>
      <c r="J231" s="24">
        <v>51345.08</v>
      </c>
      <c r="K231" s="22"/>
      <c r="L231" s="67">
        <v>15704</v>
      </c>
      <c r="M231" s="68">
        <v>64181.35</v>
      </c>
      <c r="N231" s="22"/>
      <c r="O231" s="67">
        <v>19630</v>
      </c>
      <c r="P231" s="68">
        <v>80226.6875</v>
      </c>
      <c r="Q231" s="59">
        <f t="shared" ref="Q231:S243" si="45">+N231+K231+H231</f>
        <v>0</v>
      </c>
      <c r="R231" s="60">
        <f t="shared" si="45"/>
        <v>47897.2</v>
      </c>
      <c r="S231" s="62">
        <f t="shared" si="45"/>
        <v>195753.11749999999</v>
      </c>
      <c r="T231" s="161">
        <f t="shared" si="39"/>
        <v>243650.3175</v>
      </c>
    </row>
    <row r="232" spans="1:20" s="15" customFormat="1" hidden="1" x14ac:dyDescent="0.25">
      <c r="A232" s="17" t="s">
        <v>323</v>
      </c>
      <c r="B232" s="18" t="s">
        <v>370</v>
      </c>
      <c r="C232" s="103" t="s">
        <v>132</v>
      </c>
      <c r="D232" s="86" t="s">
        <v>132</v>
      </c>
      <c r="E232" s="27">
        <v>29</v>
      </c>
      <c r="F232" s="27"/>
      <c r="G232" s="28"/>
      <c r="H232" s="22"/>
      <c r="I232" s="20">
        <v>270845.12</v>
      </c>
      <c r="J232" s="24">
        <v>109472.73599999999</v>
      </c>
      <c r="K232" s="22"/>
      <c r="L232" s="67">
        <v>338556.39999999997</v>
      </c>
      <c r="M232" s="68">
        <v>136840.91999999998</v>
      </c>
      <c r="N232" s="22"/>
      <c r="O232" s="67">
        <v>423195.5</v>
      </c>
      <c r="P232" s="68">
        <v>171051.15</v>
      </c>
      <c r="Q232" s="59">
        <f t="shared" si="45"/>
        <v>0</v>
      </c>
      <c r="R232" s="60">
        <f t="shared" si="45"/>
        <v>1032597.0199999999</v>
      </c>
      <c r="S232" s="62">
        <f t="shared" si="45"/>
        <v>417364.80599999992</v>
      </c>
      <c r="T232" s="161">
        <f t="shared" si="39"/>
        <v>1449961.8259999999</v>
      </c>
    </row>
    <row r="233" spans="1:20" s="15" customFormat="1" hidden="1" x14ac:dyDescent="0.25">
      <c r="A233" s="17" t="s">
        <v>323</v>
      </c>
      <c r="B233" s="18" t="s">
        <v>371</v>
      </c>
      <c r="C233" s="103" t="s">
        <v>132</v>
      </c>
      <c r="D233" s="86" t="s">
        <v>132</v>
      </c>
      <c r="E233" s="27">
        <v>12</v>
      </c>
      <c r="F233" s="27"/>
      <c r="G233" s="28"/>
      <c r="H233" s="22"/>
      <c r="I233" s="20">
        <v>15705.04</v>
      </c>
      <c r="J233" s="24">
        <v>148722.53599999999</v>
      </c>
      <c r="K233" s="22"/>
      <c r="L233" s="67">
        <v>19631.300000000003</v>
      </c>
      <c r="M233" s="68">
        <v>185903.17</v>
      </c>
      <c r="N233" s="22"/>
      <c r="O233" s="67">
        <v>24539.125000000004</v>
      </c>
      <c r="P233" s="68">
        <v>232378.96249999999</v>
      </c>
      <c r="Q233" s="59">
        <f t="shared" si="45"/>
        <v>0</v>
      </c>
      <c r="R233" s="60">
        <f t="shared" si="45"/>
        <v>59875.465000000004</v>
      </c>
      <c r="S233" s="62">
        <f t="shared" si="45"/>
        <v>567004.66850000003</v>
      </c>
      <c r="T233" s="161">
        <f t="shared" si="39"/>
        <v>626880.1335</v>
      </c>
    </row>
    <row r="234" spans="1:20" s="15" customFormat="1" hidden="1" x14ac:dyDescent="0.25">
      <c r="A234" s="17" t="s">
        <v>323</v>
      </c>
      <c r="B234" s="18" t="s">
        <v>372</v>
      </c>
      <c r="C234" s="103" t="s">
        <v>132</v>
      </c>
      <c r="D234" s="86" t="s">
        <v>132</v>
      </c>
      <c r="E234" s="27">
        <v>5</v>
      </c>
      <c r="F234" s="27"/>
      <c r="G234" s="28"/>
      <c r="H234" s="22"/>
      <c r="I234" s="20">
        <v>31606.640000000003</v>
      </c>
      <c r="J234" s="24">
        <v>19939.231999999996</v>
      </c>
      <c r="K234" s="22"/>
      <c r="L234" s="67">
        <v>39508.300000000003</v>
      </c>
      <c r="M234" s="68">
        <v>24924.039999999997</v>
      </c>
      <c r="N234" s="22"/>
      <c r="O234" s="67">
        <v>49385.375</v>
      </c>
      <c r="P234" s="68">
        <v>31155.049999999996</v>
      </c>
      <c r="Q234" s="59">
        <f t="shared" si="45"/>
        <v>0</v>
      </c>
      <c r="R234" s="60">
        <f t="shared" si="45"/>
        <v>120500.315</v>
      </c>
      <c r="S234" s="62">
        <f t="shared" si="45"/>
        <v>76018.321999999986</v>
      </c>
      <c r="T234" s="161">
        <f t="shared" si="39"/>
        <v>196518.63699999999</v>
      </c>
    </row>
    <row r="235" spans="1:20" s="15" customFormat="1" hidden="1" x14ac:dyDescent="0.25">
      <c r="A235" s="17" t="s">
        <v>323</v>
      </c>
      <c r="B235" s="18" t="s">
        <v>373</v>
      </c>
      <c r="C235" s="103" t="s">
        <v>132</v>
      </c>
      <c r="D235" s="86" t="s">
        <v>132</v>
      </c>
      <c r="E235" s="27">
        <v>11</v>
      </c>
      <c r="F235" s="27"/>
      <c r="G235" s="28"/>
      <c r="H235" s="22"/>
      <c r="I235" s="20">
        <v>93049.84</v>
      </c>
      <c r="J235" s="24">
        <v>38065.983999999997</v>
      </c>
      <c r="K235" s="22"/>
      <c r="L235" s="67">
        <v>116312.3</v>
      </c>
      <c r="M235" s="68">
        <v>47582.479999999996</v>
      </c>
      <c r="N235" s="22"/>
      <c r="O235" s="67">
        <v>145390.375</v>
      </c>
      <c r="P235" s="68">
        <v>59478.1</v>
      </c>
      <c r="Q235" s="59">
        <f t="shared" si="45"/>
        <v>0</v>
      </c>
      <c r="R235" s="60">
        <f t="shared" si="45"/>
        <v>354752.51500000001</v>
      </c>
      <c r="S235" s="62">
        <f t="shared" si="45"/>
        <v>145126.56399999998</v>
      </c>
      <c r="T235" s="161">
        <f t="shared" si="39"/>
        <v>499879.07900000003</v>
      </c>
    </row>
    <row r="236" spans="1:20" s="15" customFormat="1" hidden="1" x14ac:dyDescent="0.25">
      <c r="A236" s="17" t="s">
        <v>323</v>
      </c>
      <c r="B236" s="18" t="s">
        <v>374</v>
      </c>
      <c r="C236" s="103" t="s">
        <v>132</v>
      </c>
      <c r="D236" s="86" t="s">
        <v>132</v>
      </c>
      <c r="E236" s="27">
        <v>17</v>
      </c>
      <c r="F236" s="27"/>
      <c r="G236" s="28"/>
      <c r="H236" s="22"/>
      <c r="I236" s="20">
        <v>194152.40000000002</v>
      </c>
      <c r="J236" s="24">
        <v>61426.080000000002</v>
      </c>
      <c r="K236" s="22"/>
      <c r="L236" s="67">
        <v>242690.50000000003</v>
      </c>
      <c r="M236" s="68">
        <v>76782.600000000006</v>
      </c>
      <c r="N236" s="22"/>
      <c r="O236" s="67">
        <v>303363.125</v>
      </c>
      <c r="P236" s="68">
        <v>95978.25</v>
      </c>
      <c r="Q236" s="59">
        <f t="shared" si="45"/>
        <v>0</v>
      </c>
      <c r="R236" s="60">
        <f t="shared" si="45"/>
        <v>740206.02500000002</v>
      </c>
      <c r="S236" s="62">
        <f t="shared" si="45"/>
        <v>234186.93</v>
      </c>
      <c r="T236" s="161">
        <f t="shared" si="39"/>
        <v>974392.95500000007</v>
      </c>
    </row>
    <row r="237" spans="1:20" s="15" customFormat="1" hidden="1" x14ac:dyDescent="0.25">
      <c r="A237" s="17" t="s">
        <v>323</v>
      </c>
      <c r="B237" s="18" t="s">
        <v>375</v>
      </c>
      <c r="C237" s="103" t="s">
        <v>132</v>
      </c>
      <c r="D237" s="86" t="s">
        <v>132</v>
      </c>
      <c r="E237" s="27">
        <v>20</v>
      </c>
      <c r="F237" s="27"/>
      <c r="G237" s="28"/>
      <c r="H237" s="22"/>
      <c r="I237" s="20">
        <v>233415.52000000005</v>
      </c>
      <c r="J237" s="24">
        <v>61067.24</v>
      </c>
      <c r="K237" s="22"/>
      <c r="L237" s="67">
        <v>291769.40000000002</v>
      </c>
      <c r="M237" s="68">
        <v>76334.05</v>
      </c>
      <c r="N237" s="22"/>
      <c r="O237" s="67">
        <v>364711.75</v>
      </c>
      <c r="P237" s="68">
        <v>95417.5625</v>
      </c>
      <c r="Q237" s="59">
        <f t="shared" si="45"/>
        <v>0</v>
      </c>
      <c r="R237" s="60">
        <f t="shared" si="45"/>
        <v>889896.67</v>
      </c>
      <c r="S237" s="62">
        <f t="shared" si="45"/>
        <v>232818.85249999998</v>
      </c>
      <c r="T237" s="161">
        <f t="shared" si="39"/>
        <v>1122715.5225</v>
      </c>
    </row>
    <row r="238" spans="1:20" s="15" customFormat="1" hidden="1" x14ac:dyDescent="0.25">
      <c r="A238" s="17" t="s">
        <v>323</v>
      </c>
      <c r="B238" s="18" t="s">
        <v>376</v>
      </c>
      <c r="C238" s="103" t="s">
        <v>132</v>
      </c>
      <c r="D238" s="86" t="s">
        <v>132</v>
      </c>
      <c r="E238" s="27">
        <v>9</v>
      </c>
      <c r="F238" s="27"/>
      <c r="G238" s="28"/>
      <c r="H238" s="22"/>
      <c r="I238" s="20">
        <v>73420.88</v>
      </c>
      <c r="J238" s="24">
        <v>80406.240000000005</v>
      </c>
      <c r="K238" s="22"/>
      <c r="L238" s="67">
        <v>91776.1</v>
      </c>
      <c r="M238" s="68">
        <v>100507.8</v>
      </c>
      <c r="N238" s="22"/>
      <c r="O238" s="67">
        <v>114720.125</v>
      </c>
      <c r="P238" s="68">
        <v>125634.75</v>
      </c>
      <c r="Q238" s="59">
        <f t="shared" si="45"/>
        <v>0</v>
      </c>
      <c r="R238" s="60">
        <f t="shared" si="45"/>
        <v>279917.10499999998</v>
      </c>
      <c r="S238" s="62">
        <f t="shared" si="45"/>
        <v>306548.78999999998</v>
      </c>
      <c r="T238" s="161">
        <f t="shared" si="39"/>
        <v>586465.89500000002</v>
      </c>
    </row>
    <row r="239" spans="1:20" s="15" customFormat="1" hidden="1" x14ac:dyDescent="0.25">
      <c r="A239" s="17" t="s">
        <v>323</v>
      </c>
      <c r="B239" s="18" t="s">
        <v>377</v>
      </c>
      <c r="C239" s="103" t="s">
        <v>132</v>
      </c>
      <c r="D239" s="86" t="s">
        <v>132</v>
      </c>
      <c r="E239" s="27">
        <v>7</v>
      </c>
      <c r="F239" s="27"/>
      <c r="G239" s="28"/>
      <c r="H239" s="22"/>
      <c r="I239" s="20">
        <v>74599.200000000012</v>
      </c>
      <c r="J239" s="24">
        <v>40939.623999999996</v>
      </c>
      <c r="K239" s="22"/>
      <c r="L239" s="67">
        <v>93249</v>
      </c>
      <c r="M239" s="68">
        <v>51174.53</v>
      </c>
      <c r="N239" s="22"/>
      <c r="O239" s="67">
        <v>116561.25</v>
      </c>
      <c r="P239" s="68">
        <v>63968.162500000006</v>
      </c>
      <c r="Q239" s="59">
        <f t="shared" si="45"/>
        <v>0</v>
      </c>
      <c r="R239" s="60">
        <f t="shared" si="45"/>
        <v>284409.45</v>
      </c>
      <c r="S239" s="62">
        <f t="shared" si="45"/>
        <v>156082.31650000002</v>
      </c>
      <c r="T239" s="161">
        <f t="shared" si="39"/>
        <v>440491.76650000003</v>
      </c>
    </row>
    <row r="240" spans="1:20" s="15" customFormat="1" hidden="1" x14ac:dyDescent="0.25">
      <c r="A240" s="17" t="s">
        <v>323</v>
      </c>
      <c r="B240" s="18" t="s">
        <v>384</v>
      </c>
      <c r="C240" s="103" t="s">
        <v>132</v>
      </c>
      <c r="D240" s="86" t="s">
        <v>132</v>
      </c>
      <c r="E240" s="27">
        <v>24</v>
      </c>
      <c r="F240" s="27"/>
      <c r="G240" s="28"/>
      <c r="H240" s="22"/>
      <c r="I240" s="20" t="e">
        <f>+#REF!</f>
        <v>#REF!</v>
      </c>
      <c r="J240" s="24"/>
      <c r="K240" s="22"/>
      <c r="L240" s="67" t="e">
        <f>+#REF!</f>
        <v>#REF!</v>
      </c>
      <c r="M240" s="68"/>
      <c r="N240" s="22"/>
      <c r="O240" s="67" t="e">
        <f>+#REF!</f>
        <v>#REF!</v>
      </c>
      <c r="P240" s="68"/>
      <c r="Q240" s="59">
        <f t="shared" si="45"/>
        <v>0</v>
      </c>
      <c r="R240" s="60" t="e">
        <f t="shared" si="45"/>
        <v>#REF!</v>
      </c>
      <c r="S240" s="62">
        <f t="shared" si="45"/>
        <v>0</v>
      </c>
      <c r="T240" s="161" t="e">
        <f t="shared" si="39"/>
        <v>#REF!</v>
      </c>
    </row>
    <row r="241" spans="1:20" s="15" customFormat="1" hidden="1" x14ac:dyDescent="0.25">
      <c r="A241" s="17" t="s">
        <v>323</v>
      </c>
      <c r="B241" s="18" t="s">
        <v>349</v>
      </c>
      <c r="C241" s="103" t="s">
        <v>132</v>
      </c>
      <c r="D241" s="86" t="s">
        <v>132</v>
      </c>
      <c r="E241" s="27"/>
      <c r="F241" s="27"/>
      <c r="G241" s="28"/>
      <c r="H241" s="22"/>
      <c r="I241" s="20">
        <v>89361.702127659577</v>
      </c>
      <c r="J241" s="24"/>
      <c r="K241" s="22"/>
      <c r="L241" s="67">
        <v>112595.74468085107</v>
      </c>
      <c r="M241" s="68"/>
      <c r="N241" s="22"/>
      <c r="O241" s="67">
        <v>141870.63829787236</v>
      </c>
      <c r="P241" s="68"/>
      <c r="Q241" s="59">
        <f t="shared" si="45"/>
        <v>0</v>
      </c>
      <c r="R241" s="60">
        <f t="shared" si="45"/>
        <v>343828.08510638302</v>
      </c>
      <c r="S241" s="62">
        <f t="shared" si="45"/>
        <v>0</v>
      </c>
      <c r="T241" s="161">
        <f t="shared" si="39"/>
        <v>343828.08510638302</v>
      </c>
    </row>
    <row r="242" spans="1:20" s="15" customFormat="1" hidden="1" x14ac:dyDescent="0.25">
      <c r="A242" s="17" t="s">
        <v>323</v>
      </c>
      <c r="B242" s="18" t="s">
        <v>83</v>
      </c>
      <c r="C242" s="103" t="s">
        <v>36</v>
      </c>
      <c r="D242" s="86" t="s">
        <v>36</v>
      </c>
      <c r="E242" s="27"/>
      <c r="F242" s="27"/>
      <c r="G242" s="28"/>
      <c r="H242" s="22"/>
      <c r="I242" s="20" t="e">
        <f>+#REF!</f>
        <v>#REF!</v>
      </c>
      <c r="J242" s="24"/>
      <c r="K242" s="22"/>
      <c r="L242" s="67" t="e">
        <f>+#REF!</f>
        <v>#REF!</v>
      </c>
      <c r="M242" s="68"/>
      <c r="N242" s="22"/>
      <c r="O242" s="67" t="e">
        <f>+#REF!</f>
        <v>#REF!</v>
      </c>
      <c r="P242" s="68"/>
      <c r="Q242" s="59">
        <f t="shared" si="45"/>
        <v>0</v>
      </c>
      <c r="R242" s="60" t="e">
        <f t="shared" si="45"/>
        <v>#REF!</v>
      </c>
      <c r="S242" s="62">
        <f t="shared" si="45"/>
        <v>0</v>
      </c>
      <c r="T242" s="161" t="e">
        <f t="shared" si="39"/>
        <v>#REF!</v>
      </c>
    </row>
    <row r="243" spans="1:20" s="15" customFormat="1" hidden="1" x14ac:dyDescent="0.25">
      <c r="A243" s="17" t="s">
        <v>323</v>
      </c>
      <c r="B243" s="18" t="s">
        <v>34</v>
      </c>
      <c r="C243" s="103" t="s">
        <v>240</v>
      </c>
      <c r="D243" s="86" t="s">
        <v>240</v>
      </c>
      <c r="E243" s="27"/>
      <c r="F243" s="27"/>
      <c r="G243" s="28"/>
      <c r="H243" s="22">
        <f>61500*0.6</f>
        <v>36900</v>
      </c>
      <c r="I243" s="20">
        <f>61500*0.4</f>
        <v>24600</v>
      </c>
      <c r="J243" s="24"/>
      <c r="K243" s="22">
        <f>64575*0.6</f>
        <v>38745</v>
      </c>
      <c r="L243" s="67">
        <f>64575*0.4</f>
        <v>25830</v>
      </c>
      <c r="M243" s="68"/>
      <c r="N243" s="22">
        <f>67804*0.6</f>
        <v>40682.400000000001</v>
      </c>
      <c r="O243" s="67">
        <f>67804*0.4</f>
        <v>27121.600000000002</v>
      </c>
      <c r="P243" s="68"/>
      <c r="Q243" s="59">
        <f t="shared" si="45"/>
        <v>116327.4</v>
      </c>
      <c r="R243" s="60">
        <f t="shared" si="45"/>
        <v>77551.600000000006</v>
      </c>
      <c r="S243" s="62">
        <f t="shared" si="45"/>
        <v>0</v>
      </c>
      <c r="T243" s="161">
        <f t="shared" si="39"/>
        <v>193879</v>
      </c>
    </row>
    <row r="244" spans="1:20" hidden="1" x14ac:dyDescent="0.25">
      <c r="A244" s="49"/>
      <c r="B244" s="145" t="s">
        <v>325</v>
      </c>
      <c r="C244" s="107"/>
      <c r="D244" s="153"/>
      <c r="E244" s="51"/>
      <c r="F244" s="51"/>
      <c r="G244" s="50"/>
      <c r="H244" s="52"/>
      <c r="I244" s="50"/>
      <c r="J244" s="53"/>
      <c r="K244" s="52"/>
      <c r="L244" s="50"/>
      <c r="M244" s="53"/>
      <c r="N244" s="52"/>
      <c r="O244" s="50"/>
      <c r="P244" s="53"/>
      <c r="Q244" s="52"/>
      <c r="R244" s="50"/>
      <c r="S244" s="50"/>
      <c r="T244" s="54"/>
    </row>
    <row r="245" spans="1:20" s="15" customFormat="1" ht="30" hidden="1" x14ac:dyDescent="0.25">
      <c r="A245" s="17" t="s">
        <v>323</v>
      </c>
      <c r="B245" s="18" t="s">
        <v>326</v>
      </c>
      <c r="C245" s="103" t="s">
        <v>344</v>
      </c>
      <c r="D245" s="86" t="s">
        <v>327</v>
      </c>
      <c r="E245" s="27">
        <v>130</v>
      </c>
      <c r="F245" s="27"/>
      <c r="G245" s="28"/>
      <c r="H245" s="22">
        <v>7958600</v>
      </c>
      <c r="I245" s="20"/>
      <c r="J245" s="24"/>
      <c r="K245" s="22"/>
      <c r="L245" s="67"/>
      <c r="M245" s="68"/>
      <c r="N245" s="22"/>
      <c r="O245" s="67"/>
      <c r="P245" s="68"/>
      <c r="Q245" s="59">
        <f t="shared" ref="Q245:S249" si="46">+N245+K245+H245</f>
        <v>7958600</v>
      </c>
      <c r="R245" s="60">
        <f t="shared" si="46"/>
        <v>0</v>
      </c>
      <c r="S245" s="62">
        <f t="shared" si="46"/>
        <v>0</v>
      </c>
      <c r="T245" s="161">
        <f t="shared" si="39"/>
        <v>7958600</v>
      </c>
    </row>
    <row r="246" spans="1:20" s="15" customFormat="1" ht="30" hidden="1" x14ac:dyDescent="0.25">
      <c r="A246" s="17" t="s">
        <v>323</v>
      </c>
      <c r="B246" s="18" t="s">
        <v>326</v>
      </c>
      <c r="C246" s="103" t="s">
        <v>345</v>
      </c>
      <c r="D246" s="86" t="s">
        <v>327</v>
      </c>
      <c r="E246" s="27">
        <v>130</v>
      </c>
      <c r="F246" s="27"/>
      <c r="G246" s="28"/>
      <c r="H246" s="22">
        <v>5280600</v>
      </c>
      <c r="I246" s="20"/>
      <c r="J246" s="24"/>
      <c r="K246" s="22"/>
      <c r="L246" s="67"/>
      <c r="M246" s="68"/>
      <c r="N246" s="22"/>
      <c r="O246" s="67"/>
      <c r="P246" s="68"/>
      <c r="Q246" s="59">
        <f t="shared" si="46"/>
        <v>5280600</v>
      </c>
      <c r="R246" s="60">
        <f t="shared" si="46"/>
        <v>0</v>
      </c>
      <c r="S246" s="62">
        <f t="shared" si="46"/>
        <v>0</v>
      </c>
      <c r="T246" s="161">
        <f t="shared" si="39"/>
        <v>5280600</v>
      </c>
    </row>
    <row r="247" spans="1:20" s="15" customFormat="1" ht="30" hidden="1" x14ac:dyDescent="0.25">
      <c r="A247" s="17" t="s">
        <v>323</v>
      </c>
      <c r="B247" s="18" t="s">
        <v>326</v>
      </c>
      <c r="C247" s="103" t="s">
        <v>346</v>
      </c>
      <c r="D247" s="86" t="s">
        <v>327</v>
      </c>
      <c r="E247" s="27">
        <v>130</v>
      </c>
      <c r="F247" s="27"/>
      <c r="G247" s="28"/>
      <c r="H247" s="22">
        <v>2889950</v>
      </c>
      <c r="I247" s="20"/>
      <c r="J247" s="24"/>
      <c r="K247" s="22"/>
      <c r="L247" s="67"/>
      <c r="M247" s="68"/>
      <c r="N247" s="22"/>
      <c r="O247" s="67"/>
      <c r="P247" s="68"/>
      <c r="Q247" s="59">
        <f t="shared" si="46"/>
        <v>2889950</v>
      </c>
      <c r="R247" s="60">
        <f t="shared" si="46"/>
        <v>0</v>
      </c>
      <c r="S247" s="62">
        <f t="shared" si="46"/>
        <v>0</v>
      </c>
      <c r="T247" s="161">
        <f t="shared" si="39"/>
        <v>2889950</v>
      </c>
    </row>
    <row r="248" spans="1:20" s="15" customFormat="1" ht="30" hidden="1" x14ac:dyDescent="0.25">
      <c r="A248" s="17" t="s">
        <v>323</v>
      </c>
      <c r="B248" s="18" t="s">
        <v>326</v>
      </c>
      <c r="C248" s="103" t="s">
        <v>347</v>
      </c>
      <c r="D248" s="86" t="s">
        <v>327</v>
      </c>
      <c r="E248" s="27">
        <v>111</v>
      </c>
      <c r="F248" s="27"/>
      <c r="G248" s="28"/>
      <c r="H248" s="22">
        <v>12010990</v>
      </c>
      <c r="I248" s="20"/>
      <c r="J248" s="24"/>
      <c r="K248" s="22"/>
      <c r="L248" s="67"/>
      <c r="M248" s="68"/>
      <c r="N248" s="22"/>
      <c r="O248" s="67"/>
      <c r="P248" s="68"/>
      <c r="Q248" s="59">
        <f t="shared" si="46"/>
        <v>12010990</v>
      </c>
      <c r="R248" s="60">
        <f t="shared" si="46"/>
        <v>0</v>
      </c>
      <c r="S248" s="62">
        <f t="shared" si="46"/>
        <v>0</v>
      </c>
      <c r="T248" s="161">
        <f t="shared" si="39"/>
        <v>12010990</v>
      </c>
    </row>
    <row r="249" spans="1:20" s="15" customFormat="1" ht="30" hidden="1" x14ac:dyDescent="0.25">
      <c r="A249" s="17" t="s">
        <v>323</v>
      </c>
      <c r="B249" s="18" t="s">
        <v>326</v>
      </c>
      <c r="C249" s="103" t="s">
        <v>348</v>
      </c>
      <c r="D249" s="86" t="s">
        <v>327</v>
      </c>
      <c r="E249" s="27">
        <v>130</v>
      </c>
      <c r="F249" s="27"/>
      <c r="G249" s="28"/>
      <c r="H249" s="22">
        <v>1521100</v>
      </c>
      <c r="I249" s="20"/>
      <c r="J249" s="24"/>
      <c r="K249" s="22"/>
      <c r="L249" s="67"/>
      <c r="M249" s="68"/>
      <c r="N249" s="22"/>
      <c r="O249" s="67"/>
      <c r="P249" s="68"/>
      <c r="Q249" s="59">
        <f t="shared" si="46"/>
        <v>1521100</v>
      </c>
      <c r="R249" s="60">
        <f t="shared" si="46"/>
        <v>0</v>
      </c>
      <c r="S249" s="62">
        <f t="shared" si="46"/>
        <v>0</v>
      </c>
      <c r="T249" s="161">
        <f t="shared" si="39"/>
        <v>1521100</v>
      </c>
    </row>
    <row r="250" spans="1:20" hidden="1" x14ac:dyDescent="0.25">
      <c r="A250" s="49"/>
      <c r="B250" s="145" t="s">
        <v>328</v>
      </c>
      <c r="C250" s="160"/>
      <c r="D250" s="153"/>
      <c r="E250" s="51"/>
      <c r="F250" s="51"/>
      <c r="G250" s="50"/>
      <c r="H250" s="52"/>
      <c r="I250" s="50"/>
      <c r="J250" s="53"/>
      <c r="K250" s="52"/>
      <c r="L250" s="50"/>
      <c r="M250" s="53"/>
      <c r="N250" s="52"/>
      <c r="O250" s="50"/>
      <c r="P250" s="53"/>
      <c r="Q250" s="52"/>
      <c r="R250" s="50"/>
      <c r="S250" s="50"/>
      <c r="T250" s="54"/>
    </row>
    <row r="251" spans="1:20" s="15" customFormat="1" ht="45" hidden="1" x14ac:dyDescent="0.25">
      <c r="A251" s="17" t="s">
        <v>323</v>
      </c>
      <c r="B251" s="18" t="s">
        <v>329</v>
      </c>
      <c r="C251" s="103" t="s">
        <v>310</v>
      </c>
      <c r="D251" s="86" t="s">
        <v>310</v>
      </c>
      <c r="E251" s="27"/>
      <c r="F251" s="27"/>
      <c r="G251" s="28"/>
      <c r="H251" s="22">
        <f>2267424*0.4</f>
        <v>906969.60000000009</v>
      </c>
      <c r="I251" s="20"/>
      <c r="J251" s="24"/>
      <c r="K251" s="22">
        <f>2267424*0.6</f>
        <v>1360454.4</v>
      </c>
      <c r="L251" s="67"/>
      <c r="M251" s="68"/>
      <c r="N251" s="22">
        <v>0</v>
      </c>
      <c r="O251" s="67"/>
      <c r="P251" s="68"/>
      <c r="Q251" s="59">
        <f t="shared" ref="Q251:S251" si="47">+N251+K251+H251</f>
        <v>2267424</v>
      </c>
      <c r="R251" s="60">
        <f t="shared" si="47"/>
        <v>0</v>
      </c>
      <c r="S251" s="62">
        <f t="shared" si="47"/>
        <v>0</v>
      </c>
      <c r="T251" s="161">
        <f t="shared" si="39"/>
        <v>2267424</v>
      </c>
    </row>
    <row r="252" spans="1:20" hidden="1" x14ac:dyDescent="0.25">
      <c r="A252" s="49"/>
      <c r="B252" s="145" t="s">
        <v>330</v>
      </c>
      <c r="C252" s="160"/>
      <c r="D252" s="153"/>
      <c r="E252" s="51"/>
      <c r="F252" s="51"/>
      <c r="G252" s="50"/>
      <c r="H252" s="52"/>
      <c r="I252" s="50"/>
      <c r="J252" s="53"/>
      <c r="K252" s="52"/>
      <c r="L252" s="50"/>
      <c r="M252" s="53"/>
      <c r="N252" s="52"/>
      <c r="O252" s="50"/>
      <c r="P252" s="53"/>
      <c r="Q252" s="52"/>
      <c r="R252" s="50"/>
      <c r="S252" s="50"/>
      <c r="T252" s="54"/>
    </row>
    <row r="253" spans="1:20" s="15" customFormat="1" ht="30" hidden="1" x14ac:dyDescent="0.25">
      <c r="A253" s="17" t="s">
        <v>323</v>
      </c>
      <c r="B253" s="18" t="s">
        <v>331</v>
      </c>
      <c r="C253" s="103" t="s">
        <v>332</v>
      </c>
      <c r="D253" s="86" t="s">
        <v>337</v>
      </c>
      <c r="E253" s="27"/>
      <c r="F253" s="27"/>
      <c r="G253" s="28"/>
      <c r="H253" s="22">
        <v>680228</v>
      </c>
      <c r="I253" s="20"/>
      <c r="J253" s="24"/>
      <c r="K253" s="22">
        <v>408137</v>
      </c>
      <c r="L253" s="67"/>
      <c r="M253" s="68"/>
      <c r="N253" s="22">
        <v>277090</v>
      </c>
      <c r="O253" s="67"/>
      <c r="P253" s="68"/>
      <c r="Q253" s="59">
        <f t="shared" ref="Q253:S253" si="48">+N253+K253+H253</f>
        <v>1365455</v>
      </c>
      <c r="R253" s="60">
        <f t="shared" si="48"/>
        <v>0</v>
      </c>
      <c r="S253" s="62">
        <f t="shared" si="48"/>
        <v>0</v>
      </c>
      <c r="T253" s="161">
        <f t="shared" si="39"/>
        <v>1365455</v>
      </c>
    </row>
    <row r="254" spans="1:20" hidden="1" x14ac:dyDescent="0.25">
      <c r="A254" s="49"/>
      <c r="B254" s="145" t="s">
        <v>333</v>
      </c>
      <c r="C254" s="160"/>
      <c r="D254" s="153"/>
      <c r="E254" s="51"/>
      <c r="F254" s="51"/>
      <c r="G254" s="50"/>
      <c r="H254" s="52"/>
      <c r="I254" s="50"/>
      <c r="J254" s="53"/>
      <c r="K254" s="52"/>
      <c r="L254" s="50"/>
      <c r="M254" s="53"/>
      <c r="N254" s="52"/>
      <c r="O254" s="50"/>
      <c r="P254" s="53"/>
      <c r="Q254" s="52"/>
      <c r="R254" s="50"/>
      <c r="S254" s="50"/>
      <c r="T254" s="54"/>
    </row>
    <row r="255" spans="1:20" s="15" customFormat="1" hidden="1" x14ac:dyDescent="0.25">
      <c r="A255" s="17" t="s">
        <v>323</v>
      </c>
      <c r="B255" s="18" t="s">
        <v>343</v>
      </c>
      <c r="C255" s="103" t="s">
        <v>338</v>
      </c>
      <c r="D255" s="86" t="s">
        <v>338</v>
      </c>
      <c r="E255" s="27"/>
      <c r="F255" s="27"/>
      <c r="G255" s="28"/>
      <c r="H255" s="22">
        <v>62350</v>
      </c>
      <c r="I255" s="20"/>
      <c r="J255" s="24"/>
      <c r="K255" s="22">
        <v>65467.5</v>
      </c>
      <c r="L255" s="67"/>
      <c r="M255" s="68"/>
      <c r="N255" s="22">
        <v>68740.875</v>
      </c>
      <c r="O255" s="67"/>
      <c r="P255" s="68"/>
      <c r="Q255" s="59">
        <f t="shared" ref="Q255:S255" si="49">+N255+K255+H255</f>
        <v>196558.375</v>
      </c>
      <c r="R255" s="60">
        <f t="shared" si="49"/>
        <v>0</v>
      </c>
      <c r="S255" s="62">
        <f t="shared" si="49"/>
        <v>0</v>
      </c>
      <c r="T255" s="161">
        <f t="shared" si="39"/>
        <v>196558.375</v>
      </c>
    </row>
    <row r="256" spans="1:20" hidden="1" x14ac:dyDescent="0.25">
      <c r="A256" s="49"/>
      <c r="B256" s="145" t="s">
        <v>334</v>
      </c>
      <c r="C256" s="160"/>
      <c r="D256" s="153"/>
      <c r="E256" s="51"/>
      <c r="F256" s="51"/>
      <c r="G256" s="50"/>
      <c r="H256" s="52"/>
      <c r="I256" s="50"/>
      <c r="J256" s="53"/>
      <c r="K256" s="52"/>
      <c r="L256" s="50"/>
      <c r="M256" s="53"/>
      <c r="N256" s="52"/>
      <c r="O256" s="50"/>
      <c r="P256" s="53"/>
      <c r="Q256" s="52"/>
      <c r="R256" s="50"/>
      <c r="S256" s="50"/>
      <c r="T256" s="54"/>
    </row>
    <row r="257" spans="1:20" s="15" customFormat="1" hidden="1" x14ac:dyDescent="0.25">
      <c r="A257" s="17" t="s">
        <v>323</v>
      </c>
      <c r="B257" s="18" t="s">
        <v>335</v>
      </c>
      <c r="C257" s="103" t="s">
        <v>339</v>
      </c>
      <c r="D257" s="86" t="s">
        <v>339</v>
      </c>
      <c r="E257" s="27"/>
      <c r="F257" s="27"/>
      <c r="G257" s="28"/>
      <c r="H257" s="22">
        <v>80000</v>
      </c>
      <c r="I257" s="20"/>
      <c r="J257" s="24"/>
      <c r="K257" s="22">
        <v>320000</v>
      </c>
      <c r="L257" s="67"/>
      <c r="M257" s="68"/>
      <c r="N257" s="22"/>
      <c r="O257" s="67"/>
      <c r="P257" s="68"/>
      <c r="Q257" s="59">
        <f t="shared" ref="Q257:S258" si="50">+N257+K257+H257</f>
        <v>400000</v>
      </c>
      <c r="R257" s="60">
        <f t="shared" si="50"/>
        <v>0</v>
      </c>
      <c r="S257" s="62">
        <f t="shared" si="50"/>
        <v>0</v>
      </c>
      <c r="T257" s="161">
        <f t="shared" si="39"/>
        <v>400000</v>
      </c>
    </row>
    <row r="258" spans="1:20" s="15" customFormat="1" hidden="1" x14ac:dyDescent="0.25">
      <c r="A258" s="17" t="s">
        <v>323</v>
      </c>
      <c r="B258" s="18" t="s">
        <v>336</v>
      </c>
      <c r="C258" s="103" t="s">
        <v>339</v>
      </c>
      <c r="D258" s="86" t="s">
        <v>339</v>
      </c>
      <c r="E258" s="27"/>
      <c r="F258" s="27"/>
      <c r="G258" s="28"/>
      <c r="H258" s="22"/>
      <c r="I258" s="20"/>
      <c r="J258" s="24"/>
      <c r="K258" s="22">
        <v>100440</v>
      </c>
      <c r="L258" s="67"/>
      <c r="M258" s="68"/>
      <c r="N258" s="22">
        <v>401760</v>
      </c>
      <c r="O258" s="67"/>
      <c r="P258" s="68"/>
      <c r="Q258" s="59">
        <f t="shared" si="50"/>
        <v>502200</v>
      </c>
      <c r="R258" s="60">
        <f t="shared" si="50"/>
        <v>0</v>
      </c>
      <c r="S258" s="62">
        <f t="shared" si="50"/>
        <v>0</v>
      </c>
      <c r="T258" s="161">
        <f t="shared" si="39"/>
        <v>502200</v>
      </c>
    </row>
    <row r="259" spans="1:20" hidden="1" x14ac:dyDescent="0.25">
      <c r="A259" s="49"/>
      <c r="B259" s="145" t="s">
        <v>340</v>
      </c>
      <c r="C259" s="160"/>
      <c r="D259" s="153"/>
      <c r="E259" s="51"/>
      <c r="F259" s="51"/>
      <c r="G259" s="50"/>
      <c r="H259" s="52"/>
      <c r="I259" s="50"/>
      <c r="J259" s="53"/>
      <c r="K259" s="52"/>
      <c r="L259" s="50"/>
      <c r="M259" s="53"/>
      <c r="N259" s="52"/>
      <c r="O259" s="50"/>
      <c r="P259" s="53"/>
      <c r="Q259" s="52"/>
      <c r="R259" s="50"/>
      <c r="S259" s="50"/>
      <c r="T259" s="54"/>
    </row>
    <row r="260" spans="1:20" s="15" customFormat="1" hidden="1" x14ac:dyDescent="0.25">
      <c r="A260" s="17" t="s">
        <v>323</v>
      </c>
      <c r="B260" s="18" t="s">
        <v>341</v>
      </c>
      <c r="C260" s="103" t="s">
        <v>248</v>
      </c>
      <c r="D260" s="86" t="s">
        <v>248</v>
      </c>
      <c r="E260" s="27"/>
      <c r="F260" s="27"/>
      <c r="G260" s="28"/>
      <c r="H260" s="22">
        <v>75581</v>
      </c>
      <c r="I260" s="20"/>
      <c r="J260" s="24"/>
      <c r="K260" s="22">
        <v>75581</v>
      </c>
      <c r="L260" s="67"/>
      <c r="M260" s="68"/>
      <c r="N260" s="22">
        <v>75581</v>
      </c>
      <c r="O260" s="67"/>
      <c r="P260" s="68"/>
      <c r="Q260" s="59">
        <f t="shared" ref="Q260:S260" si="51">+N260+K260+H260</f>
        <v>226743</v>
      </c>
      <c r="R260" s="60">
        <f t="shared" si="51"/>
        <v>0</v>
      </c>
      <c r="S260" s="62">
        <f t="shared" si="51"/>
        <v>0</v>
      </c>
      <c r="T260" s="161">
        <f t="shared" si="39"/>
        <v>226743</v>
      </c>
    </row>
    <row r="261" spans="1:20" hidden="1" x14ac:dyDescent="0.25">
      <c r="A261" s="49"/>
      <c r="B261" s="145" t="s">
        <v>342</v>
      </c>
      <c r="C261" s="160"/>
      <c r="D261" s="153"/>
      <c r="E261" s="51"/>
      <c r="F261" s="51"/>
      <c r="G261" s="50"/>
      <c r="H261" s="52"/>
      <c r="I261" s="50"/>
      <c r="J261" s="53"/>
      <c r="K261" s="52"/>
      <c r="L261" s="50"/>
      <c r="M261" s="53"/>
      <c r="N261" s="52"/>
      <c r="O261" s="50"/>
      <c r="P261" s="53"/>
      <c r="Q261" s="52"/>
      <c r="R261" s="50"/>
      <c r="S261" s="50"/>
      <c r="T261" s="54"/>
    </row>
    <row r="262" spans="1:20" s="15" customFormat="1" hidden="1" x14ac:dyDescent="0.25">
      <c r="A262" s="17" t="s">
        <v>323</v>
      </c>
      <c r="B262" s="18" t="s">
        <v>34</v>
      </c>
      <c r="C262" s="103" t="s">
        <v>136</v>
      </c>
      <c r="D262" s="86" t="s">
        <v>136</v>
      </c>
      <c r="E262" s="27"/>
      <c r="F262" s="27"/>
      <c r="G262" s="28"/>
      <c r="H262" s="22">
        <f>950000*0.5</f>
        <v>475000</v>
      </c>
      <c r="I262" s="20"/>
      <c r="J262" s="24"/>
      <c r="K262" s="22">
        <f>950000*0.5</f>
        <v>475000</v>
      </c>
      <c r="L262" s="67"/>
      <c r="M262" s="68"/>
      <c r="N262" s="22">
        <f>950000*0.5</f>
        <v>475000</v>
      </c>
      <c r="O262" s="67"/>
      <c r="P262" s="68"/>
      <c r="Q262" s="59">
        <f t="shared" ref="Q262:S274" si="52">+N262+K262+H262</f>
        <v>1425000</v>
      </c>
      <c r="R262" s="60">
        <f t="shared" si="52"/>
        <v>0</v>
      </c>
      <c r="S262" s="62">
        <f t="shared" si="52"/>
        <v>0</v>
      </c>
      <c r="T262" s="161">
        <f t="shared" si="39"/>
        <v>1425000</v>
      </c>
    </row>
    <row r="263" spans="1:20" s="15" customFormat="1" hidden="1" x14ac:dyDescent="0.25">
      <c r="A263" s="17" t="s">
        <v>323</v>
      </c>
      <c r="B263" s="18" t="s">
        <v>8</v>
      </c>
      <c r="C263" s="103" t="s">
        <v>136</v>
      </c>
      <c r="D263" s="86" t="s">
        <v>136</v>
      </c>
      <c r="E263" s="27"/>
      <c r="F263" s="27"/>
      <c r="G263" s="28"/>
      <c r="H263" s="22">
        <f>950000*0.1</f>
        <v>95000</v>
      </c>
      <c r="I263" s="20"/>
      <c r="J263" s="24"/>
      <c r="K263" s="22">
        <f>950000*0.1</f>
        <v>95000</v>
      </c>
      <c r="L263" s="67"/>
      <c r="M263" s="68"/>
      <c r="N263" s="22">
        <f>950000*0.1</f>
        <v>95000</v>
      </c>
      <c r="O263" s="67"/>
      <c r="P263" s="68"/>
      <c r="Q263" s="59">
        <f t="shared" si="52"/>
        <v>285000</v>
      </c>
      <c r="R263" s="60">
        <f t="shared" si="52"/>
        <v>0</v>
      </c>
      <c r="S263" s="62">
        <f t="shared" si="52"/>
        <v>0</v>
      </c>
      <c r="T263" s="161">
        <f t="shared" si="39"/>
        <v>285000</v>
      </c>
    </row>
    <row r="264" spans="1:20" s="15" customFormat="1" hidden="1" x14ac:dyDescent="0.25">
      <c r="A264" s="17" t="s">
        <v>323</v>
      </c>
      <c r="B264" s="18" t="s">
        <v>9</v>
      </c>
      <c r="C264" s="103" t="s">
        <v>136</v>
      </c>
      <c r="D264" s="86" t="s">
        <v>136</v>
      </c>
      <c r="E264" s="27"/>
      <c r="F264" s="27"/>
      <c r="G264" s="28"/>
      <c r="H264" s="22">
        <f>950000*0.4</f>
        <v>380000</v>
      </c>
      <c r="I264" s="20"/>
      <c r="J264" s="24"/>
      <c r="K264" s="22">
        <f>950000*0.4</f>
        <v>380000</v>
      </c>
      <c r="L264" s="67"/>
      <c r="M264" s="68"/>
      <c r="N264" s="22">
        <f>950000*0.4</f>
        <v>380000</v>
      </c>
      <c r="O264" s="67"/>
      <c r="P264" s="68"/>
      <c r="Q264" s="59">
        <f t="shared" si="52"/>
        <v>1140000</v>
      </c>
      <c r="R264" s="60">
        <f t="shared" si="52"/>
        <v>0</v>
      </c>
      <c r="S264" s="62">
        <f t="shared" si="52"/>
        <v>0</v>
      </c>
      <c r="T264" s="161">
        <f t="shared" si="39"/>
        <v>1140000</v>
      </c>
    </row>
    <row r="265" spans="1:20" s="182" customFormat="1" hidden="1" x14ac:dyDescent="0.25">
      <c r="A265" s="174" t="s">
        <v>378</v>
      </c>
      <c r="B265" s="175"/>
      <c r="C265" s="176"/>
      <c r="D265" s="177"/>
      <c r="E265" s="178"/>
      <c r="F265" s="178"/>
      <c r="G265" s="179"/>
      <c r="H265" s="180">
        <f>SUM(H230:H264)</f>
        <v>32453268.600000001</v>
      </c>
      <c r="I265" s="180" t="e">
        <f t="shared" ref="I265:P265" si="53">SUM(I230:I264)</f>
        <v>#REF!</v>
      </c>
      <c r="J265" s="180">
        <f t="shared" si="53"/>
        <v>611384.75199999998</v>
      </c>
      <c r="K265" s="180">
        <f t="shared" si="53"/>
        <v>3318824.9</v>
      </c>
      <c r="L265" s="180" t="e">
        <f t="shared" si="53"/>
        <v>#REF!</v>
      </c>
      <c r="M265" s="180">
        <f t="shared" si="53"/>
        <v>764230.94000000006</v>
      </c>
      <c r="N265" s="180">
        <f t="shared" si="53"/>
        <v>1813854.2749999999</v>
      </c>
      <c r="O265" s="180" t="e">
        <f t="shared" si="53"/>
        <v>#REF!</v>
      </c>
      <c r="P265" s="180">
        <f t="shared" si="53"/>
        <v>955288.67499999993</v>
      </c>
      <c r="Q265" s="180">
        <f>+N265+K265+H265</f>
        <v>37585947.774999999</v>
      </c>
      <c r="R265" s="179" t="e">
        <f t="shared" si="52"/>
        <v>#REF!</v>
      </c>
      <c r="S265" s="179">
        <f t="shared" si="52"/>
        <v>2330904.3670000001</v>
      </c>
      <c r="T265" s="181" t="e">
        <f t="shared" ref="T265:T274" si="54">+Q265+R265+S265</f>
        <v>#REF!</v>
      </c>
    </row>
    <row r="266" spans="1:20" s="115" customFormat="1" ht="15.75" hidden="1" thickBot="1" x14ac:dyDescent="0.3">
      <c r="A266" s="162" t="s">
        <v>363</v>
      </c>
      <c r="B266" s="163"/>
      <c r="C266" s="163"/>
      <c r="D266" s="163"/>
      <c r="E266" s="165"/>
      <c r="F266" s="164"/>
      <c r="G266" s="166"/>
      <c r="H266" s="167"/>
      <c r="I266" s="168"/>
      <c r="J266" s="169"/>
      <c r="K266" s="167"/>
      <c r="L266" s="168"/>
      <c r="M266" s="169"/>
      <c r="N266" s="167"/>
      <c r="O266" s="168"/>
      <c r="P266" s="169"/>
      <c r="Q266" s="167"/>
      <c r="R266" s="168"/>
      <c r="S266" s="170"/>
      <c r="T266" s="171"/>
    </row>
    <row r="267" spans="1:20" s="15" customFormat="1" hidden="1" x14ac:dyDescent="0.25">
      <c r="A267" s="17" t="s">
        <v>364</v>
      </c>
      <c r="B267" s="18" t="s">
        <v>365</v>
      </c>
      <c r="C267" s="103" t="s">
        <v>248</v>
      </c>
      <c r="D267" s="86" t="s">
        <v>248</v>
      </c>
      <c r="E267" s="27"/>
      <c r="F267" s="27"/>
      <c r="G267" s="28"/>
      <c r="H267" s="22">
        <v>250000</v>
      </c>
      <c r="I267" s="20">
        <v>0</v>
      </c>
      <c r="J267" s="24">
        <v>0</v>
      </c>
      <c r="K267" s="22">
        <v>250000</v>
      </c>
      <c r="L267" s="67">
        <v>0</v>
      </c>
      <c r="M267" s="68">
        <v>0</v>
      </c>
      <c r="N267" s="22">
        <v>250000</v>
      </c>
      <c r="O267" s="67">
        <v>0</v>
      </c>
      <c r="P267" s="68">
        <v>0</v>
      </c>
      <c r="Q267" s="59">
        <f t="shared" ref="Q267:S272" si="55">+N267+K267+H267</f>
        <v>750000</v>
      </c>
      <c r="R267" s="60">
        <f t="shared" si="55"/>
        <v>0</v>
      </c>
      <c r="S267" s="62">
        <f t="shared" si="55"/>
        <v>0</v>
      </c>
      <c r="T267" s="161">
        <f t="shared" si="54"/>
        <v>750000</v>
      </c>
    </row>
    <row r="268" spans="1:20" s="15" customFormat="1" hidden="1" x14ac:dyDescent="0.25">
      <c r="A268" s="17" t="s">
        <v>364</v>
      </c>
      <c r="B268" s="18" t="s">
        <v>366</v>
      </c>
      <c r="C268" s="103" t="s">
        <v>380</v>
      </c>
      <c r="D268" s="86" t="s">
        <v>380</v>
      </c>
      <c r="E268" s="27"/>
      <c r="F268" s="27"/>
      <c r="G268" s="28"/>
      <c r="H268" s="22">
        <f>(2333414*1.3)/15</f>
        <v>202229.21333333335</v>
      </c>
      <c r="I268" s="20">
        <v>0</v>
      </c>
      <c r="J268" s="24">
        <v>0</v>
      </c>
      <c r="K268" s="22">
        <f>+H268*1.25</f>
        <v>252786.51666666669</v>
      </c>
      <c r="L268" s="67">
        <v>0</v>
      </c>
      <c r="M268" s="68">
        <v>0</v>
      </c>
      <c r="N268" s="22">
        <f>+K268*1.25</f>
        <v>315983.14583333337</v>
      </c>
      <c r="O268" s="67">
        <v>0</v>
      </c>
      <c r="P268" s="68">
        <v>0</v>
      </c>
      <c r="Q268" s="59">
        <f t="shared" si="55"/>
        <v>770998.87583333347</v>
      </c>
      <c r="R268" s="60">
        <f t="shared" si="55"/>
        <v>0</v>
      </c>
      <c r="S268" s="62">
        <f t="shared" si="55"/>
        <v>0</v>
      </c>
      <c r="T268" s="161">
        <f t="shared" si="54"/>
        <v>770998.87583333347</v>
      </c>
    </row>
    <row r="269" spans="1:20" s="15" customFormat="1" hidden="1" x14ac:dyDescent="0.25">
      <c r="A269" s="17" t="s">
        <v>364</v>
      </c>
      <c r="B269" s="18" t="s">
        <v>367</v>
      </c>
      <c r="C269" s="103" t="s">
        <v>380</v>
      </c>
      <c r="D269" s="86" t="s">
        <v>380</v>
      </c>
      <c r="E269" s="27"/>
      <c r="F269" s="27"/>
      <c r="G269" s="28"/>
      <c r="H269" s="22">
        <v>85000</v>
      </c>
      <c r="I269" s="20">
        <v>0</v>
      </c>
      <c r="J269" s="24">
        <v>0</v>
      </c>
      <c r="K269" s="22">
        <v>90000</v>
      </c>
      <c r="L269" s="67">
        <v>0</v>
      </c>
      <c r="M269" s="68">
        <v>0</v>
      </c>
      <c r="N269" s="22">
        <v>100000</v>
      </c>
      <c r="O269" s="67">
        <v>0</v>
      </c>
      <c r="P269" s="68">
        <v>0</v>
      </c>
      <c r="Q269" s="59">
        <f t="shared" si="55"/>
        <v>275000</v>
      </c>
      <c r="R269" s="60">
        <f t="shared" si="55"/>
        <v>0</v>
      </c>
      <c r="S269" s="62">
        <f t="shared" si="55"/>
        <v>0</v>
      </c>
      <c r="T269" s="161">
        <f t="shared" si="54"/>
        <v>275000</v>
      </c>
    </row>
    <row r="270" spans="1:20" s="15" customFormat="1" hidden="1" x14ac:dyDescent="0.25">
      <c r="A270" s="17" t="s">
        <v>364</v>
      </c>
      <c r="B270" s="18" t="s">
        <v>368</v>
      </c>
      <c r="C270" s="103" t="s">
        <v>380</v>
      </c>
      <c r="D270" s="86" t="s">
        <v>380</v>
      </c>
      <c r="E270" s="27"/>
      <c r="F270" s="27"/>
      <c r="G270" s="28"/>
      <c r="H270" s="22">
        <v>35000</v>
      </c>
      <c r="I270" s="20">
        <v>0</v>
      </c>
      <c r="J270" s="24">
        <v>0</v>
      </c>
      <c r="K270" s="22">
        <v>38000</v>
      </c>
      <c r="L270" s="67">
        <v>0</v>
      </c>
      <c r="M270" s="68">
        <v>0</v>
      </c>
      <c r="N270" s="22">
        <v>50000</v>
      </c>
      <c r="O270" s="67">
        <v>0</v>
      </c>
      <c r="P270" s="68">
        <v>0</v>
      </c>
      <c r="Q270" s="59">
        <f t="shared" si="55"/>
        <v>123000</v>
      </c>
      <c r="R270" s="60">
        <f t="shared" si="55"/>
        <v>0</v>
      </c>
      <c r="S270" s="62">
        <f t="shared" si="55"/>
        <v>0</v>
      </c>
      <c r="T270" s="161">
        <f t="shared" si="54"/>
        <v>123000</v>
      </c>
    </row>
    <row r="271" spans="1:20" s="15" customFormat="1" hidden="1" x14ac:dyDescent="0.25">
      <c r="A271" s="17" t="s">
        <v>364</v>
      </c>
      <c r="B271" s="18" t="s">
        <v>382</v>
      </c>
      <c r="C271" s="103" t="s">
        <v>310</v>
      </c>
      <c r="D271" s="86" t="s">
        <v>310</v>
      </c>
      <c r="E271" s="27">
        <v>70</v>
      </c>
      <c r="F271" s="27"/>
      <c r="G271" s="28"/>
      <c r="H271" s="22">
        <f>(800*1.05+174*1.21)*1.4*70</f>
        <v>102952.91999999998</v>
      </c>
      <c r="I271" s="20">
        <v>0</v>
      </c>
      <c r="J271" s="24">
        <v>0</v>
      </c>
      <c r="K271" s="22">
        <v>0</v>
      </c>
      <c r="L271" s="67">
        <v>0</v>
      </c>
      <c r="M271" s="68">
        <v>0</v>
      </c>
      <c r="N271" s="22">
        <v>0</v>
      </c>
      <c r="O271" s="67">
        <v>0</v>
      </c>
      <c r="P271" s="68">
        <v>0</v>
      </c>
      <c r="Q271" s="59">
        <f t="shared" si="55"/>
        <v>102952.91999999998</v>
      </c>
      <c r="R271" s="60">
        <f t="shared" si="55"/>
        <v>0</v>
      </c>
      <c r="S271" s="62">
        <f t="shared" si="55"/>
        <v>0</v>
      </c>
      <c r="T271" s="161">
        <f t="shared" si="54"/>
        <v>102952.91999999998</v>
      </c>
    </row>
    <row r="272" spans="1:20" s="15" customFormat="1" hidden="1" x14ac:dyDescent="0.25">
      <c r="A272" s="17" t="s">
        <v>364</v>
      </c>
      <c r="B272" s="18" t="s">
        <v>380</v>
      </c>
      <c r="C272" s="103" t="s">
        <v>380</v>
      </c>
      <c r="D272" s="86" t="s">
        <v>380</v>
      </c>
      <c r="E272" s="27"/>
      <c r="F272" s="27"/>
      <c r="G272" s="28"/>
      <c r="H272" s="22">
        <f>763800*0.8</f>
        <v>611040</v>
      </c>
      <c r="I272" s="20">
        <f>763800*0.2</f>
        <v>152760</v>
      </c>
      <c r="J272" s="24">
        <v>0</v>
      </c>
      <c r="K272" s="22">
        <f>693388*0.8</f>
        <v>554710.4</v>
      </c>
      <c r="L272" s="67">
        <f>693388*0.2</f>
        <v>138677.6</v>
      </c>
      <c r="M272" s="68">
        <v>0</v>
      </c>
      <c r="N272" s="22">
        <f>532432-3000-69069</f>
        <v>460363</v>
      </c>
      <c r="O272" s="67">
        <f>3000+69069</f>
        <v>72069</v>
      </c>
      <c r="P272" s="68">
        <v>0</v>
      </c>
      <c r="Q272" s="59">
        <f t="shared" si="55"/>
        <v>1626113.4</v>
      </c>
      <c r="R272" s="60">
        <f t="shared" si="55"/>
        <v>363506.6</v>
      </c>
      <c r="S272" s="62">
        <f t="shared" si="55"/>
        <v>0</v>
      </c>
      <c r="T272" s="161">
        <f t="shared" si="54"/>
        <v>1989620</v>
      </c>
    </row>
    <row r="273" spans="1:21" hidden="1" x14ac:dyDescent="0.25">
      <c r="A273" s="183" t="s">
        <v>379</v>
      </c>
      <c r="B273" s="184"/>
      <c r="C273" s="185"/>
      <c r="D273" s="184"/>
      <c r="E273" s="186"/>
      <c r="F273" s="187"/>
      <c r="G273" s="188"/>
      <c r="H273" s="196">
        <f>SUM(H267:H272)</f>
        <v>1286222.1333333333</v>
      </c>
      <c r="I273" s="197">
        <f t="shared" ref="I273:P273" si="56">SUM(I267:I272)</f>
        <v>152760</v>
      </c>
      <c r="J273" s="198">
        <f t="shared" si="56"/>
        <v>0</v>
      </c>
      <c r="K273" s="196">
        <f>SUM(K267:K272)</f>
        <v>1185496.9166666667</v>
      </c>
      <c r="L273" s="189">
        <f t="shared" si="56"/>
        <v>138677.6</v>
      </c>
      <c r="M273" s="190">
        <f t="shared" si="56"/>
        <v>0</v>
      </c>
      <c r="N273" s="196">
        <f>SUM(N267:N272)</f>
        <v>1176346.1458333335</v>
      </c>
      <c r="O273" s="189">
        <f t="shared" si="56"/>
        <v>72069</v>
      </c>
      <c r="P273" s="190">
        <f t="shared" si="56"/>
        <v>0</v>
      </c>
      <c r="Q273" s="193">
        <f>+N273+K273+H273</f>
        <v>3648065.1958333333</v>
      </c>
      <c r="R273" s="194">
        <f t="shared" si="52"/>
        <v>363506.6</v>
      </c>
      <c r="S273" s="195">
        <f t="shared" si="52"/>
        <v>0</v>
      </c>
      <c r="T273" s="199">
        <f t="shared" si="54"/>
        <v>4011571.7958333334</v>
      </c>
      <c r="U273" s="191"/>
    </row>
    <row r="274" spans="1:21" s="115" customFormat="1" ht="15.75" hidden="1" thickBot="1" x14ac:dyDescent="0.3">
      <c r="A274" s="135" t="s">
        <v>352</v>
      </c>
      <c r="B274" s="150"/>
      <c r="C274" s="150"/>
      <c r="D274" s="150"/>
      <c r="E274" s="136"/>
      <c r="F274" s="137"/>
      <c r="G274" s="137"/>
      <c r="H274" s="138">
        <f t="shared" ref="H274:P274" si="57">+H273+H265+H228+H155</f>
        <v>60287596.704889111</v>
      </c>
      <c r="I274" s="139" t="e">
        <f t="shared" si="57"/>
        <v>#REF!</v>
      </c>
      <c r="J274" s="139" t="e">
        <f t="shared" si="57"/>
        <v>#REF!</v>
      </c>
      <c r="K274" s="138">
        <f t="shared" si="57"/>
        <v>22809199.363285799</v>
      </c>
      <c r="L274" s="139" t="e">
        <f t="shared" si="57"/>
        <v>#REF!</v>
      </c>
      <c r="M274" s="140" t="e">
        <f t="shared" si="57"/>
        <v>#REF!</v>
      </c>
      <c r="N274" s="139">
        <f>+N273+N265+N228+N155</f>
        <v>16903204.147742853</v>
      </c>
      <c r="O274" s="139" t="e">
        <f t="shared" si="57"/>
        <v>#REF!</v>
      </c>
      <c r="P274" s="140" t="e">
        <f t="shared" si="57"/>
        <v>#REF!</v>
      </c>
      <c r="Q274" s="139">
        <f>+N274+K274+H274</f>
        <v>100000000.21591777</v>
      </c>
      <c r="R274" s="139" t="e">
        <f t="shared" si="52"/>
        <v>#REF!</v>
      </c>
      <c r="S274" s="139" t="e">
        <f t="shared" si="52"/>
        <v>#REF!</v>
      </c>
      <c r="T274" s="141" t="e">
        <f t="shared" si="54"/>
        <v>#REF!</v>
      </c>
    </row>
    <row r="275" spans="1:21" x14ac:dyDescent="0.25">
      <c r="Q275" s="200"/>
      <c r="R275" s="172"/>
    </row>
    <row r="276" spans="1:21" x14ac:dyDescent="0.25">
      <c r="H276" s="172"/>
      <c r="I276" s="172"/>
      <c r="J276" s="172"/>
      <c r="Q276" s="172"/>
      <c r="T276" s="173"/>
    </row>
  </sheetData>
  <autoFilter ref="A4:CO274">
    <filterColumn colId="0">
      <filters>
        <filter val="REDES"/>
      </filters>
    </filterColumn>
  </autoFilter>
  <mergeCells count="12">
    <mergeCell ref="T3:T4"/>
    <mergeCell ref="A3:A4"/>
    <mergeCell ref="B3:B4"/>
    <mergeCell ref="C3:C4"/>
    <mergeCell ref="D3:D4"/>
    <mergeCell ref="E3:E4"/>
    <mergeCell ref="F3:F4"/>
    <mergeCell ref="G3:G4"/>
    <mergeCell ref="H3:J3"/>
    <mergeCell ref="K3:M3"/>
    <mergeCell ref="N3:P3"/>
    <mergeCell ref="Q3:S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file>

<file path=customXml/item2.xml><?xml version="1.0" encoding="utf-8"?>
<?mso-contentType ?>
<SharedContentType xmlns="Microsoft.SharePoint.Taxonomy.ContentTypeSync" SourceId="cf0be0ad-272c-4e7f-a157-3f0abda6cde5" ContentTypeId="0x01010046CF21643EE8D14686A648AA6DAD0892" PreviousValue="false"/>
</file>

<file path=customXml/item3.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08906EEB8136F74FA146255C7A556015" ma:contentTypeVersion="0" ma:contentTypeDescription="A content type to manage public (operations) IDB documents" ma:contentTypeScope="" ma:versionID="6d5525b9b9db585d191aeea75534aed2">
  <xsd:schema xmlns:xsd="http://www.w3.org/2001/XMLSchema" xmlns:xs="http://www.w3.org/2001/XMLSchema" xmlns:p="http://schemas.microsoft.com/office/2006/metadata/properties" xmlns:ns2="9c571b2f-e523-4ab2-ba2e-09e151a03ef4" targetNamespace="http://schemas.microsoft.com/office/2006/metadata/properties" ma:root="true" ma:fieldsID="6bfe46e4c83422ab72b735076e7988d3"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7e3e8b7-b0c0-4a85-90a4-39ae7e6b1e0c}" ma:internalName="TaxCatchAll" ma:showField="CatchAllData" ma:web="1920e0c9-23ea-4319-93c5-bce2be32d0d4">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7e3e8b7-b0c0-4a85-90a4-39ae7e6b1e0c}" ma:internalName="TaxCatchAllLabel" ma:readOnly="true" ma:showField="CatchAllDataLabel" ma:web="1920e0c9-23ea-4319-93c5-bce2be32d0d4">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9c571b2f-e523-4ab2-ba2e-09e151a03ef4" xsi:nil="true"/>
    <Abstract xmlns="9c571b2f-e523-4ab2-ba2e-09e151a03ef4" xsi:nil="true"/>
    <Disclosure_x0020_Activity xmlns="9c571b2f-e523-4ab2-ba2e-09e151a03ef4">Loan Proposal</Disclosure_x0020_Activity>
    <Key_x0020_Document xmlns="9c571b2f-e523-4ab2-ba2e-09e151a03ef4">false</Key_x0020_Document>
    <Division_x0020_or_x0020_Unit xmlns="9c571b2f-e523-4ab2-ba2e-09e151a03ef4">SCL/SPH</Division_x0020_or_x0020_Unit>
    <Other_x0020_Author xmlns="9c571b2f-e523-4ab2-ba2e-09e151a03ef4" xsi:nil="true"/>
    <Region xmlns="9c571b2f-e523-4ab2-ba2e-09e151a03ef4" xsi:nil="true"/>
    <IDBDocs_x0020_Number xmlns="9c571b2f-e523-4ab2-ba2e-09e151a03ef4">40618818</IDBDocs_x0020_Number>
    <Document_x0020_Author xmlns="9c571b2f-e523-4ab2-ba2e-09e151a03ef4">Sanchez, Mario Alberto</Document_x0020_Author>
    <Publication_x0020_Type xmlns="9c571b2f-e523-4ab2-ba2e-09e151a03ef4" xsi:nil="true"/>
    <Operation_x0020_Type xmlns="9c571b2f-e523-4ab2-ba2e-09e151a03ef4" xsi:nil="true"/>
    <TaxCatchAll xmlns="9c571b2f-e523-4ab2-ba2e-09e151a03ef4">
      <Value>2</Value>
      <Value>4</Value>
    </TaxCatchAll>
    <Fiscal_x0020_Year_x0020_IDB xmlns="9c571b2f-e523-4ab2-ba2e-09e151a03ef4">2016</Fiscal_x0020_Year_x0020_IDB>
    <Issue_x0020_Date xmlns="9c571b2f-e523-4ab2-ba2e-09e151a03ef4" xsi:nil="true"/>
    <m555d3814edf4817b4410a4e57f94ce9 xmlns="9c571b2f-e523-4ab2-ba2e-09e151a03ef4">
      <Terms xmlns="http://schemas.microsoft.com/office/infopath/2007/PartnerControls"/>
    </m555d3814edf4817b4410a4e57f94ce9>
    <Project_x0020_Number xmlns="9c571b2f-e523-4ab2-ba2e-09e151a03ef4">AR-L1196</Project_x0020_Number>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o5138a91267540169645e33d09c9ddc6>
    <Package_x0020_Code xmlns="9c571b2f-e523-4ab2-ba2e-09e151a03ef4" xsi:nil="true"/>
    <Migration_x0020_Info xmlns="9c571b2f-e523-4ab2-ba2e-09e151a03ef4">&lt;Data&gt;&lt;APPLICATION&gt;MS EXCEL&lt;/APPLICATION&gt;&lt;USER_STAGE&gt;Loan Proposal&lt;/USER_STAGE&gt;&lt;PD_OBJ_TYPE&gt;0&lt;/PD_OBJ_TYPE&gt;&lt;DTAPPROVAL&gt;Oct 19 2016 12:00AM&lt;/DTAPPROVAL&gt;&lt;MAKERECORD&gt;N&lt;/MAKERECORD&gt;&lt;/Data&gt;</Migration_x0020_Info>
    <Approval_x0020_Number xmlns="9c571b2f-e523-4ab2-ba2e-09e151a03ef4" xsi:nil="true"/>
    <Access_x0020_to_x0020_Information_x00a0_Policy xmlns="9c571b2f-e523-4ab2-ba2e-09e151a03ef4">Public</Access_x0020_to_x0020_Information_x00a0_Policy>
    <Business_x0020_Area xmlns="9c571b2f-e523-4ab2-ba2e-09e151a03ef4" xsi:nil="true"/>
    <SISCOR_x0020_Number xmlns="9c571b2f-e523-4ab2-ba2e-09e151a03ef4" xsi:nil="true"/>
    <Webtopic xmlns="9c571b2f-e523-4ab2-ba2e-09e151a03ef4">IS-INS</Webtopic>
    <Identifier xmlns="9c571b2f-e523-4ab2-ba2e-09e151a03ef4">PR-4426 TECFILE</Identifier>
    <Publishing_x0020_House xmlns="9c571b2f-e523-4ab2-ba2e-09e151a03ef4" xsi:nil="true"/>
    <Document_x0020_Language_x0020_IDB xmlns="9c571b2f-e523-4ab2-ba2e-09e151a03ef4">Spanish</Document_x0020_Language_x0020_IDB>
    <KP_x0020_Topics xmlns="9c571b2f-e523-4ab2-ba2e-09e151a03ef4" xsi:nil="true"/>
    <Phase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fd0e48b6a66848a9885f717e5bbf40c4>
    <e559ffcc31d34167856647188be35015 xmlns="9c571b2f-e523-4ab2-ba2e-09e151a03ef4">
      <Terms xmlns="http://schemas.microsoft.com/office/infopath/2007/PartnerControls"/>
    </e559ffcc31d34167856647188be35015>
    <c456731dbc904a5fb605ec556c33e883 xmlns="9c571b2f-e523-4ab2-ba2e-09e151a03ef4">
      <Terms xmlns="http://schemas.microsoft.com/office/infopath/2007/PartnerControls"/>
    </c456731dbc904a5fb605ec556c33e883>
    <Editor1 xmlns="9c571b2f-e523-4ab2-ba2e-09e151a03ef4" xsi:nil="true"/>
    <j8b96605ee2f4c4e988849e658583fee xmlns="9c571b2f-e523-4ab2-ba2e-09e151a03ef4">
      <Terms xmlns="http://schemas.microsoft.com/office/infopath/2007/PartnerControls"/>
    </j8b96605ee2f4c4e988849e658583fee>
  </documentManagement>
</p:properties>
</file>

<file path=customXml/itemProps1.xml><?xml version="1.0" encoding="utf-8"?>
<ds:datastoreItem xmlns:ds="http://schemas.openxmlformats.org/officeDocument/2006/customXml" ds:itemID="{3419455D-5DAC-4801-87E2-A3F5D0EEF043}"/>
</file>

<file path=customXml/itemProps2.xml><?xml version="1.0" encoding="utf-8"?>
<ds:datastoreItem xmlns:ds="http://schemas.openxmlformats.org/officeDocument/2006/customXml" ds:itemID="{CF0830FE-80BD-4A21-B0D0-A1A467DBF025}"/>
</file>

<file path=customXml/itemProps3.xml><?xml version="1.0" encoding="utf-8"?>
<ds:datastoreItem xmlns:ds="http://schemas.openxmlformats.org/officeDocument/2006/customXml" ds:itemID="{AAE6DF90-7109-40D5-8287-09F13B66F82D}"/>
</file>

<file path=customXml/itemProps4.xml><?xml version="1.0" encoding="utf-8"?>
<ds:datastoreItem xmlns:ds="http://schemas.openxmlformats.org/officeDocument/2006/customXml" ds:itemID="{2D0D1761-184F-4FF0-84E5-95858775BD6D}"/>
</file>

<file path=customXml/itemProps5.xml><?xml version="1.0" encoding="utf-8"?>
<ds:datastoreItem xmlns:ds="http://schemas.openxmlformats.org/officeDocument/2006/customXml" ds:itemID="{9D9C5606-CE87-4C00-81D5-685D5CE89CC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Matriz de costos plurianual</vt:lpstr>
      <vt:lpstr>POA 2017</vt:lpstr>
      <vt:lpstr>COSTEO</vt:lpstr>
      <vt:lpstr>Dec. Adm. 607-2015</vt:lpstr>
      <vt:lpstr>COSTEO TD</vt:lpstr>
      <vt:lpstr>Hoja2</vt:lpstr>
      <vt:lpstr>COSTEO!Print_Area</vt:lpstr>
      <vt:lpstr>'COSTEO TD'!Print_Area</vt:lpstr>
      <vt:lpstr>'Matriz de costos plurianual'!Print_Area</vt:lpstr>
      <vt:lpstr>'POA 2017'!Print_Area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Link opc_7 - POA</dc:title>
  <dc:creator>David Acosta</dc:creator>
  <cp:lastModifiedBy>Inter-American Development Bank</cp:lastModifiedBy>
  <cp:lastPrinted>2016-08-25T14:13:02Z</cp:lastPrinted>
  <dcterms:created xsi:type="dcterms:W3CDTF">2016-06-01T13:30:37Z</dcterms:created>
  <dcterms:modified xsi:type="dcterms:W3CDTF">2016-09-09T16:28:35Z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ub_x002d_Sector">
    <vt:lpwstr/>
  </property>
  <property fmtid="{D5CDD505-2E9C-101B-9397-08002B2CF9AE}" pid="4" name="ContentTypeId">
    <vt:lpwstr>0x01010046CF21643EE8D14686A648AA6DAD08920008906EEB8136F74FA146255C7A556015</vt:lpwstr>
  </property>
  <property fmtid="{D5CDD505-2E9C-101B-9397-08002B2CF9AE}" pid="5" name="TaxKeywordTaxHTField">
    <vt:lpwstr/>
  </property>
  <property fmtid="{D5CDD505-2E9C-101B-9397-08002B2CF9AE}" pid="6" name="Series Operations IDB">
    <vt:lpwstr>2;#Unclassified|a6dff32e-d477-44cd-a56b-85efe9e0a56c</vt:lpwstr>
  </property>
  <property fmtid="{D5CDD505-2E9C-101B-9397-08002B2CF9AE}" pid="7" name="Sub-Sector">
    <vt:lpwstr/>
  </property>
  <property fmtid="{D5CDD505-2E9C-101B-9397-08002B2CF9AE}" pid="8" name="Country">
    <vt:lpwstr/>
  </property>
  <property fmtid="{D5CDD505-2E9C-101B-9397-08002B2CF9AE}" pid="9" name="Fund IDB">
    <vt:lpwstr/>
  </property>
  <property fmtid="{D5CDD505-2E9C-101B-9397-08002B2CF9AE}" pid="10" name="Series_x0020_Operations_x0020_IDB">
    <vt:lpwstr>2;#Unclassified|a6dff32e-d477-44cd-a56b-85efe9e0a56c</vt:lpwstr>
  </property>
  <property fmtid="{D5CDD505-2E9C-101B-9397-08002B2CF9AE}" pid="11" name="To:">
    <vt:lpwstr/>
  </property>
  <property fmtid="{D5CDD505-2E9C-101B-9397-08002B2CF9AE}" pid="12" name="From:">
    <vt:lpwstr/>
  </property>
  <property fmtid="{D5CDD505-2E9C-101B-9397-08002B2CF9AE}" pid="13" name="Sector IDB">
    <vt:lpwstr/>
  </property>
  <property fmtid="{D5CDD505-2E9C-101B-9397-08002B2CF9AE}" pid="14" name="Function Operations IDB">
    <vt:lpwstr>4;#IDBDocs|cca77002-e150-4b2d-ab1f-1d7a7cdcae16</vt:lpwstr>
  </property>
</Properties>
</file>