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0" yWindow="0" windowWidth="16380" windowHeight="8190" tabRatio="806" activeTab="2"/>
  </bookViews>
  <sheets>
    <sheet name="Estructura del Proyecto" sheetId="1" r:id="rId1"/>
    <sheet name="Plan de Adquisiciones" sheetId="2" r:id="rId2"/>
    <sheet name="Detalle Plan de Adquisiciones" sheetId="3" r:id="rId3"/>
    <sheet name="Reporte Variación de Montos_2" sheetId="4" state="hidden" r:id="rId4"/>
    <sheet name="Cambios Plan de Adquisiciones" sheetId="5" r:id="rId5"/>
    <sheet name="Propuesta BID 500MM$" sheetId="6" r:id="rId6"/>
  </sheets>
  <definedNames>
    <definedName name="_xlnm._FilterDatabase" localSheetId="2">'Detalle Plan de Adquisiciones'!$A$14:$T$79</definedName>
    <definedName name="_xlnm.Print_Area" localSheetId="2">'Detalle Plan de Adquisiciones'!$D$2:$T$79</definedName>
    <definedName name="_xlnm.Print_Area" localSheetId="0">'Estructura del Proyecto'!$B$2:$D$20</definedName>
    <definedName name="_xlnm.Print_Area" localSheetId="1">'Plan de Adquisiciones'!$B$2:$D$31</definedName>
    <definedName name="_xlnm.Print_Titles" localSheetId="2">'Detalle Plan de Adquisiciones'!$2:$8</definedName>
  </definedNames>
  <calcPr calcId="125725" iterateDelta="1E-4"/>
</workbook>
</file>

<file path=xl/calcChain.xml><?xml version="1.0" encoding="utf-8"?>
<calcChain xmlns="http://schemas.openxmlformats.org/spreadsheetml/2006/main">
  <c r="F9" i="6"/>
  <c r="F8"/>
  <c r="F5"/>
  <c r="AE28" i="5"/>
  <c r="E36" i="4"/>
  <c r="D36"/>
  <c r="C36"/>
  <c r="G35"/>
  <c r="F35" s="1"/>
  <c r="G34"/>
  <c r="F34" s="1"/>
  <c r="G32"/>
  <c r="F32" s="1"/>
  <c r="G31"/>
  <c r="F31"/>
  <c r="G30"/>
  <c r="F30" s="1"/>
  <c r="G29"/>
  <c r="F29" s="1"/>
  <c r="G28"/>
  <c r="F28" s="1"/>
  <c r="G27"/>
  <c r="F27"/>
  <c r="G26"/>
  <c r="F26" s="1"/>
  <c r="G24"/>
  <c r="G21"/>
  <c r="D21"/>
  <c r="C21"/>
  <c r="B21" s="1"/>
  <c r="F21" s="1"/>
  <c r="G20"/>
  <c r="D20"/>
  <c r="C20"/>
  <c r="B20" s="1"/>
  <c r="F20" s="1"/>
  <c r="G19"/>
  <c r="E19"/>
  <c r="E22" s="1"/>
  <c r="D19"/>
  <c r="C19"/>
  <c r="B19" s="1"/>
  <c r="F19" s="1"/>
  <c r="D18"/>
  <c r="C18"/>
  <c r="B18" s="1"/>
  <c r="G17"/>
  <c r="E17"/>
  <c r="D17"/>
  <c r="C17"/>
  <c r="B17" s="1"/>
  <c r="F17" s="1"/>
  <c r="E16"/>
  <c r="D16"/>
  <c r="D22" s="1"/>
  <c r="C16"/>
  <c r="C22" s="1"/>
  <c r="D14"/>
  <c r="E13"/>
  <c r="C13"/>
  <c r="B13"/>
  <c r="G12"/>
  <c r="E12"/>
  <c r="D12"/>
  <c r="C12"/>
  <c r="B12" s="1"/>
  <c r="F12" s="1"/>
  <c r="E11"/>
  <c r="E14" s="1"/>
  <c r="E37" s="1"/>
  <c r="D11"/>
  <c r="C11"/>
  <c r="C14" s="1"/>
  <c r="C37" s="1"/>
  <c r="AF99" i="3"/>
  <c r="AF98"/>
  <c r="AF97"/>
  <c r="K79"/>
  <c r="X79" s="1"/>
  <c r="J79"/>
  <c r="W79" s="1"/>
  <c r="Y79" s="1"/>
  <c r="Y74"/>
  <c r="AA74" s="1"/>
  <c r="L74"/>
  <c r="J74"/>
  <c r="Y73"/>
  <c r="AA73" s="1"/>
  <c r="L73"/>
  <c r="J73"/>
  <c r="Y72"/>
  <c r="AA72" s="1"/>
  <c r="X72"/>
  <c r="L72"/>
  <c r="J72"/>
  <c r="X71"/>
  <c r="W71"/>
  <c r="Y71" s="1"/>
  <c r="L71"/>
  <c r="J71"/>
  <c r="J75" s="1"/>
  <c r="X66"/>
  <c r="K66"/>
  <c r="L66" s="1"/>
  <c r="J66"/>
  <c r="W66" s="1"/>
  <c r="Y66" s="1"/>
  <c r="AG61"/>
  <c r="AF61"/>
  <c r="X61"/>
  <c r="W61"/>
  <c r="Y61" s="1"/>
  <c r="AA61" s="1"/>
  <c r="L61"/>
  <c r="AI61" s="1"/>
  <c r="K61"/>
  <c r="J61"/>
  <c r="AG60"/>
  <c r="AF60"/>
  <c r="AH60" s="1"/>
  <c r="X60"/>
  <c r="W60"/>
  <c r="Y60" s="1"/>
  <c r="AA60" s="1"/>
  <c r="L60"/>
  <c r="AI60" s="1"/>
  <c r="K60"/>
  <c r="J60"/>
  <c r="AG59"/>
  <c r="AF59"/>
  <c r="AH59" s="1"/>
  <c r="X59"/>
  <c r="W59"/>
  <c r="Y59" s="1"/>
  <c r="AA59" s="1"/>
  <c r="L59"/>
  <c r="AI59" s="1"/>
  <c r="K59"/>
  <c r="J59"/>
  <c r="AH54"/>
  <c r="AG54"/>
  <c r="AF54"/>
  <c r="AA54"/>
  <c r="Y54"/>
  <c r="X54"/>
  <c r="W54"/>
  <c r="L54"/>
  <c r="AI54" s="1"/>
  <c r="AG53"/>
  <c r="AF53"/>
  <c r="AJ53" s="1"/>
  <c r="X53"/>
  <c r="W53"/>
  <c r="Y53" s="1"/>
  <c r="AA53" s="1"/>
  <c r="L53"/>
  <c r="AI53" s="1"/>
  <c r="L52"/>
  <c r="AI52" s="1"/>
  <c r="K52"/>
  <c r="AG52" s="1"/>
  <c r="J52"/>
  <c r="G33" i="4" s="1"/>
  <c r="F33" s="1"/>
  <c r="AG51" i="3"/>
  <c r="X51"/>
  <c r="L51"/>
  <c r="AI51" s="1"/>
  <c r="J51"/>
  <c r="AF51" s="1"/>
  <c r="AG50"/>
  <c r="X50"/>
  <c r="L50"/>
  <c r="AI50" s="1"/>
  <c r="J50"/>
  <c r="AF50" s="1"/>
  <c r="AG49"/>
  <c r="AF49"/>
  <c r="AJ49" s="1"/>
  <c r="X49"/>
  <c r="W49"/>
  <c r="Y49" s="1"/>
  <c r="AA49" s="1"/>
  <c r="L49"/>
  <c r="AI49" s="1"/>
  <c r="J49"/>
  <c r="AG48"/>
  <c r="AF48"/>
  <c r="AH48" s="1"/>
  <c r="X48"/>
  <c r="W48"/>
  <c r="Y48" s="1"/>
  <c r="AA48" s="1"/>
  <c r="L48"/>
  <c r="AI48" s="1"/>
  <c r="J48"/>
  <c r="AG47"/>
  <c r="X47"/>
  <c r="L47"/>
  <c r="AI47" s="1"/>
  <c r="J47"/>
  <c r="AF47" s="1"/>
  <c r="AG46"/>
  <c r="X46"/>
  <c r="L46"/>
  <c r="AI46" s="1"/>
  <c r="J46"/>
  <c r="AF46" s="1"/>
  <c r="AI45"/>
  <c r="AG45"/>
  <c r="AF45"/>
  <c r="AJ45" s="1"/>
  <c r="X45"/>
  <c r="W45"/>
  <c r="Y45" s="1"/>
  <c r="AA45" s="1"/>
  <c r="J45"/>
  <c r="AH44"/>
  <c r="AG44"/>
  <c r="AF44"/>
  <c r="AA44"/>
  <c r="Y44"/>
  <c r="X44"/>
  <c r="W44"/>
  <c r="L44"/>
  <c r="AI44" s="1"/>
  <c r="AI43"/>
  <c r="AG43"/>
  <c r="AF43"/>
  <c r="AJ43" s="1"/>
  <c r="X43"/>
  <c r="W43"/>
  <c r="Y43" s="1"/>
  <c r="P43"/>
  <c r="Q42"/>
  <c r="P42"/>
  <c r="AF41"/>
  <c r="W41"/>
  <c r="Q41"/>
  <c r="P41"/>
  <c r="K41"/>
  <c r="AG41" s="1"/>
  <c r="J41"/>
  <c r="G16" i="4" s="1"/>
  <c r="G22" s="1"/>
  <c r="AF36" i="3"/>
  <c r="AG35"/>
  <c r="AF35"/>
  <c r="AJ35" s="1"/>
  <c r="AJ36" s="1"/>
  <c r="X35"/>
  <c r="W35"/>
  <c r="Y35" s="1"/>
  <c r="L35"/>
  <c r="AI35" s="1"/>
  <c r="AI29"/>
  <c r="AH29"/>
  <c r="AG29"/>
  <c r="AF29"/>
  <c r="AJ29" s="1"/>
  <c r="Y29"/>
  <c r="AA29" s="1"/>
  <c r="X29"/>
  <c r="W29"/>
  <c r="AH28"/>
  <c r="AG28"/>
  <c r="AF28"/>
  <c r="AJ28" s="1"/>
  <c r="AA28"/>
  <c r="Y28"/>
  <c r="X28"/>
  <c r="W28"/>
  <c r="L28"/>
  <c r="AI28" s="1"/>
  <c r="Z27"/>
  <c r="K27"/>
  <c r="X27" s="1"/>
  <c r="J27"/>
  <c r="AF27" s="1"/>
  <c r="K26"/>
  <c r="AG26" s="1"/>
  <c r="J26"/>
  <c r="AF26" s="1"/>
  <c r="AI25"/>
  <c r="AG25"/>
  <c r="X25"/>
  <c r="J25"/>
  <c r="AF25" s="1"/>
  <c r="AG24"/>
  <c r="AF24"/>
  <c r="AF91" s="1"/>
  <c r="X24"/>
  <c r="W24"/>
  <c r="Y24" s="1"/>
  <c r="AA24" s="1"/>
  <c r="L24"/>
  <c r="AI24" s="1"/>
  <c r="J24"/>
  <c r="G13" i="4" s="1"/>
  <c r="F13" s="1"/>
  <c r="AG23" i="3"/>
  <c r="X23"/>
  <c r="L23"/>
  <c r="AI23" s="1"/>
  <c r="J23"/>
  <c r="AF23" s="1"/>
  <c r="K22"/>
  <c r="AG22" s="1"/>
  <c r="J22"/>
  <c r="G11" i="4" s="1"/>
  <c r="AG17" i="3"/>
  <c r="AF17"/>
  <c r="X17"/>
  <c r="W17"/>
  <c r="Y17" s="1"/>
  <c r="AA17" s="1"/>
  <c r="P17"/>
  <c r="L17"/>
  <c r="AI17" s="1"/>
  <c r="AF16"/>
  <c r="W16"/>
  <c r="L16"/>
  <c r="AI16" s="1"/>
  <c r="K16"/>
  <c r="AG16" s="1"/>
  <c r="AF15"/>
  <c r="W15"/>
  <c r="L15"/>
  <c r="AI15" s="1"/>
  <c r="K15"/>
  <c r="AG15" s="1"/>
  <c r="AH15" s="1"/>
  <c r="J9"/>
  <c r="D30" i="2"/>
  <c r="D29"/>
  <c r="D27"/>
  <c r="D26"/>
  <c r="D21"/>
  <c r="D20"/>
  <c r="D19"/>
  <c r="C19"/>
  <c r="D18"/>
  <c r="C18"/>
  <c r="D16"/>
  <c r="C16"/>
  <c r="D15"/>
  <c r="C15"/>
  <c r="D14"/>
  <c r="D13"/>
  <c r="D12"/>
  <c r="AC28" i="1"/>
  <c r="B11" i="4" l="1"/>
  <c r="B14" s="1"/>
  <c r="F14" s="1"/>
  <c r="B16"/>
  <c r="B22" s="1"/>
  <c r="AJ17" i="3"/>
  <c r="AH23"/>
  <c r="AH90" s="1"/>
  <c r="AJ23"/>
  <c r="AJ90" s="1"/>
  <c r="AF90"/>
  <c r="AH27"/>
  <c r="Y41"/>
  <c r="AJ46"/>
  <c r="AH46"/>
  <c r="AH47"/>
  <c r="AJ47"/>
  <c r="AJ50"/>
  <c r="AH50"/>
  <c r="AH51"/>
  <c r="AJ51"/>
  <c r="AF92"/>
  <c r="AH62"/>
  <c r="AA66"/>
  <c r="C20" i="2"/>
  <c r="G14" i="4"/>
  <c r="AJ25" i="3"/>
  <c r="AH25"/>
  <c r="AH26"/>
  <c r="K42"/>
  <c r="C21" i="2"/>
  <c r="AA71" i="3"/>
  <c r="C29" i="2"/>
  <c r="D17" i="6" s="1"/>
  <c r="C30" i="2"/>
  <c r="D18" i="6" s="1"/>
  <c r="AA79" i="3"/>
  <c r="D37" i="4"/>
  <c r="AJ15" i="3"/>
  <c r="AJ18" s="1"/>
  <c r="AH16"/>
  <c r="AH18" s="1"/>
  <c r="AA35"/>
  <c r="C14" i="2"/>
  <c r="AJ44" i="3"/>
  <c r="AF86"/>
  <c r="AJ16"/>
  <c r="AF18"/>
  <c r="AJ24"/>
  <c r="AJ91" s="1"/>
  <c r="AG27"/>
  <c r="AJ48"/>
  <c r="AJ59"/>
  <c r="AJ60"/>
  <c r="AJ61"/>
  <c r="F16" i="4"/>
  <c r="X16" i="3"/>
  <c r="Y16" s="1"/>
  <c r="AA16" s="1"/>
  <c r="AH17"/>
  <c r="L22"/>
  <c r="AI22" s="1"/>
  <c r="W23"/>
  <c r="Y23" s="1"/>
  <c r="AA23" s="1"/>
  <c r="L26"/>
  <c r="AI26" s="1"/>
  <c r="AJ26" s="1"/>
  <c r="L27"/>
  <c r="AI27" s="1"/>
  <c r="AJ27" s="1"/>
  <c r="AH35"/>
  <c r="AH36" s="1"/>
  <c r="L41"/>
  <c r="AI41" s="1"/>
  <c r="AJ41" s="1"/>
  <c r="X41"/>
  <c r="J42"/>
  <c r="AH43"/>
  <c r="AH45"/>
  <c r="W47"/>
  <c r="Y47" s="1"/>
  <c r="AA47" s="1"/>
  <c r="AH49"/>
  <c r="W51"/>
  <c r="Y51" s="1"/>
  <c r="AA51" s="1"/>
  <c r="W52"/>
  <c r="AF52"/>
  <c r="AH53"/>
  <c r="AJ54"/>
  <c r="AF62"/>
  <c r="F11" i="4"/>
  <c r="X15" i="3"/>
  <c r="Y15" s="1"/>
  <c r="W22"/>
  <c r="AF22"/>
  <c r="AH24"/>
  <c r="W25"/>
  <c r="Y25" s="1"/>
  <c r="AA25" s="1"/>
  <c r="W26"/>
  <c r="W27"/>
  <c r="Y27" s="1"/>
  <c r="AA27" s="1"/>
  <c r="AH41"/>
  <c r="W46"/>
  <c r="Y46" s="1"/>
  <c r="AA46" s="1"/>
  <c r="W50"/>
  <c r="Y50" s="1"/>
  <c r="AA50" s="1"/>
  <c r="X52"/>
  <c r="AH61"/>
  <c r="G25" i="4"/>
  <c r="F25" s="1"/>
  <c r="X22" i="3"/>
  <c r="X26"/>
  <c r="F24" i="4"/>
  <c r="B37" l="1"/>
  <c r="F22"/>
  <c r="D28" i="2"/>
  <c r="D31" s="1"/>
  <c r="D17"/>
  <c r="D22" s="1"/>
  <c r="AF42" i="3"/>
  <c r="W42"/>
  <c r="G18" i="4"/>
  <c r="F18" s="1"/>
  <c r="AJ86" i="3"/>
  <c r="AF30"/>
  <c r="AJ22"/>
  <c r="AF89"/>
  <c r="AF93" s="1"/>
  <c r="AH22"/>
  <c r="Y52"/>
  <c r="AA52" s="1"/>
  <c r="AJ62"/>
  <c r="AA41"/>
  <c r="Y26"/>
  <c r="AA26" s="1"/>
  <c r="Y22"/>
  <c r="AJ92"/>
  <c r="AG42"/>
  <c r="X42"/>
  <c r="L42"/>
  <c r="AI42" s="1"/>
  <c r="C13" i="2"/>
  <c r="AA15" i="3"/>
  <c r="AH86"/>
  <c r="AH91"/>
  <c r="AH52"/>
  <c r="AH92" s="1"/>
  <c r="AJ52"/>
  <c r="G36" i="4"/>
  <c r="F36" s="1"/>
  <c r="F37" s="1"/>
  <c r="AJ42" i="3" l="1"/>
  <c r="AH42"/>
  <c r="AF55"/>
  <c r="AF81" s="1"/>
  <c r="AF85"/>
  <c r="AF87" s="1"/>
  <c r="AF95" s="1"/>
  <c r="AF101" s="1"/>
  <c r="C26" i="2"/>
  <c r="AA22" i="3"/>
  <c r="C12" i="2"/>
  <c r="AJ89" i="3"/>
  <c r="AJ93" s="1"/>
  <c r="AJ30"/>
  <c r="C27" i="2"/>
  <c r="D15" i="6" s="1"/>
  <c r="AH89" i="3"/>
  <c r="AH93" s="1"/>
  <c r="AH30"/>
  <c r="G37" i="4"/>
  <c r="Y42" i="3"/>
  <c r="AA42" l="1"/>
  <c r="C17" i="2"/>
  <c r="C22" s="1"/>
  <c r="C28"/>
  <c r="D16" i="6" s="1"/>
  <c r="AH85" i="3"/>
  <c r="AH87" s="1"/>
  <c r="AH95" s="1"/>
  <c r="AH101" s="1"/>
  <c r="AH55"/>
  <c r="AH81" s="1"/>
  <c r="D14" i="6"/>
  <c r="AJ55" i="3"/>
  <c r="AJ81" s="1"/>
  <c r="AJ85"/>
  <c r="AJ87" s="1"/>
  <c r="AJ95" s="1"/>
  <c r="AJ101" s="1"/>
  <c r="C31" i="2" l="1"/>
  <c r="D19" i="6"/>
</calcChain>
</file>

<file path=xl/comments1.xml><?xml version="1.0" encoding="utf-8"?>
<comments xmlns="http://schemas.openxmlformats.org/spreadsheetml/2006/main">
  <authors>
    <author/>
  </authors>
  <commentList>
    <comment ref="A23" authorId="0">
      <text>
        <r>
          <rPr>
            <sz val="10"/>
            <rFont val="Arial"/>
            <family val="2"/>
            <charset val="1"/>
          </rPr>
          <t>REVISAR  AMBIENTE</t>
        </r>
      </text>
    </comment>
  </commentList>
</comments>
</file>

<file path=xl/sharedStrings.xml><?xml version="1.0" encoding="utf-8"?>
<sst xmlns="http://schemas.openxmlformats.org/spreadsheetml/2006/main" count="711" uniqueCount="326">
  <si>
    <t>Nombre Organismo Prestatario</t>
  </si>
  <si>
    <t>Nombre Organismo Sub-Ejecutor (si aplica)</t>
  </si>
  <si>
    <t>Iniciales Organismo Sub-ejecutor</t>
  </si>
  <si>
    <t>REPÚBLICA BOLIVARIANA DE VENEZUELA</t>
  </si>
  <si>
    <t>NO APLICA</t>
  </si>
  <si>
    <r>
      <t>NOTA:</t>
    </r>
    <r>
      <rPr>
        <b/>
        <sz val="10"/>
        <rFont val="Calibri"/>
        <family val="2"/>
        <charset val="1"/>
      </rPr>
      <t>1.</t>
    </r>
    <r>
      <rPr>
        <sz val="10"/>
        <rFont val="Calibri"/>
        <family val="2"/>
        <charset val="1"/>
      </rPr>
      <t>Solo puede existir un Organismo Coordinador que "coordina" y hace envío del Plan de Adquisiciones al Banco</t>
    </r>
    <r>
      <rPr>
        <b/>
        <sz val="10"/>
        <rFont val="Calibri"/>
        <family val="2"/>
        <charset val="1"/>
      </rPr>
      <t>2.</t>
    </r>
    <r>
      <rPr>
        <sz val="10"/>
        <rFont val="Calibri"/>
        <family val="2"/>
        <charset val="1"/>
      </rPr>
      <t>Para Cada Organismo Sub-ejecutor hay que cargar una ficha # 2 por separado ingresando los procesos que les corresponde</t>
    </r>
  </si>
  <si>
    <t>COMPONENTES? (SI / NO)</t>
  </si>
  <si>
    <t>Nombre de los componentes (listar por numero o letra)</t>
  </si>
  <si>
    <t>SI</t>
  </si>
  <si>
    <t>Componente 1: Inversión en Planta y Equipo</t>
  </si>
  <si>
    <t>Componente 2: Aspectos Ambientales</t>
  </si>
  <si>
    <t>Componente 3: Ingeniería, Inspección y Asesoría técnica</t>
  </si>
  <si>
    <t>Componente 4: Gastos sin Asignación</t>
  </si>
  <si>
    <t>Componente 5: Costos Financieros</t>
  </si>
  <si>
    <r>
      <t>NOTA:</t>
    </r>
    <r>
      <rPr>
        <sz val="10"/>
        <rFont val="Calibri"/>
        <family val="2"/>
        <charset val="1"/>
      </rPr>
      <t>Hacer nombramiento de los componentes que figuran en el acuerdo de préstamo; solo utilizar los componentes principales y no los sub-componentes</t>
    </r>
  </si>
  <si>
    <t>INFORMACIÓN PARA CARGA INICIAL DEL PLAN DE ADQUISICIONES 
EN CURSO Y/O ULTIMO PRESENTADO</t>
  </si>
  <si>
    <t>1. Cobertura del Plan de Adquisiciones</t>
  </si>
  <si>
    <t>Dato</t>
  </si>
  <si>
    <t>Desde</t>
  </si>
  <si>
    <t>Hasta</t>
  </si>
  <si>
    <t>Cobertura del Plan de Adquisiciones:</t>
  </si>
  <si>
    <t>Enero 2012</t>
  </si>
  <si>
    <t>Diciembre 2022</t>
  </si>
  <si>
    <t>2. Versión del Plan de Adquisiciones</t>
  </si>
  <si>
    <t>Versión:  16nov2017</t>
  </si>
  <si>
    <t>3. Tipos de Gasto</t>
  </si>
  <si>
    <t>Categoría de Adquisición</t>
  </si>
  <si>
    <t>Monto Financiado por el Banco</t>
  </si>
  <si>
    <t>Monto Total Estimado del  Proyecto (Incluyendo Contraparte)</t>
  </si>
  <si>
    <t>Obras</t>
  </si>
  <si>
    <t>Bienes</t>
  </si>
  <si>
    <t>Servicios de No Consultoría</t>
  </si>
  <si>
    <t>Capacitación</t>
  </si>
  <si>
    <t>Gastos Operativos</t>
  </si>
  <si>
    <t>Consultoría (firmas + individuos)</t>
  </si>
  <si>
    <t>Transferencias</t>
  </si>
  <si>
    <t>Subproyectos Comunitarios</t>
  </si>
  <si>
    <t>Administración</t>
  </si>
  <si>
    <t>No asignados</t>
  </si>
  <si>
    <t>Total</t>
  </si>
  <si>
    <t>4. Componentes</t>
  </si>
  <si>
    <t>Componente de Inversión</t>
  </si>
  <si>
    <t>Monto Total Estimado del Proyecto (Incluyendo Contraparte)</t>
  </si>
  <si>
    <r>
      <t>Componente 1 -</t>
    </r>
    <r>
      <rPr>
        <i/>
        <sz val="10"/>
        <rFont val="Calibri"/>
        <family val="2"/>
        <charset val="1"/>
      </rPr>
      <t>Inversiones en Planta y Equipo</t>
    </r>
  </si>
  <si>
    <r>
      <t>Componente 2 -</t>
    </r>
    <r>
      <rPr>
        <i/>
        <sz val="10"/>
        <rFont val="Calibri"/>
        <family val="2"/>
        <charset val="1"/>
      </rPr>
      <t>Aspectos Ambientales</t>
    </r>
  </si>
  <si>
    <r>
      <t>Componente 3 -</t>
    </r>
    <r>
      <rPr>
        <i/>
        <sz val="10"/>
        <rFont val="Calibri"/>
        <family val="2"/>
        <charset val="1"/>
      </rPr>
      <t>Ingeniería, inspección, Asesoría Técnica, auditoria externa, administración</t>
    </r>
  </si>
  <si>
    <r>
      <t>Componente 4 -</t>
    </r>
    <r>
      <rPr>
        <i/>
        <sz val="10"/>
        <rFont val="Calibri"/>
        <family val="2"/>
        <charset val="1"/>
      </rPr>
      <t>Gastos sin Asignación</t>
    </r>
  </si>
  <si>
    <r>
      <t>Componente 5 -</t>
    </r>
    <r>
      <rPr>
        <i/>
        <sz val="10"/>
        <rFont val="Calibri"/>
        <family val="2"/>
        <charset val="1"/>
      </rPr>
      <t>Costos Financieros</t>
    </r>
  </si>
  <si>
    <t>Banco Interamericano de Desarrollo</t>
  </si>
  <si>
    <t>PROYECTO DE REHABILITACIÓN UNIDADES 1 A 6 CASA DE MÁQUINAS I CENTRAL HIDROELÉCTRICA SIMÓN BOLÍVAR GURI. CONTRATO DE PRÉSTAMO N° 2429/OC-VE</t>
  </si>
  <si>
    <r>
      <t>Plan de Adquisiciones:</t>
    </r>
    <r>
      <rPr>
        <i/>
        <sz val="14"/>
        <rFont val="Arial"/>
        <family val="2"/>
        <charset val="1"/>
      </rPr>
      <t>Enero 2012 – Diciembre 2022
Actualizado: 16nov2017</t>
    </r>
  </si>
  <si>
    <t>República Bolivariana de Venezuela</t>
  </si>
  <si>
    <t>F=</t>
  </si>
  <si>
    <t>BIENES</t>
  </si>
  <si>
    <t>Monto Estimado</t>
  </si>
  <si>
    <r>
      <t>Método de Revisión</t>
    </r>
    <r>
      <rPr>
        <i/>
        <sz val="10"/>
        <color rgb="FFFFFFFF"/>
        <rFont val="Arial"/>
        <family val="2"/>
        <charset val="1"/>
      </rPr>
      <t>(ex-ante / ex-post)</t>
    </r>
  </si>
  <si>
    <t>Fechas</t>
  </si>
  <si>
    <t>Cat</t>
  </si>
  <si>
    <t>Clasif</t>
  </si>
  <si>
    <t>Unidad Ejecutora:</t>
  </si>
  <si>
    <t>Componente</t>
  </si>
  <si>
    <t>Descripción:</t>
  </si>
  <si>
    <t>Método de  Adquisición
(Seleccionar una de las opciones):</t>
  </si>
  <si>
    <t>Cantidad de Lotes:</t>
  </si>
  <si>
    <t>Número de Proceso:</t>
  </si>
  <si>
    <t>Monto Estimado en US$:</t>
  </si>
  <si>
    <t>%  Estimado BID:</t>
  </si>
  <si>
    <t>% Estimado Contraparte:</t>
  </si>
  <si>
    <t>Aviso Especial de Adquisiciones</t>
  </si>
  <si>
    <t>Firma del Contrato</t>
  </si>
  <si>
    <t>Monto Contratado en Divisas (US$):</t>
  </si>
  <si>
    <t>Monto Contratado en Bolívares:</t>
  </si>
  <si>
    <t>Nombre del Contratista</t>
  </si>
  <si>
    <t>Método de Revisión</t>
  </si>
  <si>
    <t>Comentarios</t>
  </si>
  <si>
    <t>Monto Estimado Actualizado (USD) Equiv</t>
  </si>
  <si>
    <t>% Estimado  (USD) BID:</t>
  </si>
  <si>
    <t>Monto (USD) BID:</t>
  </si>
  <si>
    <t>Monto BID Base (USD):</t>
  </si>
  <si>
    <t>--&gt; Imprevisto BID Sobrante(+)/Faltante (-)</t>
  </si>
  <si>
    <t>Monto Estimado Revisado Actualizado (USD) Equiv</t>
  </si>
  <si>
    <t>Monto Estimado % (USD) BID:</t>
  </si>
  <si>
    <t>Monto (USD) BID</t>
  </si>
  <si>
    <t>% Estimado (USD) Contraparte</t>
  </si>
  <si>
    <t>Monto (USD) Contraparte</t>
  </si>
  <si>
    <t>C2</t>
  </si>
  <si>
    <t>C2.1</t>
  </si>
  <si>
    <t>CORPOELEC</t>
  </si>
  <si>
    <t>Comp. 2 Aspectos ambientales</t>
  </si>
  <si>
    <t>Adquisición de bienes e Instalación de equipos para el Fortalecimiento Instrumental de la Red de Mediciones de Variables Ambientales de la Cuenca del río Caroní.</t>
  </si>
  <si>
    <t>Licitación Pública Internacional (LPI)</t>
  </si>
  <si>
    <t>SIN ASIGNAR</t>
  </si>
  <si>
    <t>ex-ante</t>
  </si>
  <si>
    <t>PU - Precios Unitarios</t>
  </si>
  <si>
    <t>El Proceso No.CAI-SUR6-A-0327/2012 se declaró desierto en Junio 2016.
La Coordinación de Gestión Ambiental presentó un estimado de costo por US$ 1.700.000, para lo cual se requiere determinar la procedencia de los recursos adicionales.</t>
  </si>
  <si>
    <t>C2.2</t>
  </si>
  <si>
    <t>CORPOELEC</t>
  </si>
  <si>
    <t>Suministro de Materiales para la Dotación de Brigadas de Emergencias y Contingencias Ambientales Operacionales  de la Central Hidroeléctrica Simón Bolívar.</t>
  </si>
  <si>
    <t>Se solicitó al BID estrategía para el cambio de modalidad de Contratación de LPN a LPI, con la finalidad de adquirir mayor cantidad de equipos en moneda extranjera.
La Coordinación de Gestión Ambiental presentó un estimado de costo por US$ 582.000, para lo cual el BID requirió informe detallado.</t>
  </si>
  <si>
    <t>C2.3</t>
  </si>
  <si>
    <t>CORPOELEC</t>
  </si>
  <si>
    <t>Suministro de Materiales y Adquisición de Bienes y Equipos para la Atención de Emergencias y Contingencias Ambientales Operacionales y el Manejo Integral de Desechos Peligrosos de la Central Hidroeléctrica Simón Bolívar.</t>
  </si>
  <si>
    <t>NCO-CAP10-017/2015</t>
  </si>
  <si>
    <t>Consorcio DEVEPETROLS/IMPEXPETROL.</t>
  </si>
  <si>
    <t>El 22 de Junio el Contratista cumplió con la entrega del Lote N° 2, se firmó acta de acuerdo para cumplir con la extensión del Plazo de Ejecución. En Septiembre de 2016 Consorcio presento valuación unica para su pago corresponidente</t>
  </si>
  <si>
    <t>x</t>
  </si>
  <si>
    <t>OBRAS</t>
  </si>
  <si>
    <r>
      <t>Método de Adquisición</t>
    </r>
    <r>
      <rPr>
        <i/>
        <sz val="10"/>
        <color rgb="FFFFFFFF"/>
        <rFont val="Arial"/>
        <family val="2"/>
        <charset val="1"/>
      </rPr>
      <t>(Seleccionar una de las opciones)</t>
    </r>
    <r>
      <rPr>
        <sz val="10"/>
        <color rgb="FFFFFFFF"/>
        <rFont val="Arial"/>
        <family val="2"/>
        <charset val="1"/>
      </rPr>
      <t>:</t>
    </r>
  </si>
  <si>
    <t>Comentarios</t>
  </si>
  <si>
    <t>C1</t>
  </si>
  <si>
    <t>C1.1</t>
  </si>
  <si>
    <t>Comp. 1. Inversión en Planta y Equipo</t>
  </si>
  <si>
    <t>Modernización de las Unidades 1 a 6 y de los Sistemas Auxiliares Eléctricos Y Mecánicos Comunes Principales de la Casa de Máquinas I de Guri.</t>
  </si>
  <si>
    <t>Único</t>
  </si>
  <si>
    <t>CAI-SUR6-G-0068/2011</t>
  </si>
  <si>
    <t>DONGFANG ELECTRIC MACHINERY Co. Ltd (DFEM).</t>
  </si>
  <si>
    <t>PU</t>
  </si>
  <si>
    <t>Contrato en ejecución
El 02/10/2017, se recibio Programa Propuesto por DFEM, en revisión y elaboración de addendum</t>
  </si>
  <si>
    <t>C1.2</t>
  </si>
  <si>
    <t>Modernización y Ampliación de la Subestación Guri "A" a 400Kv, construcción de nuevo Patio Guri "A" a 230/34,5/13,8kV y Modernización de las líneas de transmisión asociadas a la Casa de Máquinas I de la Central Hidroeléctrica Simón Bolívar Guri</t>
  </si>
  <si>
    <t>SG- Suma Global.</t>
  </si>
  <si>
    <t>En proceso de definición de tecnología de la S/E. Proceso no financiado por BID.</t>
  </si>
  <si>
    <t>C1.3</t>
  </si>
  <si>
    <t>Adecuación Arquitectónica y Ambiental de las Instalaciones y Modernización de los Sistemas Auxiliares Eléctricos y  Mecánicos Comunes Complementarios de la Casa de Máquinas I</t>
  </si>
  <si>
    <t>no aplica</t>
  </si>
  <si>
    <t>En proceso de elaboración de especificaciones técnicas y reevaluación de Estimado de Costos. Proceso no financiado por BID.</t>
  </si>
  <si>
    <t>C1.4</t>
  </si>
  <si>
    <t>Restauración de la Obra de Cruz Diez</t>
  </si>
  <si>
    <t>Adjudicación Directa (AD)</t>
  </si>
  <si>
    <t>Selección Directa (SD)</t>
  </si>
  <si>
    <t>En proceso de definición de Especificaciones y actualización del estimado de Costos. Se Prevé  como Adjudicación Directa según Ley de Contrataciones de Venezuela. Proceso no financiado por BID.</t>
  </si>
  <si>
    <t>C2.4</t>
  </si>
  <si>
    <t>Construcción de Obra para el Almacenamiento Temporal de Desechos Peligrosos de la Central Hidroeléctrica Simón Bolívar</t>
  </si>
  <si>
    <t>Licitación Pública Nacional (LPN)</t>
  </si>
  <si>
    <t>En proceso de elaboración de especificaciones técnicas. Se evaluará con CAF la conveniencia y factibilidad de cambio en modalidad de contratación a LPI. Proceso no financiado por BID.</t>
  </si>
  <si>
    <t>C2.5</t>
  </si>
  <si>
    <t>Construcción de Obras Menores, Adquisición e instalación de Equipos para la Rehabilitación y Puesta en Operación de la Planta de Tratamiento de Aguas Servidas "La Llovizna"</t>
  </si>
  <si>
    <t>C2.6</t>
  </si>
  <si>
    <t>Construcción de Obras para la Recuperación de Área y Adecuación del Entorno de la Central Hidroeléctrica Simón Bolivar .</t>
  </si>
  <si>
    <t>CORPOELEC  planteará al BID  la conformidad de ejecución de este componente al considerarse recuperadas las áreas inicialmente previstas. Proceso no financiado por BID.</t>
  </si>
  <si>
    <t>C2.7</t>
  </si>
  <si>
    <t>Construcción de Obras para la Adecuación de Infraestructura de servicio, acceso y soporte de la Red de mediciones de Variables Ambientales de la Cuenca del río Caroní.</t>
  </si>
  <si>
    <t>Se plantea una nueva modalidad de ejecución: Administración Directa, lo cual está sujeto a la aprobación del BID. Requiere elaboración de un plan detallado de ejecución por CORPOELEC. Proceso no financiado por BID.</t>
  </si>
  <si>
    <t>SERVICIOS (NO CONSULTORÍA)</t>
  </si>
  <si>
    <t>Actividad</t>
  </si>
  <si>
    <t>Documento de Licitación</t>
  </si>
  <si>
    <t>Serv_No_Consultorias</t>
  </si>
  <si>
    <t>C2.8</t>
  </si>
  <si>
    <t>Servicio para  la Recolección , Transporte y Disposición Final de Desechos Peligrosos de la Central Hidroeléctrica Simón Bolívar (Guri),  Venezuela.</t>
  </si>
  <si>
    <t>En proceso de adecuación de las especificaciones tecnicas debido a los comentarios emitidos por BID el 18-07-2017</t>
  </si>
  <si>
    <t>FIRMAS CONSULTORAS</t>
  </si>
  <si>
    <t>Monto Contratado en Divisas :</t>
  </si>
  <si>
    <t>Aviso de Expresiones de Interés</t>
  </si>
  <si>
    <t>C3</t>
  </si>
  <si>
    <t>Consultorías</t>
  </si>
  <si>
    <t>C3.1</t>
  </si>
  <si>
    <t>Comp. 3. Ingeniería, Inspección, Asesoría Técnica</t>
  </si>
  <si>
    <t>Asesoría Técnica Especializada para el Proyecto de Rehabilitación de las Unidades 1 a 6 de la Casa de Máquinas I de la Central Hidroeléctrica Simón Bolívar de Guri.</t>
  </si>
  <si>
    <t>Lista Corta Internacional</t>
  </si>
  <si>
    <t>SP-CAP10-G-0133/2014</t>
  </si>
  <si>
    <t>ELC ELECTROCONSULT S.p.A.</t>
  </si>
  <si>
    <r>
      <t>Selecció</t>
    </r>
    <r>
      <rPr>
        <sz val="9"/>
        <rFont val="Arial"/>
        <family val="2"/>
        <charset val="1"/>
      </rPr>
      <t>n Basada en el Menor Costo (SBMC)</t>
    </r>
  </si>
  <si>
    <t>En ejecución</t>
  </si>
  <si>
    <t>C3.3</t>
  </si>
  <si>
    <t>Inspección en Fábrica de los equipos requeridos para la Modernización de las Unidades 1 a 6  de la Casa de Máquinas I de la Central Hidroeléctrica Simón Bolívar de Guri.</t>
  </si>
  <si>
    <t>SP-CAP10-G-0183/2014</t>
  </si>
  <si>
    <t>TRACTEBEL ENGINEERING, S.A.</t>
  </si>
  <si>
    <t>En ejecución
Entregada Factura por cumplimiento hito 1, por 10% monto de Honorarios Profesionales</t>
  </si>
  <si>
    <t>C3.5</t>
  </si>
  <si>
    <t>Apoyo Técnico para el Proyecto de Rahabilitación de las Unidades 1 a 6 de la Casa de Máquinas I de la Central Hidroelectrica Simón Bolívar de Guri</t>
  </si>
  <si>
    <t>Sin asignar</t>
  </si>
  <si>
    <t>Selección Basada en Calidad y Costo (SBCC)</t>
  </si>
  <si>
    <t>Pendiente ajustar las cláusulas de seguros y ajuste de tarifas en la SP.
La recepción de intención está programada para el  30/10/2017</t>
  </si>
  <si>
    <t>C3.8</t>
  </si>
  <si>
    <t>CORPOELEC-</t>
  </si>
  <si>
    <t>Auditoria Externa (Año 1)</t>
  </si>
  <si>
    <t>Contratación Directa</t>
  </si>
  <si>
    <t>S/N</t>
  </si>
  <si>
    <t>Firma Auditora Mendoza, Delgado, Labrador &amp; Asociados (ERNST&amp;YOUNG)</t>
  </si>
  <si>
    <t>Culminado el 12/06/2015. Financiado con Aporte Local</t>
  </si>
  <si>
    <t>C3.9</t>
  </si>
  <si>
    <t>Auditoria Externa (Año 2)</t>
  </si>
  <si>
    <t>Lara Marambio &amp; Asociados</t>
  </si>
  <si>
    <t>Culminado el 15/04/2016. Financiado con Aporte Local</t>
  </si>
  <si>
    <t>C3.10</t>
  </si>
  <si>
    <t>Auditoria Externa (Año 3)</t>
  </si>
  <si>
    <t>Acta de recepción definitiva 27/04/2017</t>
  </si>
  <si>
    <t>C3.11</t>
  </si>
  <si>
    <t>Auditoria Externa (Año 4)</t>
  </si>
  <si>
    <t>Selección Basada en Calificación de los Consultores (SCC)</t>
  </si>
  <si>
    <t>Calificación del auditor</t>
  </si>
  <si>
    <t>En elaboración de Contrato con Lara Marambio &amp; Asociados.
Monto estimado Bs. 50.000.000,00</t>
  </si>
  <si>
    <t>C3.12</t>
  </si>
  <si>
    <t>Auditoria Externa (Año 5)</t>
  </si>
  <si>
    <t>Actividad sin iniciar.</t>
  </si>
  <si>
    <t>C3.13</t>
  </si>
  <si>
    <t>Auditoria Externa (Año 6)</t>
  </si>
  <si>
    <t>C3.14</t>
  </si>
  <si>
    <t>Auditoria Externa (Año 7)</t>
  </si>
  <si>
    <t>C2.10</t>
  </si>
  <si>
    <t>Diseño y Ejecución del Programa de Formación y Capacitación en Redes de Monitoreo de Variables Ambientales Hidrometeorológicas y Limnológicas de la Cuenca del río Caroní, para el Fortalecimiento Operativo de la Central Hidroeléctrica Simón Bolívar.</t>
  </si>
  <si>
    <t>NCO-CAP10-0110/2014</t>
  </si>
  <si>
    <t>Consorcio ICLAM/INGENIAS/ICLAM de Venezuela.</t>
  </si>
  <si>
    <t>Culminado en Noviembre de 2016. Informe de cierre culminado.  Se elaboró acta de acuerdo con el Contratista para cerrar administrativamente el Contrato, Contratista solicitó el pago directo procedente del BID.</t>
  </si>
  <si>
    <t>C2.11</t>
  </si>
  <si>
    <t>Formación de Brigadas para la Atención y Manejo de Emergencias y Contingencias Ambientales Operacionales de la Central Hidroeléctrica Simón Bolívar.</t>
  </si>
  <si>
    <r>
      <t>CORPOELEC planteará al BID la ejecución de este componente a través de una coordinación interinstitucional usando recursos propios, elaborará la propuesta de ejecución especificando las instituciones y empresas involucradas, instructores, contenido y aspectos logísticos, entre otros.</t>
    </r>
    <r>
      <rPr>
        <sz val="10"/>
        <color rgb="FF000000"/>
        <rFont val="Arial"/>
        <family val="2"/>
        <charset val="1"/>
      </rPr>
      <t>Proceso no financiado por BID.</t>
    </r>
  </si>
  <si>
    <t>C2.12</t>
  </si>
  <si>
    <t>Desarrollo de estudios ambientales multitemáticos asociados a la operatividad y vulnerabilidad de la Central Simón Bolívar.</t>
  </si>
  <si>
    <t>En proceso de elaboración de los términos de referencia y estimados de costo.</t>
  </si>
  <si>
    <t>CONSULTORES INDIVIDUALES</t>
  </si>
  <si>
    <r>
      <t>Método de Adquisición</t>
    </r>
    <r>
      <rPr>
        <i/>
        <sz val="8"/>
        <color rgb="FFFFFFFF"/>
        <rFont val="Arial"/>
        <family val="2"/>
        <charset val="1"/>
      </rPr>
      <t>(Seleccionar una de las opciones)</t>
    </r>
    <r>
      <rPr>
        <sz val="8"/>
        <color rgb="FFFFFFFF"/>
        <rFont val="Arial"/>
        <family val="2"/>
        <charset val="1"/>
      </rPr>
      <t>:</t>
    </r>
  </si>
  <si>
    <t>Cantidad Estimada de Consultores:</t>
  </si>
  <si>
    <r>
      <t>Método de Revisión</t>
    </r>
    <r>
      <rPr>
        <i/>
        <sz val="8"/>
        <color rgb="FFFFFFFF"/>
        <rFont val="Arial"/>
        <family val="2"/>
        <charset val="1"/>
      </rPr>
      <t>(ex-ante / ex-post)</t>
    </r>
  </si>
  <si>
    <t>Nombre del Consultor</t>
  </si>
  <si>
    <t>Comentarios - incluir método de selección</t>
  </si>
  <si>
    <t>No Objeción a los TdR de la Actividad</t>
  </si>
  <si>
    <t>Firma Contrato</t>
  </si>
  <si>
    <t>C3.15</t>
  </si>
  <si>
    <t>Asistencia Técnica Especializada y Acompañamiento en el proceso de procura del equipamiento hidromecánico requerido para la Modernización de las Unidades 1 a 6 de la Casa de Máquinas I, Central Hidroeléctrica Simón Bolívar Guri</t>
  </si>
  <si>
    <t>3 CVs</t>
  </si>
  <si>
    <t>CG-CMO-PC-020</t>
  </si>
  <si>
    <t>Viliam Viela</t>
  </si>
  <si>
    <t>Capacidad del Consultor</t>
  </si>
  <si>
    <t>Contrato Ejecutado.  Esta contratación se carga contra el centro de costos de Imprevistos para el Proyecto.</t>
  </si>
  <si>
    <t>C3.16</t>
  </si>
  <si>
    <t>Consultoría Individual Evaluación Intermedia del Proyecto</t>
  </si>
  <si>
    <t>C3.17</t>
  </si>
  <si>
    <t>Consultoría Individual Evaluación Final del Proyecto</t>
  </si>
  <si>
    <t>ADMINISTRACION</t>
  </si>
  <si>
    <t>comentarios</t>
  </si>
  <si>
    <t>NO APLICAN ESTOS CUADROS (FUERA DE FORMATO) NO SON ADQUISICIONES PREVISTAS SINO COSTOS DEL PROYECTO</t>
  </si>
  <si>
    <t>NO ASIGNADOS</t>
  </si>
  <si>
    <t>C4</t>
  </si>
  <si>
    <t>No_asignados</t>
  </si>
  <si>
    <t>Comp. 4. Costos No asignados</t>
  </si>
  <si>
    <t>No Asignados Imprevistos mas Escalamiento Base</t>
  </si>
  <si>
    <t>Sobrante (+) y/o Faltante (-)  BID  reasigando a Imprevistos</t>
  </si>
  <si>
    <t>Sobrante (+) y/o Faltante (-)  CAF  reasigando a Imprevistos</t>
  </si>
  <si>
    <t>Sobrante (+) y/o Faltante (-)  AL  reasigando a Imprevistos</t>
  </si>
  <si>
    <t>COSTOS FINANCIEROS</t>
  </si>
  <si>
    <t>C5</t>
  </si>
  <si>
    <t>Gastos_Operativos</t>
  </si>
  <si>
    <t>Comp. 5 .Costos Financieros</t>
  </si>
  <si>
    <t>Costos Financieros</t>
  </si>
  <si>
    <t>Ingeniería e Inspección</t>
  </si>
  <si>
    <t>Auditorias y Evaluaciones</t>
  </si>
  <si>
    <t>Ingeniería, inspección y asesoría técnica</t>
  </si>
  <si>
    <t>Contrato 1</t>
  </si>
  <si>
    <t>Contrato 2</t>
  </si>
  <si>
    <t>Contrato 3</t>
  </si>
  <si>
    <t>Componente Ambiental</t>
  </si>
  <si>
    <t>Componentes de Inversión</t>
  </si>
  <si>
    <t>TOTAL DIRECTOS</t>
  </si>
  <si>
    <t>Gastos sin asignación</t>
  </si>
  <si>
    <t>TOTAL GENERAL</t>
  </si>
  <si>
    <t>PLAN DE ADQUISICIONES</t>
  </si>
  <si>
    <t>Proyecto: REHABILITACIÓN DE LAS UNIDADES 1 A 6 DE LAS CASA DE MÁQUINAS I DE LA CENTRAL HIDROELÉCTRICA SIMÓN BOLÍVAR (GURI)</t>
  </si>
  <si>
    <t>Contrato de Préstamo No. 2429/OC-VE</t>
  </si>
  <si>
    <r>
      <t>Período comprendido en este Plan de Adquisiciones:  Desde   </t>
    </r>
    <r>
      <rPr>
        <i/>
        <sz val="11"/>
        <rFont val="Arial"/>
        <family val="2"/>
        <charset val="1"/>
      </rPr>
      <t>Enero/2012</t>
    </r>
    <r>
      <rPr>
        <b/>
        <sz val="11"/>
        <rFont val="Arial"/>
        <family val="2"/>
        <charset val="1"/>
      </rPr>
      <t>hasta  </t>
    </r>
    <r>
      <rPr>
        <i/>
        <sz val="11"/>
        <rFont val="Arial"/>
        <family val="2"/>
        <charset val="1"/>
      </rPr>
      <t>Diciembre/2020</t>
    </r>
  </si>
  <si>
    <t>REPORTE VARIACIONES DE COSTOS</t>
  </si>
  <si>
    <t>DESCRIPCIÓN</t>
  </si>
  <si>
    <t>Monto Base Dic 2010 MM US$</t>
  </si>
  <si>
    <t>Aporte BID</t>
  </si>
  <si>
    <t>Aporte CAF</t>
  </si>
  <si>
    <t>Aporte Local</t>
  </si>
  <si>
    <r>
      <t>Ajustes preliminares MM US$</t>
    </r>
    <r>
      <rPr>
        <b/>
        <vertAlign val="superscript"/>
        <sz val="10"/>
        <rFont val="Arial"/>
        <family val="2"/>
        <charset val="1"/>
      </rPr>
      <t/>
    </r>
  </si>
  <si>
    <t>Monto Actualizado MM US$</t>
  </si>
  <si>
    <t>COMENTARIOS</t>
  </si>
  <si>
    <t/>
  </si>
  <si>
    <r>
      <t>CONTRATO 1:</t>
    </r>
    <r>
      <rPr>
        <sz val="10"/>
        <rFont val="Arial"/>
        <family val="2"/>
        <charset val="1"/>
      </rPr>
      <t>Modernización de las Unidades 1 a 6 y de los Sistemas Auxiliares Eléctricos y Mecánicos Comunes Principales de la Casa de Máquinas I de Guri.</t>
    </r>
  </si>
  <si>
    <t>Contrato firmado por debajo del monto autorizado a financiar base 2010. Reporta economía, la cual CORPOELEC evaluará la distribución de los Recursos en los Contratos que presenten déficit financieros.</t>
  </si>
  <si>
    <r>
      <t>CONTRATO 2:</t>
    </r>
    <r>
      <rPr>
        <sz val="10"/>
        <rFont val="Arial"/>
        <family val="2"/>
        <charset val="1"/>
      </rPr>
      <t>Modernización y Ampliación de la Subestación Guri "A" a 400Kv, construcción de nuevo Patio Guri "A" a 230/34,5/13,8kV y Modernización de las líneas de transmisión asociadas a la Casa de Máquinas I de la Central Hidroeléctrica Simón Bolívar Guri</t>
    </r>
  </si>
  <si>
    <t>Actualización del monto estimado, el cual está por debajo del monto autorizado base 2010. Se reporta economía la cual se evaluará la distribución de los Recursos en los contratos que presenten déficit financieros.</t>
  </si>
  <si>
    <r>
      <t>CONTRATO 3:</t>
    </r>
    <r>
      <rPr>
        <sz val="10"/>
        <rFont val="Arial"/>
        <family val="2"/>
        <charset val="1"/>
      </rPr>
      <t>Adecuación Arquitectónica y Ambiental de las Instalaciones y Modernización de los Sistemas Auxiliares Eléctricos y Mecánicos Comunes Complementarios de la Casa de Máquinas I.</t>
    </r>
  </si>
  <si>
    <t>Se mantiene el estimado de costos del año 2014. Se requiere nueva actualización de acuerdo a la redefinición del Alcance de los Servicios.</t>
  </si>
  <si>
    <t>TOTAL OBRAS (MM USD)</t>
  </si>
  <si>
    <t>SERVICIOS CONSULTORÍA</t>
  </si>
  <si>
    <t>Servicios de Asesoría Técnica Especializada para el Proyecto de Rehabilitación de las Unidades 1 a 6 de la Casa de Máquinas I de la Central Hidroeléctrica Simón Bolívar en Guri.</t>
  </si>
  <si>
    <t>Incremento por actualización del Estimado de costos 2016</t>
  </si>
  <si>
    <t>Servicios de Ingeniería para el Proyecto de Modernización de las Unidades 1 a 6 de la Casa de Máquinas I de la Central Hidroeléctrica Simón Bolívar en Guri.</t>
  </si>
  <si>
    <t>Inspección en Fábrica de los Equipos requeridos para la Modernización de las Unidades 1 a 6 y de los Sistemas Auxiliares Eléctricos y Mecánicos Comunes Principales de la Casa de Máquinas I.</t>
  </si>
  <si>
    <t>Incremento por actualización del Estimado de costos 2015</t>
  </si>
  <si>
    <t>Inspección en Sitio de los Trabajos de Modernización de las Unidades 1 a 6 y de los Sistemas Auxiliares Eléctricos y Mecánicos Comunes Principales de la Casa de Máquinas I.</t>
  </si>
  <si>
    <t>Inspección en Sitio de los Trabajos de Modernización y Adecuación de los Patios de 400 kV, 230 kV, 34,5 kV y 13,8 kV de la Subestación Guri A y Mejoras de las Líneas.</t>
  </si>
  <si>
    <t>Inspección en Sitio de los Trabajos la Adecuación Arquitectónica y Ambiental de las Instalaciones y Modernización de los Sistemas Auxiliares Eléctricos y Mecánicos Comunes Complementarios de la Casa de Máquinas I.</t>
  </si>
  <si>
    <t>Se mantiene el estimado de costos del año 2014. Se requiere nueva actualización de acuerdo a la redefinición del Alcance del Contrato 3.</t>
  </si>
  <si>
    <t>TOTAL CONSULTORÍAS (MM USD)</t>
  </si>
  <si>
    <t>PLAN GESTIÓN AMBIENTAL</t>
  </si>
  <si>
    <t>Construcción de Obra para el Almacenamiento Temporal de Desechos Peligrosos de la Central Hidroeléctrica Simón Bolívar.</t>
  </si>
  <si>
    <t>Incremento por actualización del Estimado de costos 2016. Se plantea financiamiento con Aporte CAF y cubrir déficit con Aporte local. El monto a financiar por BID se evaluará distribuir dentro de la Cartera del Proyecto Componente Ambiental.</t>
  </si>
  <si>
    <t>Construcción de Obras Menores,  Adquisición e Instalación de Equipos para la Rehabilitacion y Puesta en Operación de la Planta Tratamiento de Aguas Servidas "La Llovizna".</t>
  </si>
  <si>
    <t>Incremento por actualización del Estimado de costos 2016. Se plantea financiamiento con Aporte CAF. El monto a financiar por BID distribuir dentro de la Cartera del Proyecto Componente Ambiental.</t>
  </si>
  <si>
    <t>Construcción de Obras para la Recuperación de Áreas y Adecuación del Entorno de la Central Hidroeléctrica Simón Bolívar.</t>
  </si>
  <si>
    <t>Incremento por actualización del Estimado de costos 2016. Se evaluará cubrir déficit con Aporte Local o distribución de los recursos provenientes de las economías reportadas de los diferentes contrataciones.</t>
  </si>
  <si>
    <t>Incremento por actualización del Estimado de costos 2016. Se planteá financiamiento total  BID.</t>
  </si>
  <si>
    <t>Suministro de Materiales para la Dotación de Brigadas de Emergencias y Contingencias Ambientales Operacionales y Adquisición de Equipos para el Programa de Educación Ambiental de la Central Hidroeléctrica Simón Bolívar.</t>
  </si>
  <si>
    <t>Incremento por actualización del Estimado de costos 2016. Se planteá financiamiento total BID.</t>
  </si>
  <si>
    <t>Recolección y Disposición final de Desechos Peligrosos y Diseño del Plan Integral de Desechos Peligrosos y No Peligrosos de la Central Hidroeléctrica Simón Bolívar.</t>
  </si>
  <si>
    <t>Se realizó ajuste al alcance de los servicios. Se planteá aporte del Financiamiento con la CAF y  BID</t>
  </si>
  <si>
    <t>Disposición final de Bifenilos Policlorados (BPC) de la Central Hidroeléctrica Simón Bolívar.</t>
  </si>
  <si>
    <t>Contrato Firmado. Se planteá financiamiento total BID.</t>
  </si>
  <si>
    <t>Formación de Brigadas para la Atención y Manejo de Emergencias y Contingencias Ambientales Operacionales y Diseño del Programa de Educación Ambiental para el Manejo de Desechos Peligrosos de la Central Hidroeléctrica Simón Bolívar.</t>
  </si>
  <si>
    <t>Desarrollo de Estudio Ambiental Multitemático asociado a la Operatividad y Vulnerabilidad de la Central Hidroeléctrica Simón Bolívar.</t>
  </si>
  <si>
    <t>TOTAL PLAN GESTIÓN AMBIENTAL (MM USD)</t>
  </si>
  <si>
    <t>TOTALES</t>
  </si>
  <si>
    <t>REESTRUCTURACION DE PLAN DE ADQUISICIONES</t>
  </si>
  <si>
    <t>Original</t>
  </si>
  <si>
    <t>Monto Estimado en US$
(Original)</t>
  </si>
  <si>
    <t>Actual</t>
  </si>
  <si>
    <t>Incluidos en:
Servicio para  la Recolección , Transporte y Disposición Final de Desechos Peligrosos de la Central Hidroeléctrica Simón Bolívar (Guri),  Venezuela.</t>
  </si>
  <si>
    <t>C2.9</t>
  </si>
  <si>
    <t>C3.2</t>
  </si>
  <si>
    <t>Incluidos en :
Apoyo Técnico para el Proyecto de Rahabilitación de las Unidades 1 a 6 de la Casa de Máquinas I de la Central Hidroelectrica Simón Bolívar de Guri</t>
  </si>
  <si>
    <t>C3.4</t>
  </si>
  <si>
    <t>Inspección en Sitio de los trabajos de Modernización  de las Unidades 1 a 6 y de los sistemas auxiliares eléctricos y mecánicos comunes y principales  de la Casa de Máquinas I.</t>
  </si>
  <si>
    <t>C3.6</t>
  </si>
  <si>
    <t>Inspección en Sitio de los trabajos de Modernización y Adecuación de los Patios de 400kV, 34,5kV Y 13,8kV de la Subestación Guri "A" y mejoras de las Líneas.</t>
  </si>
  <si>
    <t>C3.7</t>
  </si>
  <si>
    <t>Inspección en Sitio de los trabajos de Adecuación Arquitectónica y Ambiental de las instalaciones y Modernización de los Sistemas Auxiliares eléctricos y mecánicos Comunes Complementarios de la Casa de Máquinas I.</t>
  </si>
  <si>
    <t>CAMBIOS PROPUESTO PARA AJUSTE DEL MONTO DEL PRESTAMO BID A 500 MM$</t>
  </si>
  <si>
    <t>ORIGINAL</t>
  </si>
  <si>
    <t>MODIFICADO</t>
  </si>
  <si>
    <t>"Desarrollo de estudios ambientales multitemáticos asociados a la operatividad y vulnerabilidad de la Central Simón Bolívar",</t>
  </si>
  <si>
    <t>Monto Financiado por el BID</t>
  </si>
  <si>
    <t>ex ante</t>
  </si>
</sst>
</file>

<file path=xl/styles.xml><?xml version="1.0" encoding="utf-8"?>
<styleSheet xmlns="http://schemas.openxmlformats.org/spreadsheetml/2006/main">
  <numFmts count="16">
    <numFmt numFmtId="164" formatCode="_ * #,##0.00_ ;_ * \-#,##0.00_ ;_ * \-??_ ;_ @_ "/>
    <numFmt numFmtId="165" formatCode="#;[Red]\-#"/>
    <numFmt numFmtId="166" formatCode="[$USD]\ #,##0.00"/>
    <numFmt numFmtId="167" formatCode="mm/yy"/>
    <numFmt numFmtId="168" formatCode=";;;"/>
    <numFmt numFmtId="169" formatCode="#,##0.00;[Red]#,##0.00"/>
    <numFmt numFmtId="170" formatCode="&quot;(+) &quot;#,##0.00;[Red]&quot;(-) &quot;#,##0.00;&quot;--&quot;??_ ;_ @_ "/>
    <numFmt numFmtId="171" formatCode="_ [$USD]\ * #,##0.00_ ;_ [$USD]\ * \-#,##0.00_ ;_ [$USD]\ * \-??_ ;_ @_ "/>
    <numFmt numFmtId="172" formatCode="#,##0.000000"/>
    <numFmt numFmtId="173" formatCode="_ [$EUR]\ * #,##0.00_ ;_ [$EUR]\ * \-#,##0.00_ ;_ [$EUR]\ * \-??_ ;_ @_ "/>
    <numFmt numFmtId="174" formatCode="mm/yyyy"/>
    <numFmt numFmtId="175" formatCode="_ * #,##0.000000_ ;_ * \-#,##0.000000_ ;_ * \-??_ ;_ @_ "/>
    <numFmt numFmtId="176" formatCode="#,##0.000_);\(#,##0.000\)"/>
    <numFmt numFmtId="177" formatCode="#,##0.000;[Red]\-#,##0.000"/>
    <numFmt numFmtId="178" formatCode="#,##0.00,,"/>
    <numFmt numFmtId="179" formatCode="&quot;(+) &quot;#,##0.00,,;[Red]&quot;(-)&quot;#,##0.00,,;* &quot;--&quot;??_ ;_ @_ "/>
  </numFmts>
  <fonts count="43">
    <font>
      <sz val="10"/>
      <name val="Arial"/>
      <family val="2"/>
      <charset val="1"/>
    </font>
    <font>
      <sz val="11"/>
      <color rgb="FF000000"/>
      <name val="Calibri"/>
      <family val="2"/>
      <charset val="1"/>
    </font>
    <font>
      <sz val="11"/>
      <color rgb="FFFFFFFF"/>
      <name val="Calibri"/>
      <family val="2"/>
      <charset val="1"/>
    </font>
    <font>
      <sz val="10"/>
      <name val="Calibri"/>
      <family val="2"/>
      <charset val="1"/>
    </font>
    <font>
      <b/>
      <sz val="10"/>
      <color rgb="FFFF0000"/>
      <name val="Calibri"/>
      <family val="2"/>
      <charset val="1"/>
    </font>
    <font>
      <b/>
      <sz val="10"/>
      <name val="Calibri"/>
      <family val="2"/>
      <charset val="1"/>
    </font>
    <font>
      <b/>
      <sz val="10"/>
      <color rgb="FFFFFFFF"/>
      <name val="Calibri"/>
      <family val="2"/>
      <charset val="1"/>
    </font>
    <font>
      <b/>
      <sz val="11"/>
      <name val="Calibri"/>
      <family val="2"/>
      <charset val="1"/>
    </font>
    <font>
      <b/>
      <sz val="12"/>
      <color rgb="FFFFFFFF"/>
      <name val="Calibri"/>
      <family val="2"/>
      <charset val="1"/>
    </font>
    <font>
      <b/>
      <sz val="9"/>
      <name val="Arial"/>
      <family val="2"/>
      <charset val="1"/>
    </font>
    <font>
      <sz val="11"/>
      <name val="Calibri"/>
      <family val="2"/>
      <charset val="1"/>
    </font>
    <font>
      <i/>
      <sz val="10"/>
      <name val="Calibri"/>
      <family val="2"/>
      <charset val="1"/>
    </font>
    <font>
      <sz val="11"/>
      <name val="Arial"/>
      <family val="2"/>
      <charset val="1"/>
    </font>
    <font>
      <sz val="11"/>
      <color rgb="FF000000"/>
      <name val="Arial"/>
      <family val="2"/>
      <charset val="1"/>
    </font>
    <font>
      <b/>
      <sz val="14"/>
      <color rgb="FF000000"/>
      <name val="Arial"/>
      <family val="2"/>
      <charset val="1"/>
    </font>
    <font>
      <b/>
      <i/>
      <sz val="12"/>
      <name val="Arial"/>
      <family val="2"/>
      <charset val="1"/>
    </font>
    <font>
      <b/>
      <i/>
      <sz val="14"/>
      <name val="Arial"/>
      <family val="2"/>
      <charset val="1"/>
    </font>
    <font>
      <i/>
      <sz val="14"/>
      <name val="Arial"/>
      <family val="2"/>
      <charset val="1"/>
    </font>
    <font>
      <b/>
      <sz val="12"/>
      <color rgb="FF000000"/>
      <name val="Arial"/>
      <family val="2"/>
      <charset val="1"/>
    </font>
    <font>
      <b/>
      <sz val="12"/>
      <color rgb="FFFFFFFF"/>
      <name val="Arial"/>
      <family val="2"/>
      <charset val="1"/>
    </font>
    <font>
      <sz val="10"/>
      <color rgb="FFFFFFFF"/>
      <name val="Arial"/>
      <family val="2"/>
      <charset val="1"/>
    </font>
    <font>
      <i/>
      <sz val="10"/>
      <color rgb="FFFFFFFF"/>
      <name val="Arial"/>
      <family val="2"/>
      <charset val="1"/>
    </font>
    <font>
      <b/>
      <sz val="11"/>
      <color rgb="FF000000"/>
      <name val="Arial"/>
      <family val="2"/>
      <charset val="1"/>
    </font>
    <font>
      <sz val="10"/>
      <color rgb="FF000000"/>
      <name val="Arial"/>
      <family val="2"/>
      <charset val="1"/>
    </font>
    <font>
      <sz val="9"/>
      <name val="Arial"/>
      <family val="2"/>
      <charset val="1"/>
    </font>
    <font>
      <sz val="8"/>
      <color rgb="FFFFFFFF"/>
      <name val="Arial"/>
      <family val="2"/>
      <charset val="1"/>
    </font>
    <font>
      <i/>
      <sz val="8"/>
      <color rgb="FFFFFFFF"/>
      <name val="Arial"/>
      <family val="2"/>
      <charset val="1"/>
    </font>
    <font>
      <sz val="8"/>
      <color rgb="FF000000"/>
      <name val="Arial"/>
      <family val="2"/>
      <charset val="1"/>
    </font>
    <font>
      <sz val="8"/>
      <name val="Arial"/>
      <family val="2"/>
      <charset val="1"/>
    </font>
    <font>
      <sz val="10"/>
      <color rgb="FF000000"/>
      <name val="Calibri"/>
      <family val="2"/>
      <charset val="1"/>
    </font>
    <font>
      <b/>
      <sz val="11"/>
      <name val="Arial"/>
      <family val="2"/>
      <charset val="1"/>
    </font>
    <font>
      <b/>
      <sz val="10"/>
      <name val="Arial"/>
      <family val="2"/>
      <charset val="1"/>
    </font>
    <font>
      <b/>
      <sz val="11"/>
      <color rgb="FF002060"/>
      <name val="Arial"/>
      <family val="2"/>
      <charset val="1"/>
    </font>
    <font>
      <b/>
      <sz val="12"/>
      <name val="Arial"/>
      <family val="2"/>
      <charset val="1"/>
    </font>
    <font>
      <b/>
      <sz val="14"/>
      <name val="Arial"/>
      <family val="2"/>
      <charset val="1"/>
    </font>
    <font>
      <i/>
      <sz val="11"/>
      <name val="Arial"/>
      <family val="2"/>
      <charset val="1"/>
    </font>
    <font>
      <b/>
      <sz val="14"/>
      <color rgb="FF000080"/>
      <name val="Arial"/>
      <family val="2"/>
      <charset val="1"/>
    </font>
    <font>
      <b/>
      <vertAlign val="superscript"/>
      <sz val="10"/>
      <name val="Arial"/>
      <family val="2"/>
      <charset val="1"/>
    </font>
    <font>
      <b/>
      <sz val="10"/>
      <color rgb="FF000000"/>
      <name val="Arial"/>
      <family val="2"/>
      <charset val="1"/>
    </font>
    <font>
      <b/>
      <sz val="10"/>
      <color rgb="FF000080"/>
      <name val="Arial"/>
      <family val="2"/>
      <charset val="1"/>
    </font>
    <font>
      <b/>
      <sz val="10"/>
      <color rgb="FFFFFFFF"/>
      <name val="Arial"/>
      <family val="2"/>
      <charset val="1"/>
    </font>
    <font>
      <sz val="10"/>
      <color rgb="FF222222"/>
      <name val="Arial"/>
      <family val="2"/>
      <charset val="1"/>
    </font>
    <font>
      <sz val="10"/>
      <name val="Arial"/>
      <family val="2"/>
      <charset val="1"/>
    </font>
  </fonts>
  <fills count="14">
    <fill>
      <patternFill patternType="none"/>
    </fill>
    <fill>
      <patternFill patternType="gray125"/>
    </fill>
    <fill>
      <patternFill patternType="solid">
        <fgColor rgb="FFFFCC99"/>
        <bgColor rgb="FFFDEADA"/>
      </patternFill>
    </fill>
    <fill>
      <patternFill patternType="solid">
        <fgColor rgb="FF99CCFF"/>
        <bgColor rgb="FFCCCCFF"/>
      </patternFill>
    </fill>
    <fill>
      <patternFill patternType="solid">
        <fgColor rgb="FFFF6600"/>
        <bgColor rgb="FFFF9900"/>
      </patternFill>
    </fill>
    <fill>
      <patternFill patternType="solid">
        <fgColor rgb="FF3366FF"/>
        <bgColor rgb="FF0066CC"/>
      </patternFill>
    </fill>
    <fill>
      <patternFill patternType="solid">
        <fgColor rgb="FFFFFFFF"/>
        <bgColor rgb="FFFFFFCC"/>
      </patternFill>
    </fill>
    <fill>
      <patternFill patternType="solid">
        <fgColor rgb="FF1F497D"/>
        <bgColor rgb="FF333399"/>
      </patternFill>
    </fill>
    <fill>
      <patternFill patternType="solid">
        <fgColor rgb="FF808080"/>
        <bgColor rgb="FF969696"/>
      </patternFill>
    </fill>
    <fill>
      <patternFill patternType="solid">
        <fgColor rgb="FF953735"/>
        <bgColor rgb="FF993366"/>
      </patternFill>
    </fill>
    <fill>
      <patternFill patternType="solid">
        <fgColor rgb="FFFDEADA"/>
        <bgColor rgb="FFFFFFCC"/>
      </patternFill>
    </fill>
    <fill>
      <patternFill patternType="solid">
        <fgColor rgb="FFFFFF00"/>
        <bgColor rgb="FFFFCC00"/>
      </patternFill>
    </fill>
    <fill>
      <patternFill patternType="solid">
        <fgColor rgb="FFB3B3B3"/>
        <bgColor rgb="FFC0C0C0"/>
      </patternFill>
    </fill>
    <fill>
      <patternFill patternType="solid">
        <fgColor rgb="FFCCCCCC"/>
        <bgColor rgb="FFC0C0C0"/>
      </patternFill>
    </fill>
  </fills>
  <borders count="51">
    <border>
      <left/>
      <right/>
      <top/>
      <bottom/>
      <diagonal/>
    </border>
    <border>
      <left style="thin">
        <color rgb="FF333333"/>
      </left>
      <right style="thin">
        <color rgb="FF333333"/>
      </right>
      <top style="thin">
        <color rgb="FF333333"/>
      </top>
      <bottom style="thin">
        <color rgb="FF333333"/>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medium">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333333"/>
      </left>
      <right style="thin">
        <color rgb="FF333333"/>
      </right>
      <top style="thin">
        <color rgb="FF333333"/>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medium">
        <color auto="1"/>
      </right>
      <top style="thin">
        <color auto="1"/>
      </top>
      <bottom/>
      <diagonal/>
    </border>
    <border>
      <left style="thin">
        <color auto="1"/>
      </left>
      <right/>
      <top style="thin">
        <color auto="1"/>
      </top>
      <bottom style="medium">
        <color auto="1"/>
      </bottom>
      <diagonal/>
    </border>
    <border>
      <left style="thin">
        <color auto="1"/>
      </left>
      <right style="thin">
        <color auto="1"/>
      </right>
      <top style="thin">
        <color auto="1"/>
      </top>
      <bottom style="thin">
        <color rgb="FF333333"/>
      </bottom>
      <diagonal/>
    </border>
    <border>
      <left/>
      <right/>
      <top/>
      <bottom style="thin">
        <color auto="1"/>
      </bottom>
      <diagonal/>
    </border>
    <border>
      <left/>
      <right/>
      <top style="thin">
        <color auto="1"/>
      </top>
      <bottom style="thin">
        <color auto="1"/>
      </bottom>
      <diagonal/>
    </border>
    <border>
      <left style="thin">
        <color rgb="FF333333"/>
      </left>
      <right/>
      <top/>
      <bottom/>
      <diagonal/>
    </border>
    <border>
      <left style="thin">
        <color rgb="FF333333"/>
      </left>
      <right/>
      <top style="thin">
        <color rgb="FF333333"/>
      </top>
      <bottom style="thin">
        <color rgb="FF333333"/>
      </bottom>
      <diagonal/>
    </border>
    <border>
      <left/>
      <right style="thin">
        <color rgb="FF333333"/>
      </right>
      <top style="thin">
        <color rgb="FF333333"/>
      </top>
      <bottom/>
      <diagonal/>
    </border>
    <border>
      <left/>
      <right style="thin">
        <color rgb="FF333333"/>
      </right>
      <top style="thin">
        <color rgb="FF333333"/>
      </top>
      <bottom style="thin">
        <color rgb="FF333333"/>
      </bottom>
      <diagonal/>
    </border>
    <border>
      <left/>
      <right/>
      <top style="thin">
        <color rgb="FF333333"/>
      </top>
      <bottom style="thin">
        <color rgb="FF333333"/>
      </bottom>
      <diagonal/>
    </border>
    <border>
      <left/>
      <right/>
      <top style="thin">
        <color rgb="FF333333"/>
      </top>
      <bottom/>
      <diagonal/>
    </border>
    <border>
      <left style="thin">
        <color rgb="FF333333"/>
      </left>
      <right/>
      <top/>
      <bottom style="thin">
        <color rgb="FF333333"/>
      </bottom>
      <diagonal/>
    </border>
    <border>
      <left style="hair">
        <color auto="1"/>
      </left>
      <right style="hair">
        <color auto="1"/>
      </right>
      <top style="hair">
        <color auto="1"/>
      </top>
      <bottom style="hair">
        <color auto="1"/>
      </bottom>
      <diagonal/>
    </border>
    <border>
      <left style="thin">
        <color rgb="FF333333"/>
      </left>
      <right style="thin">
        <color rgb="FF333333"/>
      </right>
      <top/>
      <bottom style="thin">
        <color rgb="FF333333"/>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medium">
        <color auto="1"/>
      </bottom>
      <diagonal/>
    </border>
  </borders>
  <cellStyleXfs count="4">
    <xf numFmtId="0" fontId="0" fillId="0" borderId="0"/>
    <xf numFmtId="164" fontId="42" fillId="0" borderId="0" applyBorder="0" applyProtection="0"/>
    <xf numFmtId="9" fontId="42" fillId="0" borderId="0" applyBorder="0" applyProtection="0"/>
    <xf numFmtId="0" fontId="1" fillId="0" borderId="0"/>
  </cellStyleXfs>
  <cellXfs count="342">
    <xf numFmtId="0" fontId="0" fillId="0" borderId="0" xfId="0"/>
    <xf numFmtId="0" fontId="1" fillId="0" borderId="0" xfId="3" applyFont="1"/>
    <xf numFmtId="0" fontId="3" fillId="0" borderId="0" xfId="3" applyNumberFormat="1" applyFont="1" applyFill="1" applyBorder="1"/>
    <xf numFmtId="0" fontId="2" fillId="5" borderId="2" xfId="3" applyNumberFormat="1" applyFont="1" applyFill="1" applyBorder="1" applyAlignment="1">
      <alignment horizontal="center" vertical="center"/>
    </xf>
    <xf numFmtId="0" fontId="2" fillId="5" borderId="3" xfId="3" applyNumberFormat="1" applyFont="1" applyFill="1" applyBorder="1" applyAlignment="1">
      <alignment horizontal="center" vertical="center"/>
    </xf>
    <xf numFmtId="0" fontId="2" fillId="5" borderId="4" xfId="3" applyNumberFormat="1" applyFont="1" applyFill="1" applyBorder="1" applyAlignment="1">
      <alignment horizontal="center" vertical="center" wrapText="1"/>
    </xf>
    <xf numFmtId="0" fontId="6" fillId="5" borderId="8" xfId="3" applyNumberFormat="1" applyFont="1" applyFill="1" applyBorder="1" applyAlignment="1">
      <alignment horizontal="center" vertical="center"/>
    </xf>
    <xf numFmtId="0" fontId="6" fillId="5" borderId="9" xfId="3" applyNumberFormat="1" applyFont="1" applyFill="1" applyBorder="1" applyAlignment="1">
      <alignment horizontal="center" vertical="center"/>
    </xf>
    <xf numFmtId="0" fontId="3" fillId="0" borderId="0" xfId="3" applyNumberFormat="1" applyFont="1" applyFill="1" applyBorder="1" applyAlignment="1">
      <alignment vertical="center"/>
    </xf>
    <xf numFmtId="0" fontId="3" fillId="0" borderId="10" xfId="3" applyNumberFormat="1" applyFont="1" applyFill="1" applyBorder="1" applyAlignment="1">
      <alignment vertical="center"/>
    </xf>
    <xf numFmtId="0" fontId="3" fillId="0" borderId="10" xfId="3" applyNumberFormat="1" applyFont="1" applyFill="1" applyBorder="1" applyAlignment="1">
      <alignment vertical="center"/>
    </xf>
    <xf numFmtId="0" fontId="3" fillId="0" borderId="7" xfId="3" applyNumberFormat="1" applyFont="1" applyFill="1" applyBorder="1" applyAlignment="1">
      <alignment vertical="center"/>
    </xf>
    <xf numFmtId="4" fontId="0" fillId="0" borderId="0" xfId="0" applyNumberFormat="1"/>
    <xf numFmtId="165" fontId="1" fillId="0" borderId="0" xfId="3" applyNumberFormat="1" applyFont="1"/>
    <xf numFmtId="0" fontId="1" fillId="0" borderId="0" xfId="3"/>
    <xf numFmtId="0" fontId="8" fillId="5" borderId="13" xfId="3" applyNumberFormat="1" applyFont="1" applyFill="1" applyBorder="1" applyAlignment="1" applyProtection="1">
      <alignment horizontal="center" vertical="center" wrapText="1"/>
      <protection locked="0"/>
    </xf>
    <xf numFmtId="0" fontId="8" fillId="5" borderId="14" xfId="3" applyNumberFormat="1" applyFont="1" applyFill="1" applyBorder="1" applyAlignment="1" applyProtection="1">
      <alignment horizontal="center" vertical="center" wrapText="1"/>
      <protection locked="0"/>
    </xf>
    <xf numFmtId="0" fontId="8" fillId="5" borderId="10" xfId="3" applyNumberFormat="1" applyFont="1" applyFill="1" applyBorder="1" applyAlignment="1" applyProtection="1">
      <alignment horizontal="center" vertical="center" wrapText="1"/>
      <protection locked="0"/>
    </xf>
    <xf numFmtId="0" fontId="5" fillId="0" borderId="5" xfId="3" applyNumberFormat="1" applyFont="1" applyFill="1" applyBorder="1" applyAlignment="1" applyProtection="1">
      <alignment horizontal="left" vertical="center" wrapText="1"/>
      <protection locked="0"/>
    </xf>
    <xf numFmtId="49" fontId="3" fillId="0" borderId="6" xfId="3" applyNumberFormat="1" applyFont="1" applyFill="1" applyBorder="1" applyAlignment="1" applyProtection="1">
      <alignment horizontal="center" vertical="center" wrapText="1"/>
      <protection locked="0"/>
    </xf>
    <xf numFmtId="0" fontId="9" fillId="0" borderId="5" xfId="3" applyNumberFormat="1" applyFont="1" applyFill="1" applyBorder="1" applyAlignment="1" applyProtection="1">
      <alignment horizontal="left" vertical="center" wrapText="1"/>
      <protection locked="0"/>
    </xf>
    <xf numFmtId="0" fontId="3" fillId="0" borderId="13" xfId="3" applyNumberFormat="1" applyFont="1" applyFill="1" applyBorder="1" applyAlignment="1" applyProtection="1">
      <protection locked="0"/>
    </xf>
    <xf numFmtId="166" fontId="3" fillId="0" borderId="10" xfId="3" applyNumberFormat="1" applyFont="1" applyFill="1" applyBorder="1" applyAlignment="1" applyProtection="1">
      <alignment horizontal="right" vertical="center" wrapText="1"/>
      <protection locked="0"/>
    </xf>
    <xf numFmtId="166" fontId="1" fillId="0" borderId="0" xfId="3" applyNumberFormat="1"/>
    <xf numFmtId="0" fontId="8" fillId="5" borderId="5" xfId="3" applyNumberFormat="1" applyFont="1" applyFill="1" applyBorder="1" applyAlignment="1" applyProtection="1">
      <alignment horizontal="center" vertical="center" wrapText="1"/>
      <protection locked="0"/>
    </xf>
    <xf numFmtId="166" fontId="8" fillId="5" borderId="6" xfId="3" applyNumberFormat="1" applyFont="1" applyFill="1" applyBorder="1" applyAlignment="1" applyProtection="1">
      <alignment horizontal="right" vertical="center" wrapText="1"/>
      <protection locked="0"/>
    </xf>
    <xf numFmtId="166" fontId="8" fillId="5" borderId="7" xfId="3" applyNumberFormat="1" applyFont="1" applyFill="1" applyBorder="1" applyAlignment="1" applyProtection="1">
      <alignment horizontal="right" vertical="center" wrapText="1"/>
      <protection locked="0"/>
    </xf>
    <xf numFmtId="0" fontId="1" fillId="0" borderId="0" xfId="3" applyProtection="1">
      <protection locked="0"/>
    </xf>
    <xf numFmtId="166" fontId="10" fillId="0" borderId="0" xfId="3" applyNumberFormat="1" applyFont="1" applyProtection="1">
      <protection locked="0"/>
    </xf>
    <xf numFmtId="166" fontId="10" fillId="6" borderId="0" xfId="3" applyNumberFormat="1" applyFont="1" applyFill="1" applyProtection="1">
      <protection locked="0"/>
    </xf>
    <xf numFmtId="166" fontId="3" fillId="0" borderId="14" xfId="3" applyNumberFormat="1" applyFont="1" applyFill="1" applyBorder="1" applyAlignment="1" applyProtection="1">
      <alignment horizontal="right" vertical="center" wrapText="1"/>
      <protection locked="0"/>
    </xf>
    <xf numFmtId="0" fontId="3" fillId="0" borderId="13" xfId="3" applyNumberFormat="1" applyFont="1" applyFill="1" applyBorder="1" applyAlignment="1" applyProtection="1">
      <protection locked="0"/>
    </xf>
    <xf numFmtId="166" fontId="3" fillId="0" borderId="11" xfId="3" applyNumberFormat="1" applyFont="1" applyFill="1" applyBorder="1" applyAlignment="1" applyProtection="1">
      <alignment horizontal="right" vertical="center" wrapText="1"/>
      <protection locked="0"/>
    </xf>
    <xf numFmtId="166" fontId="3" fillId="0" borderId="16" xfId="3" applyNumberFormat="1" applyFont="1" applyFill="1" applyBorder="1" applyAlignment="1" applyProtection="1">
      <alignment horizontal="right" vertical="center" wrapText="1"/>
      <protection locked="0"/>
    </xf>
    <xf numFmtId="0" fontId="12" fillId="0" borderId="0" xfId="3" applyFont="1" applyBorder="1" applyAlignment="1" applyProtection="1">
      <alignment horizontal="center" vertical="center"/>
      <protection locked="0"/>
    </xf>
    <xf numFmtId="0" fontId="13" fillId="0" borderId="0" xfId="3" applyFont="1" applyProtection="1">
      <protection locked="0"/>
    </xf>
    <xf numFmtId="4" fontId="13" fillId="0" borderId="0" xfId="3" applyNumberFormat="1" applyFont="1" applyProtection="1">
      <protection locked="0"/>
    </xf>
    <xf numFmtId="10" fontId="13" fillId="0" borderId="0" xfId="3" applyNumberFormat="1" applyFont="1" applyProtection="1">
      <protection locked="0"/>
    </xf>
    <xf numFmtId="14" fontId="13" fillId="0" borderId="0" xfId="3" applyNumberFormat="1" applyFont="1" applyProtection="1">
      <protection locked="0"/>
    </xf>
    <xf numFmtId="0" fontId="12" fillId="0" borderId="0" xfId="3" applyFont="1" applyProtection="1">
      <protection locked="0"/>
    </xf>
    <xf numFmtId="9" fontId="42" fillId="0" borderId="0" xfId="2" applyProtection="1">
      <protection locked="0"/>
    </xf>
    <xf numFmtId="0" fontId="0" fillId="0" borderId="18" xfId="3" applyNumberFormat="1" applyFont="1" applyFill="1" applyBorder="1" applyAlignment="1" applyProtection="1">
      <alignment vertical="center" wrapText="1"/>
      <protection locked="0"/>
    </xf>
    <xf numFmtId="0" fontId="0" fillId="0" borderId="17" xfId="3" applyNumberFormat="1" applyFont="1" applyFill="1" applyBorder="1" applyAlignment="1" applyProtection="1">
      <alignment vertical="center" wrapText="1"/>
      <protection locked="0"/>
    </xf>
    <xf numFmtId="168" fontId="0" fillId="0" borderId="17" xfId="3" applyNumberFormat="1" applyFont="1" applyFill="1" applyBorder="1" applyAlignment="1" applyProtection="1">
      <alignment vertical="center" wrapText="1"/>
      <protection locked="0"/>
    </xf>
    <xf numFmtId="10" fontId="0" fillId="0" borderId="17" xfId="3" applyNumberFormat="1" applyFont="1" applyFill="1" applyBorder="1" applyAlignment="1" applyProtection="1">
      <alignment vertical="center" wrapText="1"/>
      <protection locked="0"/>
    </xf>
    <xf numFmtId="14" fontId="0" fillId="0" borderId="17" xfId="3" applyNumberFormat="1" applyFont="1" applyFill="1" applyBorder="1" applyAlignment="1" applyProtection="1">
      <alignment vertical="center" wrapText="1"/>
      <protection locked="0"/>
    </xf>
    <xf numFmtId="0" fontId="0" fillId="0" borderId="19" xfId="3" applyNumberFormat="1" applyFont="1" applyFill="1" applyBorder="1" applyAlignment="1" applyProtection="1">
      <alignment vertical="center" wrapText="1"/>
      <protection locked="0"/>
    </xf>
    <xf numFmtId="0" fontId="0" fillId="0" borderId="5" xfId="3" applyNumberFormat="1" applyFont="1" applyFill="1" applyBorder="1" applyAlignment="1" applyProtection="1">
      <alignment vertical="center" wrapText="1"/>
      <protection locked="0"/>
    </xf>
    <xf numFmtId="0" fontId="0" fillId="0" borderId="6" xfId="3" applyNumberFormat="1" applyFont="1" applyFill="1" applyBorder="1" applyAlignment="1" applyProtection="1">
      <alignment vertical="center" wrapText="1"/>
      <protection locked="0"/>
    </xf>
    <xf numFmtId="4" fontId="0" fillId="0" borderId="6" xfId="3" applyNumberFormat="1" applyFont="1" applyFill="1" applyBorder="1" applyAlignment="1" applyProtection="1">
      <alignment vertical="center" wrapText="1"/>
      <protection locked="0"/>
    </xf>
    <xf numFmtId="10" fontId="0" fillId="0" borderId="6" xfId="3" applyNumberFormat="1" applyFont="1" applyFill="1" applyBorder="1" applyAlignment="1" applyProtection="1">
      <alignment vertical="center" wrapText="1"/>
      <protection locked="0"/>
    </xf>
    <xf numFmtId="14" fontId="0" fillId="0" borderId="6" xfId="3" applyNumberFormat="1" applyFont="1" applyFill="1" applyBorder="1" applyAlignment="1" applyProtection="1">
      <alignment vertical="center" wrapText="1"/>
      <protection locked="0"/>
    </xf>
    <xf numFmtId="0" fontId="0" fillId="0" borderId="7" xfId="3" applyNumberFormat="1" applyFont="1" applyFill="1" applyBorder="1" applyAlignment="1" applyProtection="1">
      <alignment vertical="center" wrapText="1"/>
      <protection locked="0"/>
    </xf>
    <xf numFmtId="0" fontId="13" fillId="0" borderId="0" xfId="3" applyFont="1" applyAlignment="1" applyProtection="1">
      <alignment horizontal="right"/>
      <protection locked="0"/>
    </xf>
    <xf numFmtId="0" fontId="19" fillId="5" borderId="20" xfId="3" applyNumberFormat="1" applyFont="1" applyFill="1" applyBorder="1" applyAlignment="1" applyProtection="1">
      <alignment vertical="center" wrapText="1"/>
      <protection locked="0"/>
    </xf>
    <xf numFmtId="0" fontId="19" fillId="5" borderId="21" xfId="3" applyNumberFormat="1" applyFont="1" applyFill="1" applyBorder="1" applyAlignment="1" applyProtection="1">
      <alignment vertical="center" wrapText="1"/>
      <protection locked="0"/>
    </xf>
    <xf numFmtId="14" fontId="19" fillId="5" borderId="21" xfId="3" applyNumberFormat="1" applyFont="1" applyFill="1" applyBorder="1" applyAlignment="1" applyProtection="1">
      <alignment vertical="center" wrapText="1"/>
      <protection locked="0"/>
    </xf>
    <xf numFmtId="0" fontId="19" fillId="5" borderId="22" xfId="3" applyNumberFormat="1" applyFont="1" applyFill="1" applyBorder="1" applyAlignment="1" applyProtection="1">
      <alignment vertical="center" wrapText="1"/>
      <protection locked="0"/>
    </xf>
    <xf numFmtId="169" fontId="13" fillId="0" borderId="0" xfId="3" applyNumberFormat="1" applyFont="1" applyProtection="1">
      <protection locked="0"/>
    </xf>
    <xf numFmtId="0" fontId="20" fillId="5" borderId="23" xfId="3" applyNumberFormat="1" applyFont="1" applyFill="1" applyBorder="1" applyAlignment="1" applyProtection="1">
      <alignment vertical="center" wrapText="1"/>
      <protection locked="0"/>
    </xf>
    <xf numFmtId="14" fontId="20" fillId="5" borderId="14" xfId="3" applyNumberFormat="1" applyFont="1" applyFill="1" applyBorder="1" applyAlignment="1" applyProtection="1">
      <alignment horizontal="center" vertical="center" wrapText="1"/>
      <protection locked="0"/>
    </xf>
    <xf numFmtId="0" fontId="20" fillId="5" borderId="24" xfId="3" applyNumberFormat="1" applyFont="1" applyFill="1" applyBorder="1" applyAlignment="1" applyProtection="1">
      <alignment vertical="center" wrapText="1"/>
      <protection locked="0"/>
    </xf>
    <xf numFmtId="168" fontId="12" fillId="0" borderId="0" xfId="3" applyNumberFormat="1" applyFont="1" applyBorder="1" applyAlignment="1" applyProtection="1">
      <alignment horizontal="center" vertical="center"/>
      <protection locked="0"/>
    </xf>
    <xf numFmtId="0" fontId="20" fillId="5" borderId="18" xfId="3" applyNumberFormat="1" applyFont="1" applyFill="1" applyBorder="1" applyAlignment="1" applyProtection="1">
      <alignment vertical="center" wrapText="1"/>
      <protection locked="0"/>
    </xf>
    <xf numFmtId="0" fontId="20" fillId="5" borderId="18" xfId="3" applyNumberFormat="1" applyFont="1" applyFill="1" applyBorder="1" applyAlignment="1" applyProtection="1">
      <alignment horizontal="center" vertical="center" wrapText="1"/>
      <protection locked="0"/>
    </xf>
    <xf numFmtId="0" fontId="20" fillId="5" borderId="11" xfId="3" applyNumberFormat="1" applyFont="1" applyFill="1" applyBorder="1" applyAlignment="1" applyProtection="1">
      <alignment horizontal="center" vertical="center" wrapText="1"/>
      <protection locked="0"/>
    </xf>
    <xf numFmtId="4" fontId="20" fillId="5" borderId="11" xfId="3" applyNumberFormat="1" applyFont="1" applyFill="1" applyBorder="1" applyAlignment="1" applyProtection="1">
      <alignment horizontal="center" vertical="center" wrapText="1"/>
      <protection locked="0"/>
    </xf>
    <xf numFmtId="10" fontId="20" fillId="5" borderId="11" xfId="3" applyNumberFormat="1" applyFont="1" applyFill="1" applyBorder="1" applyAlignment="1" applyProtection="1">
      <alignment horizontal="center" vertical="center" wrapText="1"/>
      <protection locked="0"/>
    </xf>
    <xf numFmtId="0" fontId="20" fillId="5" borderId="25" xfId="3" applyNumberFormat="1" applyFont="1" applyFill="1" applyBorder="1" applyAlignment="1" applyProtection="1">
      <alignment vertical="center" wrapText="1"/>
      <protection locked="0"/>
    </xf>
    <xf numFmtId="4" fontId="20" fillId="7" borderId="14" xfId="3" applyNumberFormat="1" applyFont="1" applyFill="1" applyBorder="1" applyAlignment="1" applyProtection="1">
      <alignment horizontal="center" vertical="center" wrapText="1"/>
      <protection locked="0"/>
    </xf>
    <xf numFmtId="4" fontId="20" fillId="4" borderId="14" xfId="3" applyNumberFormat="1" applyFont="1" applyFill="1" applyBorder="1" applyAlignment="1" applyProtection="1">
      <alignment horizontal="center" vertical="center" wrapText="1"/>
      <protection locked="0"/>
    </xf>
    <xf numFmtId="0" fontId="12" fillId="0" borderId="0" xfId="3" applyFont="1" applyAlignment="1" applyProtection="1">
      <alignment horizontal="justify"/>
      <protection locked="0"/>
    </xf>
    <xf numFmtId="9" fontId="0" fillId="0" borderId="0" xfId="2" applyFont="1" applyBorder="1" applyAlignment="1" applyProtection="1">
      <alignment horizontal="justify"/>
      <protection locked="0"/>
    </xf>
    <xf numFmtId="4" fontId="20" fillId="8" borderId="14" xfId="3" applyNumberFormat="1" applyFont="1" applyFill="1" applyBorder="1" applyAlignment="1" applyProtection="1">
      <alignment horizontal="center" vertical="center" wrapText="1"/>
      <protection locked="0"/>
    </xf>
    <xf numFmtId="4" fontId="20" fillId="9" borderId="14" xfId="3" applyNumberFormat="1" applyFont="1" applyFill="1" applyBorder="1" applyAlignment="1" applyProtection="1">
      <alignment horizontal="center" vertical="center" wrapText="1"/>
      <protection locked="0"/>
    </xf>
    <xf numFmtId="0" fontId="0" fillId="0" borderId="0" xfId="3" applyNumberFormat="1" applyFont="1" applyFill="1" applyBorder="1" applyAlignment="1" applyProtection="1">
      <alignment horizontal="center" vertical="center" wrapText="1"/>
      <protection locked="0"/>
    </xf>
    <xf numFmtId="0" fontId="0" fillId="0" borderId="13" xfId="3" applyNumberFormat="1" applyFont="1" applyFill="1" applyBorder="1" applyAlignment="1" applyProtection="1">
      <alignment vertical="center" wrapText="1"/>
      <protection locked="0"/>
    </xf>
    <xf numFmtId="0" fontId="0" fillId="0" borderId="11" xfId="3" applyNumberFormat="1" applyFont="1" applyFill="1" applyBorder="1" applyAlignment="1" applyProtection="1">
      <alignment horizontal="center" vertical="center" wrapText="1"/>
      <protection locked="0"/>
    </xf>
    <xf numFmtId="0" fontId="0" fillId="0" borderId="14" xfId="3" applyNumberFormat="1" applyFont="1" applyFill="1" applyBorder="1" applyAlignment="1" applyProtection="1">
      <alignment horizontal="justify" vertical="center" wrapText="1"/>
      <protection locked="0"/>
    </xf>
    <xf numFmtId="0" fontId="0" fillId="0" borderId="14" xfId="3" applyNumberFormat="1" applyFont="1" applyFill="1" applyBorder="1" applyAlignment="1" applyProtection="1">
      <alignment horizontal="center" vertical="center" wrapText="1"/>
      <protection locked="0"/>
    </xf>
    <xf numFmtId="4" fontId="0" fillId="0" borderId="14" xfId="3" applyNumberFormat="1" applyFont="1" applyFill="1" applyBorder="1" applyAlignment="1" applyProtection="1">
      <alignment horizontal="center" vertical="center" wrapText="1"/>
      <protection locked="0"/>
    </xf>
    <xf numFmtId="10" fontId="0" fillId="0" borderId="14" xfId="3" applyNumberFormat="1" applyFont="1" applyFill="1" applyBorder="1" applyAlignment="1" applyProtection="1">
      <alignment horizontal="center" vertical="center" wrapText="1"/>
      <protection locked="0"/>
    </xf>
    <xf numFmtId="14" fontId="0" fillId="0" borderId="14" xfId="3" applyNumberFormat="1" applyFont="1" applyFill="1" applyBorder="1" applyAlignment="1" applyProtection="1">
      <alignment horizontal="center" vertical="center" wrapText="1"/>
      <protection locked="0"/>
    </xf>
    <xf numFmtId="167" fontId="0" fillId="0" borderId="14" xfId="3" applyNumberFormat="1" applyFont="1" applyFill="1" applyBorder="1" applyAlignment="1" applyProtection="1">
      <alignment horizontal="center" vertical="center" wrapText="1"/>
      <protection locked="0"/>
    </xf>
    <xf numFmtId="0" fontId="0" fillId="0" borderId="10" xfId="3" applyNumberFormat="1" applyFont="1" applyFill="1" applyBorder="1" applyAlignment="1" applyProtection="1">
      <alignment horizontal="left" vertical="center" wrapText="1"/>
      <protection locked="0"/>
    </xf>
    <xf numFmtId="164" fontId="42" fillId="0" borderId="0" xfId="1" applyBorder="1" applyAlignment="1" applyProtection="1">
      <protection locked="0"/>
    </xf>
    <xf numFmtId="4" fontId="13" fillId="0" borderId="0" xfId="3" applyNumberFormat="1" applyFont="1" applyAlignment="1" applyProtection="1">
      <alignment horizontal="center" vertical="center"/>
      <protection locked="0"/>
    </xf>
    <xf numFmtId="10" fontId="42" fillId="0" borderId="0" xfId="2" applyNumberFormat="1" applyBorder="1" applyAlignment="1" applyProtection="1">
      <alignment horizontal="center" vertical="center"/>
      <protection locked="0"/>
    </xf>
    <xf numFmtId="170" fontId="13" fillId="0" borderId="0" xfId="3" applyNumberFormat="1" applyFont="1" applyAlignment="1" applyProtection="1">
      <alignment horizontal="center" vertical="center"/>
      <protection locked="0"/>
    </xf>
    <xf numFmtId="164" fontId="42" fillId="0" borderId="0" xfId="1" applyBorder="1" applyAlignment="1" applyProtection="1">
      <alignment horizontal="justify"/>
      <protection locked="0"/>
    </xf>
    <xf numFmtId="10" fontId="13" fillId="0" borderId="0" xfId="3" applyNumberFormat="1" applyFont="1" applyProtection="1">
      <protection locked="0"/>
    </xf>
    <xf numFmtId="0" fontId="0" fillId="0" borderId="10" xfId="3" applyNumberFormat="1" applyFont="1" applyFill="1" applyBorder="1" applyAlignment="1" applyProtection="1">
      <alignment horizontal="justify" vertical="center" wrapText="1"/>
      <protection locked="0"/>
    </xf>
    <xf numFmtId="0" fontId="0" fillId="0" borderId="6" xfId="3" applyNumberFormat="1" applyFont="1" applyFill="1" applyBorder="1" applyAlignment="1" applyProtection="1">
      <alignment horizontal="center" vertical="center" wrapText="1"/>
      <protection locked="0"/>
    </xf>
    <xf numFmtId="0" fontId="0" fillId="0" borderId="6" xfId="3" applyNumberFormat="1" applyFont="1" applyFill="1" applyBorder="1" applyAlignment="1" applyProtection="1">
      <alignment horizontal="justify" vertical="center" wrapText="1"/>
      <protection locked="0"/>
    </xf>
    <xf numFmtId="4" fontId="0" fillId="0" borderId="6" xfId="3" applyNumberFormat="1" applyFont="1" applyFill="1" applyBorder="1" applyAlignment="1" applyProtection="1">
      <alignment horizontal="center" vertical="center" wrapText="1"/>
      <protection locked="0"/>
    </xf>
    <xf numFmtId="10" fontId="0" fillId="0" borderId="6" xfId="3" applyNumberFormat="1" applyFont="1" applyFill="1" applyBorder="1" applyAlignment="1" applyProtection="1">
      <alignment horizontal="center" vertical="center" wrapText="1"/>
      <protection locked="0"/>
    </xf>
    <xf numFmtId="14" fontId="0" fillId="0" borderId="6" xfId="3" applyNumberFormat="1" applyFont="1" applyFill="1" applyBorder="1" applyAlignment="1" applyProtection="1">
      <alignment horizontal="center" vertical="center" wrapText="1"/>
      <protection locked="0"/>
    </xf>
    <xf numFmtId="171" fontId="0" fillId="0" borderId="6" xfId="1" applyNumberFormat="1" applyFont="1" applyBorder="1" applyAlignment="1" applyProtection="1">
      <alignment vertical="center"/>
    </xf>
    <xf numFmtId="167" fontId="0" fillId="0" borderId="6" xfId="3" applyNumberFormat="1" applyFont="1" applyFill="1" applyBorder="1" applyAlignment="1" applyProtection="1">
      <alignment horizontal="justify" vertical="center" wrapText="1"/>
      <protection locked="0"/>
    </xf>
    <xf numFmtId="167" fontId="0" fillId="0" borderId="6" xfId="3" applyNumberFormat="1" applyFont="1" applyFill="1" applyBorder="1" applyAlignment="1" applyProtection="1">
      <alignment horizontal="center" vertical="center" wrapText="1"/>
      <protection locked="0"/>
    </xf>
    <xf numFmtId="0" fontId="0" fillId="0" borderId="7" xfId="3" applyNumberFormat="1" applyFont="1" applyFill="1" applyBorder="1" applyAlignment="1" applyProtection="1">
      <alignment horizontal="justify" vertical="center" wrapText="1"/>
      <protection locked="0"/>
    </xf>
    <xf numFmtId="0" fontId="0" fillId="0" borderId="0" xfId="3" applyNumberFormat="1" applyFont="1" applyFill="1" applyBorder="1" applyAlignment="1" applyProtection="1">
      <alignment vertical="center" wrapText="1"/>
      <protection locked="0"/>
    </xf>
    <xf numFmtId="0" fontId="0" fillId="0" borderId="0" xfId="3" applyNumberFormat="1" applyFont="1" applyFill="1" applyBorder="1" applyAlignment="1" applyProtection="1">
      <alignment horizontal="justify" vertical="center" wrapText="1"/>
      <protection locked="0"/>
    </xf>
    <xf numFmtId="4" fontId="0" fillId="0" borderId="0" xfId="3" applyNumberFormat="1" applyFont="1" applyFill="1" applyBorder="1" applyAlignment="1" applyProtection="1">
      <alignment horizontal="center" vertical="center" wrapText="1"/>
      <protection locked="0"/>
    </xf>
    <xf numFmtId="164" fontId="0" fillId="0" borderId="0" xfId="1" applyFont="1" applyBorder="1" applyAlignment="1" applyProtection="1">
      <alignment horizontal="center" vertical="center" wrapText="1"/>
      <protection locked="0"/>
    </xf>
    <xf numFmtId="10" fontId="0" fillId="0" borderId="0" xfId="3" applyNumberFormat="1" applyFont="1" applyFill="1" applyBorder="1" applyAlignment="1" applyProtection="1">
      <alignment horizontal="center" vertical="center" wrapText="1"/>
      <protection locked="0"/>
    </xf>
    <xf numFmtId="14" fontId="0" fillId="0" borderId="0" xfId="1" applyNumberFormat="1" applyFont="1" applyBorder="1" applyAlignment="1" applyProtection="1">
      <alignment horizontal="center" vertical="center" wrapText="1"/>
      <protection locked="0"/>
    </xf>
    <xf numFmtId="14" fontId="0" fillId="0" borderId="0" xfId="3" applyNumberFormat="1" applyFont="1" applyFill="1" applyBorder="1" applyAlignment="1" applyProtection="1">
      <alignment horizontal="center" vertical="center" wrapText="1"/>
      <protection locked="0"/>
    </xf>
    <xf numFmtId="167" fontId="0" fillId="0" borderId="0" xfId="3" applyNumberFormat="1" applyFont="1" applyFill="1" applyBorder="1" applyAlignment="1" applyProtection="1">
      <alignment horizontal="center" vertical="center" wrapText="1"/>
      <protection locked="0"/>
    </xf>
    <xf numFmtId="4" fontId="13" fillId="10" borderId="0" xfId="3" applyNumberFormat="1" applyFont="1" applyFill="1" applyAlignment="1" applyProtection="1">
      <alignment horizontal="center" vertical="center"/>
      <protection locked="0"/>
    </xf>
    <xf numFmtId="10" fontId="42" fillId="10" borderId="0" xfId="2" applyNumberFormat="1" applyFill="1" applyBorder="1" applyAlignment="1" applyProtection="1">
      <alignment horizontal="center" vertical="center"/>
      <protection locked="0"/>
    </xf>
    <xf numFmtId="170" fontId="13" fillId="10" borderId="0" xfId="3" applyNumberFormat="1" applyFont="1" applyFill="1" applyAlignment="1" applyProtection="1">
      <alignment horizontal="center" vertical="center"/>
      <protection locked="0"/>
    </xf>
    <xf numFmtId="4" fontId="22" fillId="0" borderId="0" xfId="3" applyNumberFormat="1" applyFont="1" applyProtection="1">
      <protection locked="0"/>
    </xf>
    <xf numFmtId="0" fontId="0" fillId="0" borderId="26" xfId="3" applyNumberFormat="1" applyFont="1" applyFill="1" applyBorder="1" applyAlignment="1" applyProtection="1">
      <alignment horizontal="center" vertical="center" wrapText="1"/>
      <protection locked="0"/>
    </xf>
    <xf numFmtId="171" fontId="0" fillId="0" borderId="14" xfId="1" applyNumberFormat="1" applyFont="1" applyBorder="1" applyAlignment="1" applyProtection="1">
      <alignment vertical="center"/>
    </xf>
    <xf numFmtId="167" fontId="0" fillId="0" borderId="14" xfId="3" applyNumberFormat="1" applyFont="1" applyFill="1" applyBorder="1" applyAlignment="1" applyProtection="1">
      <alignment horizontal="left" vertical="center" wrapText="1"/>
      <protection locked="0"/>
    </xf>
    <xf numFmtId="171" fontId="13" fillId="0" borderId="0" xfId="3" applyNumberFormat="1" applyFont="1" applyProtection="1">
      <protection locked="0"/>
    </xf>
    <xf numFmtId="4" fontId="0" fillId="0" borderId="27" xfId="3" applyNumberFormat="1" applyFont="1" applyFill="1" applyBorder="1" applyAlignment="1" applyProtection="1">
      <alignment horizontal="center" vertical="center" wrapText="1"/>
      <protection locked="0"/>
    </xf>
    <xf numFmtId="10" fontId="23" fillId="0" borderId="14" xfId="3" applyNumberFormat="1" applyFont="1" applyFill="1" applyBorder="1" applyAlignment="1" applyProtection="1">
      <alignment horizontal="center" vertical="center" wrapText="1"/>
      <protection locked="0"/>
    </xf>
    <xf numFmtId="0" fontId="0" fillId="0" borderId="14" xfId="3" applyNumberFormat="1" applyFont="1" applyFill="1" applyBorder="1" applyAlignment="1" applyProtection="1">
      <alignment horizontal="left" vertical="center" wrapText="1"/>
      <protection locked="0"/>
    </xf>
    <xf numFmtId="0" fontId="13" fillId="0" borderId="0" xfId="3" applyFont="1" applyProtection="1">
      <protection locked="0"/>
    </xf>
    <xf numFmtId="0" fontId="23" fillId="0" borderId="14" xfId="3" applyNumberFormat="1" applyFont="1" applyFill="1" applyBorder="1" applyAlignment="1" applyProtection="1">
      <alignment horizontal="left" vertical="center" wrapText="1"/>
      <protection locked="0"/>
    </xf>
    <xf numFmtId="14" fontId="0" fillId="0" borderId="11" xfId="3" applyNumberFormat="1" applyFont="1" applyFill="1" applyBorder="1" applyAlignment="1" applyProtection="1">
      <alignment horizontal="center" vertical="center" wrapText="1"/>
      <protection locked="0"/>
    </xf>
    <xf numFmtId="167" fontId="0" fillId="0" borderId="11" xfId="3" applyNumberFormat="1" applyFont="1" applyFill="1" applyBorder="1" applyAlignment="1" applyProtection="1">
      <alignment horizontal="center" vertical="center" wrapText="1"/>
      <protection locked="0"/>
    </xf>
    <xf numFmtId="0" fontId="0" fillId="0" borderId="11" xfId="3" applyNumberFormat="1" applyFont="1" applyFill="1" applyBorder="1" applyAlignment="1" applyProtection="1">
      <alignment horizontal="justify" vertical="center" wrapText="1"/>
      <protection locked="0"/>
    </xf>
    <xf numFmtId="2" fontId="13" fillId="0" borderId="0" xfId="3" applyNumberFormat="1" applyFont="1" applyProtection="1">
      <protection locked="0"/>
    </xf>
    <xf numFmtId="0" fontId="19" fillId="5" borderId="20" xfId="3" applyNumberFormat="1" applyFont="1" applyFill="1" applyBorder="1" applyAlignment="1" applyProtection="1">
      <alignment vertical="center"/>
      <protection locked="0"/>
    </xf>
    <xf numFmtId="0" fontId="23" fillId="0" borderId="14" xfId="3" applyNumberFormat="1" applyFont="1" applyFill="1" applyBorder="1" applyAlignment="1" applyProtection="1">
      <alignment horizontal="center" vertical="center" wrapText="1"/>
      <protection locked="0"/>
    </xf>
    <xf numFmtId="4" fontId="23" fillId="0" borderId="14" xfId="3" applyNumberFormat="1" applyFont="1" applyFill="1" applyBorder="1" applyAlignment="1" applyProtection="1">
      <alignment horizontal="center" vertical="center" wrapText="1"/>
      <protection locked="0"/>
    </xf>
    <xf numFmtId="4" fontId="0" fillId="0" borderId="0" xfId="3" applyNumberFormat="1" applyFont="1" applyFill="1" applyBorder="1" applyAlignment="1" applyProtection="1">
      <alignment vertical="center" wrapText="1"/>
      <protection locked="0"/>
    </xf>
    <xf numFmtId="164" fontId="0" fillId="0" borderId="0" xfId="1" applyFont="1" applyBorder="1" applyAlignment="1" applyProtection="1">
      <alignment vertical="center" wrapText="1"/>
      <protection locked="0"/>
    </xf>
    <xf numFmtId="172" fontId="0" fillId="0" borderId="0" xfId="3" applyNumberFormat="1" applyFont="1" applyFill="1" applyBorder="1" applyAlignment="1" applyProtection="1">
      <alignment vertical="center" wrapText="1"/>
      <protection locked="0"/>
    </xf>
    <xf numFmtId="14" fontId="0" fillId="0" borderId="0" xfId="3" applyNumberFormat="1" applyFont="1" applyFill="1" applyBorder="1" applyAlignment="1" applyProtection="1">
      <alignment vertical="center" wrapText="1"/>
      <protection locked="0"/>
    </xf>
    <xf numFmtId="0" fontId="0" fillId="0" borderId="14" xfId="3" applyNumberFormat="1" applyFont="1" applyFill="1" applyBorder="1" applyAlignment="1" applyProtection="1">
      <alignment horizontal="left" vertical="center" wrapText="1"/>
      <protection locked="0"/>
    </xf>
    <xf numFmtId="4" fontId="0" fillId="0" borderId="28" xfId="3" applyNumberFormat="1" applyFont="1" applyFill="1" applyBorder="1" applyAlignment="1" applyProtection="1">
      <alignment horizontal="center" vertical="center" wrapText="1"/>
      <protection locked="0"/>
    </xf>
    <xf numFmtId="10" fontId="23" fillId="0" borderId="29" xfId="3" applyNumberFormat="1" applyFont="1" applyBorder="1" applyAlignment="1" applyProtection="1">
      <alignment horizontal="center" vertical="center"/>
      <protection locked="0"/>
    </xf>
    <xf numFmtId="10" fontId="0" fillId="0" borderId="30" xfId="3" applyNumberFormat="1" applyFont="1" applyFill="1" applyBorder="1" applyAlignment="1" applyProtection="1">
      <alignment horizontal="center" vertical="center" wrapText="1"/>
      <protection locked="0"/>
    </xf>
    <xf numFmtId="173" fontId="42" fillId="0" borderId="14" xfId="1" applyNumberFormat="1" applyBorder="1" applyAlignment="1" applyProtection="1">
      <alignment horizontal="center" vertical="center" wrapText="1"/>
      <protection locked="0"/>
    </xf>
    <xf numFmtId="164" fontId="42" fillId="0" borderId="14" xfId="1" applyBorder="1" applyAlignment="1" applyProtection="1">
      <alignment horizontal="center" vertical="center" wrapText="1"/>
      <protection locked="0"/>
    </xf>
    <xf numFmtId="0" fontId="0" fillId="0" borderId="10" xfId="3" applyNumberFormat="1" applyFont="1" applyFill="1" applyBorder="1" applyAlignment="1" applyProtection="1">
      <alignment horizontal="center" vertical="center" wrapText="1"/>
      <protection locked="0"/>
    </xf>
    <xf numFmtId="164" fontId="42" fillId="0" borderId="0" xfId="1" applyBorder="1" applyAlignment="1" applyProtection="1">
      <alignment wrapText="1"/>
      <protection locked="0"/>
    </xf>
    <xf numFmtId="0" fontId="0" fillId="0" borderId="13" xfId="3" applyNumberFormat="1" applyFont="1" applyFill="1" applyBorder="1" applyAlignment="1" applyProtection="1">
      <alignment horizontal="center" vertical="center" wrapText="1"/>
      <protection locked="0"/>
    </xf>
    <xf numFmtId="14" fontId="0" fillId="0" borderId="31" xfId="3" applyNumberFormat="1" applyFont="1" applyFill="1" applyBorder="1" applyAlignment="1" applyProtection="1">
      <alignment horizontal="center" vertical="center" wrapText="1"/>
      <protection locked="0"/>
    </xf>
    <xf numFmtId="173" fontId="0" fillId="0" borderId="14" xfId="1" applyNumberFormat="1" applyFont="1" applyBorder="1" applyAlignment="1" applyProtection="1">
      <alignment vertical="center"/>
    </xf>
    <xf numFmtId="0" fontId="0" fillId="0" borderId="23" xfId="3" applyNumberFormat="1" applyFont="1" applyFill="1" applyBorder="1" applyAlignment="1" applyProtection="1">
      <alignment vertical="center" wrapText="1"/>
      <protection locked="0"/>
    </xf>
    <xf numFmtId="10" fontId="23" fillId="0" borderId="14" xfId="3" applyNumberFormat="1" applyFont="1" applyBorder="1" applyAlignment="1" applyProtection="1">
      <alignment horizontal="center" vertical="center" wrapText="1"/>
      <protection locked="0"/>
    </xf>
    <xf numFmtId="0" fontId="23" fillId="0" borderId="11" xfId="3" applyNumberFormat="1" applyFont="1" applyFill="1" applyBorder="1" applyAlignment="1" applyProtection="1">
      <alignment horizontal="center" vertical="center" wrapText="1"/>
      <protection locked="0"/>
    </xf>
    <xf numFmtId="0" fontId="0" fillId="0" borderId="10" xfId="3" applyNumberFormat="1" applyFont="1" applyFill="1" applyBorder="1" applyAlignment="1" applyProtection="1">
      <alignment vertical="center" wrapText="1"/>
      <protection locked="0"/>
    </xf>
    <xf numFmtId="0" fontId="13" fillId="0" borderId="0" xfId="3" applyFont="1" applyAlignment="1" applyProtection="1">
      <alignment wrapText="1"/>
      <protection locked="0"/>
    </xf>
    <xf numFmtId="14" fontId="0" fillId="0" borderId="30" xfId="3" applyNumberFormat="1" applyFont="1" applyFill="1" applyBorder="1" applyAlignment="1" applyProtection="1">
      <alignment horizontal="center" vertical="center" wrapText="1"/>
      <protection locked="0"/>
    </xf>
    <xf numFmtId="4" fontId="0" fillId="0" borderId="11" xfId="3" applyNumberFormat="1" applyFont="1" applyFill="1" applyBorder="1" applyAlignment="1" applyProtection="1">
      <alignment horizontal="center" vertical="center" wrapText="1"/>
      <protection locked="0"/>
    </xf>
    <xf numFmtId="4" fontId="0" fillId="0" borderId="17" xfId="3" applyNumberFormat="1" applyFont="1" applyFill="1" applyBorder="1" applyAlignment="1" applyProtection="1">
      <alignment horizontal="center" vertical="center" wrapText="1"/>
      <protection locked="0"/>
    </xf>
    <xf numFmtId="10" fontId="0" fillId="0" borderId="17" xfId="3" applyNumberFormat="1" applyFont="1" applyFill="1" applyBorder="1" applyAlignment="1" applyProtection="1">
      <alignment horizontal="center" vertical="center" wrapText="1"/>
      <protection locked="0"/>
    </xf>
    <xf numFmtId="174" fontId="0" fillId="0" borderId="11" xfId="3" applyNumberFormat="1" applyFont="1" applyFill="1" applyBorder="1" applyAlignment="1" applyProtection="1">
      <alignment horizontal="center" vertical="center" wrapText="1"/>
      <protection locked="0"/>
    </xf>
    <xf numFmtId="0" fontId="0" fillId="0" borderId="32" xfId="3" applyNumberFormat="1" applyFont="1" applyFill="1" applyBorder="1" applyAlignment="1" applyProtection="1">
      <alignment vertical="center" wrapText="1"/>
      <protection locked="0"/>
    </xf>
    <xf numFmtId="10" fontId="0" fillId="0" borderId="14" xfId="2" applyNumberFormat="1" applyFont="1" applyBorder="1" applyAlignment="1" applyProtection="1">
      <alignment horizontal="center" vertical="center" wrapText="1"/>
      <protection locked="0"/>
    </xf>
    <xf numFmtId="0" fontId="0" fillId="0" borderId="15" xfId="3" applyNumberFormat="1" applyFont="1" applyFill="1" applyBorder="1" applyAlignment="1" applyProtection="1">
      <alignment horizontal="center" vertical="center" wrapText="1"/>
      <protection locked="0"/>
    </xf>
    <xf numFmtId="0" fontId="0" fillId="0" borderId="15" xfId="3" applyNumberFormat="1" applyFont="1" applyFill="1" applyBorder="1" applyAlignment="1" applyProtection="1">
      <alignment horizontal="justify" vertical="center" wrapText="1"/>
      <protection locked="0"/>
    </xf>
    <xf numFmtId="4" fontId="0" fillId="6" borderId="17" xfId="3" applyNumberFormat="1" applyFont="1" applyFill="1" applyBorder="1" applyAlignment="1" applyProtection="1">
      <alignment horizontal="center" vertical="center" wrapText="1"/>
      <protection locked="0"/>
    </xf>
    <xf numFmtId="10" fontId="0" fillId="0" borderId="17" xfId="2" applyNumberFormat="1" applyFont="1" applyBorder="1" applyAlignment="1" applyProtection="1">
      <alignment horizontal="center" vertical="center" wrapText="1"/>
      <protection locked="0"/>
    </xf>
    <xf numFmtId="10" fontId="0" fillId="0" borderId="15" xfId="2" applyNumberFormat="1" applyFont="1" applyBorder="1" applyAlignment="1" applyProtection="1">
      <alignment horizontal="center" vertical="center" wrapText="1"/>
      <protection locked="0"/>
    </xf>
    <xf numFmtId="10" fontId="23" fillId="6" borderId="17" xfId="3" applyNumberFormat="1" applyFont="1" applyFill="1" applyBorder="1" applyAlignment="1" applyProtection="1">
      <alignment horizontal="center" vertical="center" wrapText="1"/>
      <protection locked="0"/>
    </xf>
    <xf numFmtId="14" fontId="0" fillId="0" borderId="17" xfId="3" applyNumberFormat="1" applyFont="1" applyFill="1" applyBorder="1" applyAlignment="1" applyProtection="1">
      <alignment horizontal="center" vertical="center" wrapText="1"/>
      <protection locked="0"/>
    </xf>
    <xf numFmtId="167" fontId="0" fillId="0" borderId="17" xfId="3" applyNumberFormat="1" applyFont="1" applyFill="1" applyBorder="1" applyAlignment="1" applyProtection="1">
      <alignment horizontal="center" vertical="center" wrapText="1"/>
      <protection locked="0"/>
    </xf>
    <xf numFmtId="4" fontId="0" fillId="6" borderId="33" xfId="3" applyNumberFormat="1" applyFont="1" applyFill="1" applyBorder="1" applyAlignment="1" applyProtection="1">
      <alignment horizontal="center" vertical="center" wrapText="1"/>
      <protection locked="0"/>
    </xf>
    <xf numFmtId="4" fontId="0" fillId="6" borderId="6" xfId="3" applyNumberFormat="1" applyFont="1" applyFill="1" applyBorder="1" applyAlignment="1" applyProtection="1">
      <alignment horizontal="center" vertical="center" wrapText="1"/>
      <protection locked="0"/>
    </xf>
    <xf numFmtId="10" fontId="0" fillId="0" borderId="33" xfId="3" applyNumberFormat="1" applyFont="1" applyFill="1" applyBorder="1" applyAlignment="1" applyProtection="1">
      <alignment horizontal="center" vertical="center" wrapText="1"/>
      <protection locked="0"/>
    </xf>
    <xf numFmtId="10" fontId="0" fillId="6" borderId="6" xfId="3" applyNumberFormat="1" applyFont="1" applyFill="1" applyBorder="1" applyAlignment="1" applyProtection="1">
      <alignment horizontal="center" vertical="center" wrapText="1"/>
      <protection locked="0"/>
    </xf>
    <xf numFmtId="14" fontId="25" fillId="5" borderId="14" xfId="3" applyNumberFormat="1" applyFont="1" applyFill="1" applyBorder="1" applyAlignment="1" applyProtection="1">
      <alignment horizontal="center" vertical="center" wrapText="1"/>
      <protection locked="0"/>
    </xf>
    <xf numFmtId="0" fontId="27" fillId="0" borderId="0" xfId="3" applyFont="1" applyProtection="1">
      <protection locked="0"/>
    </xf>
    <xf numFmtId="4" fontId="27" fillId="10" borderId="0" xfId="3" applyNumberFormat="1" applyFont="1" applyFill="1" applyAlignment="1" applyProtection="1">
      <alignment horizontal="center" vertical="center"/>
      <protection locked="0"/>
    </xf>
    <xf numFmtId="10" fontId="28" fillId="10" borderId="0" xfId="2" applyNumberFormat="1" applyFont="1" applyFill="1" applyBorder="1" applyAlignment="1" applyProtection="1">
      <alignment horizontal="center" vertical="center"/>
      <protection locked="0"/>
    </xf>
    <xf numFmtId="170" fontId="27" fillId="10" borderId="0" xfId="3" applyNumberFormat="1" applyFont="1" applyFill="1" applyAlignment="1" applyProtection="1">
      <alignment horizontal="center" vertical="center"/>
      <protection locked="0"/>
    </xf>
    <xf numFmtId="0" fontId="28" fillId="0" borderId="0" xfId="3" applyFont="1" applyProtection="1">
      <protection locked="0"/>
    </xf>
    <xf numFmtId="0" fontId="25" fillId="5" borderId="11" xfId="3" applyNumberFormat="1" applyFont="1" applyFill="1" applyBorder="1" applyAlignment="1" applyProtection="1">
      <alignment horizontal="center" vertical="center" wrapText="1"/>
      <protection locked="0"/>
    </xf>
    <xf numFmtId="4" fontId="25" fillId="5" borderId="11" xfId="3" applyNumberFormat="1" applyFont="1" applyFill="1" applyBorder="1" applyAlignment="1" applyProtection="1">
      <alignment horizontal="center" vertical="center" wrapText="1"/>
      <protection locked="0"/>
    </xf>
    <xf numFmtId="10" fontId="25" fillId="5" borderId="11" xfId="3" applyNumberFormat="1" applyFont="1" applyFill="1" applyBorder="1" applyAlignment="1" applyProtection="1">
      <alignment horizontal="center" vertical="center" wrapText="1"/>
      <protection locked="0"/>
    </xf>
    <xf numFmtId="0" fontId="0" fillId="0" borderId="1" xfId="3" applyNumberFormat="1" applyFont="1" applyFill="1" applyBorder="1" applyAlignment="1" applyProtection="1">
      <alignment horizontal="justify" vertical="center" wrapText="1"/>
      <protection locked="0"/>
    </xf>
    <xf numFmtId="4" fontId="29" fillId="0" borderId="31" xfId="3" applyNumberFormat="1" applyFont="1" applyFill="1" applyBorder="1" applyAlignment="1">
      <alignment horizontal="center" vertical="center" wrapText="1"/>
    </xf>
    <xf numFmtId="1" fontId="0" fillId="0" borderId="14" xfId="3" applyNumberFormat="1" applyFont="1" applyFill="1" applyBorder="1" applyAlignment="1" applyProtection="1">
      <alignment horizontal="center" vertical="center" wrapText="1"/>
      <protection locked="0"/>
    </xf>
    <xf numFmtId="1" fontId="0" fillId="0" borderId="27" xfId="3" applyNumberFormat="1" applyFont="1" applyFill="1" applyBorder="1" applyAlignment="1" applyProtection="1">
      <alignment horizontal="center" vertical="center" wrapText="1"/>
      <protection locked="0"/>
    </xf>
    <xf numFmtId="10" fontId="0" fillId="0" borderId="31" xfId="3" applyNumberFormat="1" applyFont="1" applyFill="1" applyBorder="1" applyAlignment="1" applyProtection="1">
      <alignment horizontal="center" vertical="center" wrapText="1"/>
      <protection locked="0"/>
    </xf>
    <xf numFmtId="168" fontId="12" fillId="0" borderId="0" xfId="3" applyNumberFormat="1" applyFont="1" applyBorder="1" applyProtection="1">
      <protection locked="0"/>
    </xf>
    <xf numFmtId="168" fontId="30" fillId="0" borderId="0" xfId="3" applyNumberFormat="1" applyFont="1" applyBorder="1" applyProtection="1">
      <protection locked="0"/>
    </xf>
    <xf numFmtId="4" fontId="31" fillId="0" borderId="0" xfId="3" applyNumberFormat="1" applyFont="1" applyFill="1" applyBorder="1" applyAlignment="1" applyProtection="1">
      <alignment horizontal="center" vertical="center" wrapText="1"/>
      <protection locked="0"/>
    </xf>
    <xf numFmtId="168" fontId="12" fillId="0" borderId="0" xfId="3" applyNumberFormat="1" applyFont="1" applyBorder="1" applyProtection="1">
      <protection locked="0"/>
    </xf>
    <xf numFmtId="14" fontId="12" fillId="0" borderId="0" xfId="3" applyNumberFormat="1" applyFont="1" applyBorder="1" applyProtection="1">
      <protection locked="0"/>
    </xf>
    <xf numFmtId="168" fontId="12" fillId="10" borderId="0" xfId="3" applyNumberFormat="1" applyFont="1" applyFill="1" applyBorder="1" applyAlignment="1" applyProtection="1">
      <alignment horizontal="center" vertical="center"/>
      <protection locked="0"/>
    </xf>
    <xf numFmtId="168" fontId="0" fillId="10" borderId="0" xfId="2" applyNumberFormat="1" applyFont="1" applyFill="1" applyBorder="1" applyAlignment="1" applyProtection="1">
      <alignment horizontal="center" vertical="center"/>
      <protection locked="0"/>
    </xf>
    <xf numFmtId="168" fontId="12" fillId="10" borderId="0" xfId="3" applyNumberFormat="1" applyFont="1" applyFill="1" applyBorder="1" applyProtection="1">
      <protection locked="0"/>
    </xf>
    <xf numFmtId="168" fontId="13" fillId="0" borderId="0" xfId="3" applyNumberFormat="1" applyFont="1" applyBorder="1" applyProtection="1">
      <protection locked="0"/>
    </xf>
    <xf numFmtId="0" fontId="19" fillId="5" borderId="35" xfId="3" applyNumberFormat="1" applyFont="1" applyFill="1" applyBorder="1" applyAlignment="1" applyProtection="1">
      <alignment vertical="center" wrapText="1"/>
      <protection locked="0"/>
    </xf>
    <xf numFmtId="168" fontId="12" fillId="0" borderId="0" xfId="3" applyNumberFormat="1" applyFont="1" applyProtection="1">
      <protection locked="0"/>
    </xf>
    <xf numFmtId="168" fontId="12" fillId="10" borderId="0" xfId="3" applyNumberFormat="1" applyFont="1" applyFill="1" applyAlignment="1" applyProtection="1">
      <alignment horizontal="center" vertical="center"/>
      <protection locked="0"/>
    </xf>
    <xf numFmtId="168" fontId="12" fillId="10" borderId="0" xfId="3" applyNumberFormat="1" applyFont="1" applyFill="1" applyProtection="1">
      <protection locked="0"/>
    </xf>
    <xf numFmtId="168" fontId="13" fillId="0" borderId="0" xfId="3" applyNumberFormat="1" applyFont="1" applyProtection="1">
      <protection locked="0"/>
    </xf>
    <xf numFmtId="4" fontId="0" fillId="0" borderId="36" xfId="3" applyNumberFormat="1" applyFont="1" applyFill="1" applyBorder="1" applyAlignment="1" applyProtection="1">
      <alignment horizontal="center" vertical="center" wrapText="1"/>
      <protection locked="0"/>
    </xf>
    <xf numFmtId="4" fontId="0" fillId="0" borderId="36" xfId="3" applyNumberFormat="1" applyFont="1" applyFill="1" applyBorder="1" applyAlignment="1" applyProtection="1">
      <alignment horizontal="left" vertical="center"/>
      <protection locked="0"/>
    </xf>
    <xf numFmtId="175" fontId="24" fillId="0" borderId="36" xfId="1" applyNumberFormat="1" applyFont="1" applyBorder="1" applyAlignment="1" applyProtection="1">
      <alignment horizontal="center" vertical="center" wrapText="1"/>
      <protection locked="0"/>
    </xf>
    <xf numFmtId="4" fontId="0" fillId="0" borderId="14" xfId="3" applyNumberFormat="1" applyFont="1" applyFill="1" applyBorder="1" applyAlignment="1" applyProtection="1">
      <alignment horizontal="left" vertical="center"/>
      <protection locked="0"/>
    </xf>
    <xf numFmtId="4" fontId="13" fillId="0" borderId="0" xfId="3" applyNumberFormat="1" applyFont="1" applyBorder="1" applyProtection="1">
      <protection locked="0"/>
    </xf>
    <xf numFmtId="0" fontId="0" fillId="0" borderId="0" xfId="0"/>
    <xf numFmtId="166" fontId="1" fillId="0" borderId="0" xfId="3" applyNumberFormat="1" applyProtection="1">
      <protection locked="0"/>
    </xf>
    <xf numFmtId="0" fontId="0" fillId="0" borderId="0" xfId="0" applyProtection="1">
      <protection locked="0"/>
    </xf>
    <xf numFmtId="4" fontId="22" fillId="0" borderId="0" xfId="3" applyNumberFormat="1" applyFont="1" applyAlignment="1" applyProtection="1">
      <alignment horizontal="right" vertical="center"/>
      <protection locked="0"/>
    </xf>
    <xf numFmtId="4" fontId="22" fillId="0" borderId="0" xfId="3" applyNumberFormat="1" applyFont="1" applyAlignment="1" applyProtection="1">
      <alignment horizontal="right"/>
      <protection locked="0"/>
    </xf>
    <xf numFmtId="4" fontId="22" fillId="11" borderId="0" xfId="3" applyNumberFormat="1" applyFont="1" applyFill="1" applyAlignment="1" applyProtection="1">
      <alignment horizontal="right" vertical="center"/>
      <protection locked="0"/>
    </xf>
    <xf numFmtId="4" fontId="0" fillId="0" borderId="0" xfId="0" applyNumberFormat="1" applyProtection="1">
      <protection locked="0"/>
    </xf>
    <xf numFmtId="0" fontId="32" fillId="0" borderId="0" xfId="3" applyFont="1" applyAlignment="1" applyProtection="1">
      <alignment horizontal="right"/>
      <protection locked="0"/>
    </xf>
    <xf numFmtId="4" fontId="32" fillId="0" borderId="0" xfId="3" applyNumberFormat="1" applyFont="1" applyProtection="1">
      <protection locked="0"/>
    </xf>
    <xf numFmtId="0" fontId="32" fillId="0" borderId="0" xfId="3" applyFont="1" applyProtection="1">
      <protection locked="0"/>
    </xf>
    <xf numFmtId="164" fontId="42" fillId="0" borderId="0" xfId="1" applyBorder="1" applyAlignment="1" applyProtection="1">
      <alignment horizontal="right"/>
      <protection locked="0"/>
    </xf>
    <xf numFmtId="0" fontId="32" fillId="0" borderId="0" xfId="3" applyFont="1" applyAlignment="1" applyProtection="1">
      <alignment horizontal="right" vertical="center"/>
      <protection locked="0"/>
    </xf>
    <xf numFmtId="4" fontId="32" fillId="0" borderId="0" xfId="3" applyNumberFormat="1" applyFont="1" applyAlignment="1" applyProtection="1">
      <alignment vertical="center"/>
      <protection locked="0"/>
    </xf>
    <xf numFmtId="0" fontId="32" fillId="0" borderId="0" xfId="3" applyFont="1" applyAlignment="1" applyProtection="1">
      <alignment vertical="center"/>
      <protection locked="0"/>
    </xf>
    <xf numFmtId="4" fontId="32" fillId="11" borderId="0" xfId="3" applyNumberFormat="1" applyFont="1" applyFill="1" applyAlignment="1" applyProtection="1">
      <alignment vertical="center"/>
      <protection locked="0"/>
    </xf>
    <xf numFmtId="0" fontId="0" fillId="0" borderId="0" xfId="0" applyFont="1"/>
    <xf numFmtId="0" fontId="34" fillId="0" borderId="0" xfId="0" applyFont="1" applyAlignment="1"/>
    <xf numFmtId="0" fontId="0" fillId="0" borderId="0" xfId="0" applyFont="1" applyBorder="1"/>
    <xf numFmtId="0" fontId="33" fillId="0" borderId="0" xfId="0" applyFont="1" applyAlignment="1"/>
    <xf numFmtId="176" fontId="31" fillId="12" borderId="1" xfId="3" applyNumberFormat="1" applyFont="1" applyFill="1" applyBorder="1" applyAlignment="1" applyProtection="1">
      <alignment horizontal="center" vertical="center" wrapText="1"/>
      <protection locked="0"/>
    </xf>
    <xf numFmtId="176" fontId="31" fillId="12" borderId="29" xfId="3" applyNumberFormat="1" applyFont="1" applyFill="1" applyBorder="1" applyAlignment="1" applyProtection="1">
      <alignment horizontal="center" vertical="center" wrapText="1"/>
      <protection locked="0"/>
    </xf>
    <xf numFmtId="0" fontId="31" fillId="12" borderId="1" xfId="3" applyNumberFormat="1" applyFont="1" applyFill="1" applyBorder="1" applyAlignment="1">
      <alignment horizontal="center" vertical="center" wrapText="1"/>
    </xf>
    <xf numFmtId="0" fontId="31" fillId="12" borderId="38" xfId="3" applyNumberFormat="1" applyFont="1" applyFill="1" applyBorder="1" applyAlignment="1">
      <alignment horizontal="center" vertical="center" wrapText="1"/>
    </xf>
    <xf numFmtId="177" fontId="31" fillId="2" borderId="38" xfId="3" applyNumberFormat="1" applyFont="1" applyFill="1" applyBorder="1" applyAlignment="1">
      <alignment horizontal="left" vertical="center"/>
    </xf>
    <xf numFmtId="2" fontId="0" fillId="2" borderId="1" xfId="0" applyNumberFormat="1" applyFont="1" applyFill="1" applyBorder="1" applyAlignment="1">
      <alignment vertical="center" wrapText="1"/>
    </xf>
    <xf numFmtId="2" fontId="0" fillId="2" borderId="39" xfId="0" applyNumberFormat="1" applyFont="1" applyFill="1" applyBorder="1" applyAlignment="1">
      <alignment vertical="center" wrapText="1"/>
    </xf>
    <xf numFmtId="2" fontId="0" fillId="2" borderId="38" xfId="0" applyNumberFormat="1" applyFont="1" applyFill="1" applyBorder="1" applyAlignment="1">
      <alignment vertical="center" wrapText="1"/>
    </xf>
    <xf numFmtId="0" fontId="31" fillId="0" borderId="38" xfId="0" applyFont="1" applyBorder="1" applyAlignment="1">
      <alignment horizontal="justify" vertical="center" wrapText="1"/>
    </xf>
    <xf numFmtId="178" fontId="0" fillId="0" borderId="1" xfId="0" applyNumberFormat="1" applyFont="1" applyBorder="1" applyAlignment="1">
      <alignment vertical="center" wrapText="1"/>
    </xf>
    <xf numFmtId="178" fontId="0" fillId="0" borderId="1" xfId="0" applyNumberFormat="1" applyBorder="1" applyAlignment="1">
      <alignment vertical="center" wrapText="1"/>
    </xf>
    <xf numFmtId="179" fontId="23" fillId="0" borderId="40" xfId="0" applyNumberFormat="1" applyFont="1" applyBorder="1" applyAlignment="1">
      <alignment horizontal="center" vertical="center"/>
    </xf>
    <xf numFmtId="178" fontId="0" fillId="0" borderId="41" xfId="0" applyNumberFormat="1" applyFont="1" applyBorder="1" applyAlignment="1">
      <alignment vertical="center" wrapText="1"/>
    </xf>
    <xf numFmtId="178" fontId="0" fillId="0" borderId="1" xfId="0" applyNumberFormat="1" applyFont="1" applyBorder="1" applyAlignment="1">
      <alignment horizontal="justify" vertical="center" wrapText="1"/>
    </xf>
    <xf numFmtId="179" fontId="23" fillId="0" borderId="39" xfId="0" applyNumberFormat="1" applyFont="1" applyBorder="1" applyAlignment="1">
      <alignment horizontal="center" vertical="center"/>
    </xf>
    <xf numFmtId="178" fontId="0" fillId="0" borderId="42" xfId="0" applyNumberFormat="1" applyFont="1" applyBorder="1" applyAlignment="1">
      <alignment vertical="center" wrapText="1"/>
    </xf>
    <xf numFmtId="0" fontId="9" fillId="13" borderId="1" xfId="0" applyFont="1" applyFill="1" applyBorder="1" applyAlignment="1">
      <alignment horizontal="right" vertical="center" wrapText="1"/>
    </xf>
    <xf numFmtId="178" fontId="31" fillId="13" borderId="43" xfId="0" applyNumberFormat="1" applyFont="1" applyFill="1" applyBorder="1" applyAlignment="1">
      <alignment horizontal="center" vertical="center" wrapText="1"/>
    </xf>
    <xf numFmtId="179" fontId="38" fillId="13" borderId="1" xfId="0" applyNumberFormat="1" applyFont="1" applyFill="1" applyBorder="1" applyAlignment="1">
      <alignment horizontal="center" vertical="center"/>
    </xf>
    <xf numFmtId="178" fontId="31" fillId="13" borderId="1" xfId="0" applyNumberFormat="1" applyFont="1" applyFill="1" applyBorder="1" applyAlignment="1">
      <alignment horizontal="center" vertical="center" wrapText="1"/>
    </xf>
    <xf numFmtId="178" fontId="0" fillId="13" borderId="1" xfId="0" applyNumberFormat="1" applyFont="1" applyFill="1" applyBorder="1" applyAlignment="1">
      <alignment vertical="center" wrapText="1"/>
    </xf>
    <xf numFmtId="0" fontId="0" fillId="0" borderId="1" xfId="0" applyFont="1" applyBorder="1" applyAlignment="1">
      <alignment horizontal="justify" vertical="center" wrapText="1"/>
    </xf>
    <xf numFmtId="179" fontId="23" fillId="0" borderId="44" xfId="0" applyNumberFormat="1" applyFont="1" applyBorder="1" applyAlignment="1">
      <alignment horizontal="center" vertical="center"/>
    </xf>
    <xf numFmtId="178" fontId="0" fillId="0" borderId="40" xfId="0" applyNumberFormat="1" applyFont="1" applyBorder="1" applyAlignment="1">
      <alignment vertical="center" wrapText="1"/>
    </xf>
    <xf numFmtId="178" fontId="0" fillId="0" borderId="44" xfId="0" applyNumberFormat="1" applyFont="1" applyBorder="1" applyAlignment="1">
      <alignment vertical="center" wrapText="1"/>
    </xf>
    <xf numFmtId="4" fontId="0" fillId="0" borderId="44" xfId="3" applyNumberFormat="1" applyFont="1" applyFill="1" applyBorder="1" applyAlignment="1">
      <alignment horizontal="right" vertical="center"/>
    </xf>
    <xf numFmtId="0" fontId="0" fillId="0" borderId="1" xfId="0" applyFont="1" applyBorder="1" applyAlignment="1">
      <alignment vertical="center" wrapText="1"/>
    </xf>
    <xf numFmtId="0" fontId="24" fillId="0" borderId="1" xfId="0" applyFont="1" applyBorder="1" applyAlignment="1">
      <alignment horizontal="justify" vertical="center" wrapText="1"/>
    </xf>
    <xf numFmtId="2" fontId="0" fillId="0" borderId="1" xfId="0" applyNumberFormat="1" applyFont="1" applyBorder="1" applyAlignment="1">
      <alignment vertical="center" wrapText="1"/>
    </xf>
    <xf numFmtId="178" fontId="0" fillId="11" borderId="1" xfId="0" applyNumberFormat="1" applyFont="1" applyFill="1" applyBorder="1" applyAlignment="1">
      <alignment vertical="center" wrapText="1"/>
    </xf>
    <xf numFmtId="179" fontId="23" fillId="0" borderId="1" xfId="0" applyNumberFormat="1" applyFont="1" applyBorder="1" applyAlignment="1">
      <alignment horizontal="center" vertical="center"/>
    </xf>
    <xf numFmtId="178" fontId="0" fillId="11" borderId="44" xfId="0" applyNumberFormat="1" applyFont="1" applyFill="1" applyBorder="1" applyAlignment="1">
      <alignment horizontal="left" vertical="center" wrapText="1"/>
    </xf>
    <xf numFmtId="178" fontId="0" fillId="0" borderId="38" xfId="0" applyNumberFormat="1" applyFont="1" applyBorder="1" applyAlignment="1">
      <alignment vertical="center" wrapText="1"/>
    </xf>
    <xf numFmtId="178" fontId="0" fillId="0" borderId="1" xfId="0" applyNumberFormat="1" applyFont="1" applyBorder="1" applyAlignment="1">
      <alignment vertical="center" wrapText="1"/>
    </xf>
    <xf numFmtId="178" fontId="39" fillId="11" borderId="38" xfId="0" applyNumberFormat="1" applyFont="1" applyFill="1" applyBorder="1" applyAlignment="1">
      <alignment vertical="center" wrapText="1"/>
    </xf>
    <xf numFmtId="178" fontId="0" fillId="11" borderId="38" xfId="0" applyNumberFormat="1" applyFont="1" applyFill="1" applyBorder="1" applyAlignment="1">
      <alignment vertical="center" wrapText="1"/>
    </xf>
    <xf numFmtId="178" fontId="0" fillId="11" borderId="44" xfId="0" applyNumberFormat="1" applyFont="1" applyFill="1" applyBorder="1" applyAlignment="1">
      <alignment vertical="center" wrapText="1"/>
    </xf>
    <xf numFmtId="178" fontId="0" fillId="11" borderId="40" xfId="0" applyNumberFormat="1" applyFont="1" applyFill="1" applyBorder="1" applyAlignment="1">
      <alignment vertical="center" wrapText="1"/>
    </xf>
    <xf numFmtId="178" fontId="31" fillId="11" borderId="1" xfId="0" applyNumberFormat="1" applyFont="1" applyFill="1" applyBorder="1" applyAlignment="1">
      <alignment horizontal="center" vertical="center" wrapText="1"/>
    </xf>
    <xf numFmtId="0" fontId="31" fillId="3" borderId="44" xfId="0" applyFont="1" applyFill="1" applyBorder="1" applyAlignment="1">
      <alignment horizontal="right" vertical="center" wrapText="1"/>
    </xf>
    <xf numFmtId="178" fontId="31" fillId="3" borderId="1" xfId="0" applyNumberFormat="1" applyFont="1" applyFill="1" applyBorder="1" applyAlignment="1">
      <alignment vertical="center" wrapText="1"/>
    </xf>
    <xf numFmtId="178" fontId="31" fillId="3" borderId="1" xfId="0" applyNumberFormat="1" applyFont="1" applyFill="1" applyBorder="1" applyAlignment="1">
      <alignment horizontal="center" vertical="center" wrapText="1"/>
    </xf>
    <xf numFmtId="178" fontId="31" fillId="3" borderId="45" xfId="0" applyNumberFormat="1" applyFont="1" applyFill="1" applyBorder="1" applyAlignment="1">
      <alignment horizontal="center" vertical="center" wrapText="1"/>
    </xf>
    <xf numFmtId="178" fontId="0" fillId="0" borderId="0" xfId="0" applyNumberFormat="1" applyFont="1" applyBorder="1" applyAlignment="1">
      <alignment vertical="center" wrapText="1"/>
    </xf>
    <xf numFmtId="0" fontId="0" fillId="0" borderId="0" xfId="0" applyFont="1"/>
    <xf numFmtId="0" fontId="40" fillId="5" borderId="5" xfId="3" applyNumberFormat="1" applyFont="1" applyFill="1" applyBorder="1" applyAlignment="1" applyProtection="1">
      <alignment horizontal="center" vertical="center" wrapText="1"/>
      <protection locked="0"/>
    </xf>
    <xf numFmtId="0" fontId="40" fillId="5" borderId="6" xfId="3" applyNumberFormat="1" applyFont="1" applyFill="1" applyBorder="1" applyAlignment="1" applyProtection="1">
      <alignment horizontal="center" vertical="center" wrapText="1"/>
      <protection locked="0"/>
    </xf>
    <xf numFmtId="0" fontId="40" fillId="5" borderId="7" xfId="3" applyNumberFormat="1" applyFont="1" applyFill="1" applyBorder="1" applyAlignment="1" applyProtection="1">
      <alignment horizontal="center" vertical="center" wrapText="1"/>
      <protection locked="0"/>
    </xf>
    <xf numFmtId="0" fontId="0" fillId="0" borderId="0" xfId="0" applyFont="1" applyAlignment="1">
      <alignment horizontal="center" vertical="center"/>
    </xf>
    <xf numFmtId="0" fontId="0" fillId="0" borderId="2" xfId="0" applyFont="1" applyBorder="1" applyAlignment="1">
      <alignment horizontal="center" vertical="center" wrapText="1"/>
    </xf>
    <xf numFmtId="0" fontId="0" fillId="0" borderId="46" xfId="3" applyNumberFormat="1" applyFont="1" applyFill="1" applyBorder="1" applyAlignment="1" applyProtection="1">
      <alignment horizontal="justify" vertical="center" wrapText="1"/>
      <protection locked="0"/>
    </xf>
    <xf numFmtId="164" fontId="42" fillId="0" borderId="3" xfId="1" applyBorder="1" applyAlignment="1" applyProtection="1">
      <alignment horizontal="center" vertical="center" wrapText="1"/>
      <protection locked="0"/>
    </xf>
    <xf numFmtId="0" fontId="0" fillId="0" borderId="5" xfId="0" applyFont="1" applyBorder="1" applyAlignment="1">
      <alignment horizontal="center" vertical="center" wrapText="1"/>
    </xf>
    <xf numFmtId="0" fontId="0" fillId="0" borderId="6" xfId="0" applyFont="1" applyBorder="1" applyAlignment="1">
      <alignment horizontal="left" vertical="center" wrapText="1"/>
    </xf>
    <xf numFmtId="164" fontId="42" fillId="0" borderId="6" xfId="1" applyBorder="1" applyAlignment="1" applyProtection="1">
      <alignment horizontal="center" vertical="center" wrapText="1"/>
      <protection locked="0"/>
    </xf>
    <xf numFmtId="0" fontId="0" fillId="0" borderId="2" xfId="3" applyNumberFormat="1" applyFont="1" applyFill="1" applyBorder="1" applyAlignment="1" applyProtection="1">
      <alignment horizontal="center" vertical="center" wrapText="1"/>
      <protection locked="0"/>
    </xf>
    <xf numFmtId="0" fontId="0" fillId="0" borderId="3" xfId="3" applyNumberFormat="1" applyFont="1" applyFill="1" applyBorder="1" applyAlignment="1" applyProtection="1">
      <alignment horizontal="left" vertical="center" wrapText="1"/>
      <protection locked="0"/>
    </xf>
    <xf numFmtId="164" fontId="42" fillId="6" borderId="49" xfId="1" applyFill="1" applyBorder="1" applyAlignment="1" applyProtection="1">
      <alignment vertical="center" wrapText="1"/>
      <protection locked="0"/>
    </xf>
    <xf numFmtId="164" fontId="42" fillId="0" borderId="27" xfId="1" applyBorder="1" applyAlignment="1" applyProtection="1">
      <alignment vertical="center" wrapText="1"/>
      <protection locked="0"/>
    </xf>
    <xf numFmtId="0" fontId="0" fillId="0" borderId="5" xfId="3" applyNumberFormat="1" applyFont="1" applyFill="1" applyBorder="1" applyAlignment="1" applyProtection="1">
      <alignment horizontal="center" vertical="center" wrapText="1"/>
      <protection locked="0"/>
    </xf>
    <xf numFmtId="0" fontId="0" fillId="0" borderId="6" xfId="0" applyFont="1" applyBorder="1" applyAlignment="1">
      <alignment vertical="center" wrapText="1"/>
    </xf>
    <xf numFmtId="164" fontId="42" fillId="0" borderId="33" xfId="1" applyBorder="1" applyAlignment="1" applyProtection="1">
      <alignment vertical="center" wrapText="1"/>
    </xf>
    <xf numFmtId="165" fontId="0" fillId="0" borderId="0" xfId="0" applyNumberFormat="1"/>
    <xf numFmtId="0" fontId="0" fillId="0" borderId="14" xfId="0" applyFont="1" applyBorder="1" applyAlignment="1">
      <alignment vertical="center"/>
    </xf>
    <xf numFmtId="10" fontId="23" fillId="11" borderId="14" xfId="3" applyNumberFormat="1" applyFont="1" applyFill="1" applyBorder="1" applyAlignment="1" applyProtection="1">
      <alignment horizontal="center" vertical="center" wrapText="1"/>
      <protection locked="0"/>
    </xf>
    <xf numFmtId="10" fontId="23" fillId="11" borderId="14" xfId="3" applyNumberFormat="1" applyFont="1" applyFill="1" applyBorder="1" applyAlignment="1" applyProtection="1">
      <alignment horizontal="center" vertical="center" wrapText="1"/>
      <protection locked="0"/>
    </xf>
    <xf numFmtId="10" fontId="0" fillId="0" borderId="14" xfId="3" applyNumberFormat="1" applyFont="1" applyFill="1" applyBorder="1" applyAlignment="1" applyProtection="1">
      <alignment horizontal="center" vertical="center" wrapText="1"/>
      <protection locked="0"/>
    </xf>
    <xf numFmtId="167" fontId="0" fillId="0" borderId="14" xfId="3" applyNumberFormat="1" applyFont="1" applyFill="1" applyBorder="1" applyAlignment="1" applyProtection="1">
      <alignment horizontal="center" vertical="center" wrapText="1"/>
      <protection locked="0"/>
    </xf>
    <xf numFmtId="0" fontId="4" fillId="0" borderId="0" xfId="3" applyNumberFormat="1" applyFont="1" applyFill="1" applyBorder="1" applyAlignment="1">
      <alignment horizontal="left" vertical="center" wrapText="1"/>
    </xf>
    <xf numFmtId="0" fontId="3" fillId="0" borderId="5" xfId="3" applyNumberFormat="1" applyFont="1" applyFill="1" applyBorder="1" applyAlignment="1">
      <alignment horizontal="center" vertical="center"/>
    </xf>
    <xf numFmtId="0" fontId="3" fillId="0" borderId="6" xfId="3" applyNumberFormat="1" applyFont="1" applyFill="1" applyBorder="1" applyAlignment="1">
      <alignment horizontal="center" vertical="center"/>
    </xf>
    <xf numFmtId="0" fontId="3" fillId="0" borderId="7" xfId="3" applyNumberFormat="1" applyFont="1" applyFill="1" applyBorder="1" applyAlignment="1">
      <alignment horizontal="center" vertical="center"/>
    </xf>
    <xf numFmtId="0" fontId="5" fillId="0" borderId="15" xfId="3" applyNumberFormat="1" applyFont="1" applyFill="1" applyBorder="1" applyAlignment="1" applyProtection="1">
      <alignment horizontal="center" vertical="center" wrapText="1"/>
      <protection locked="0"/>
    </xf>
    <xf numFmtId="0" fontId="8" fillId="5" borderId="12" xfId="3" applyNumberFormat="1" applyFont="1" applyFill="1" applyBorder="1" applyAlignment="1" applyProtection="1">
      <alignment horizontal="center" vertical="center" wrapText="1"/>
      <protection locked="0"/>
    </xf>
    <xf numFmtId="0" fontId="7" fillId="0" borderId="11" xfId="3" applyNumberFormat="1" applyFont="1" applyFill="1" applyBorder="1" applyAlignment="1" applyProtection="1">
      <alignment horizontal="center" vertical="center" wrapText="1"/>
      <protection locked="0"/>
    </xf>
    <xf numFmtId="0" fontId="3" fillId="0" borderId="7" xfId="3" applyNumberFormat="1" applyFont="1" applyFill="1" applyBorder="1" applyAlignment="1" applyProtection="1">
      <alignment horizontal="center" vertical="center" wrapText="1"/>
      <protection locked="0"/>
    </xf>
    <xf numFmtId="0" fontId="20" fillId="5" borderId="10" xfId="3" applyNumberFormat="1" applyFont="1" applyFill="1" applyBorder="1" applyAlignment="1" applyProtection="1">
      <alignment horizontal="center" vertical="center" wrapText="1"/>
      <protection locked="0"/>
    </xf>
    <xf numFmtId="0" fontId="20" fillId="5" borderId="14" xfId="3" applyNumberFormat="1" applyFont="1" applyFill="1" applyBorder="1" applyAlignment="1" applyProtection="1">
      <alignment horizontal="center" vertical="center" wrapText="1"/>
      <protection locked="0"/>
    </xf>
    <xf numFmtId="0" fontId="20" fillId="5" borderId="14" xfId="3" applyNumberFormat="1" applyFont="1" applyFill="1" applyBorder="1" applyAlignment="1" applyProtection="1">
      <alignment horizontal="center" vertical="center"/>
      <protection locked="0"/>
    </xf>
    <xf numFmtId="14" fontId="20" fillId="5" borderId="14" xfId="3" applyNumberFormat="1" applyFont="1" applyFill="1" applyBorder="1" applyAlignment="1" applyProtection="1">
      <alignment horizontal="center" vertical="center" wrapText="1"/>
      <protection locked="0"/>
    </xf>
    <xf numFmtId="0" fontId="14" fillId="0" borderId="11" xfId="3" applyNumberFormat="1" applyFont="1" applyFill="1" applyBorder="1" applyAlignment="1" applyProtection="1">
      <alignment horizontal="center" vertical="center" wrapText="1"/>
      <protection locked="0"/>
    </xf>
    <xf numFmtId="0" fontId="15" fillId="0" borderId="15" xfId="3" applyNumberFormat="1" applyFont="1" applyFill="1" applyBorder="1" applyAlignment="1" applyProtection="1">
      <alignment horizontal="center" vertical="center" wrapText="1"/>
      <protection locked="0"/>
    </xf>
    <xf numFmtId="0" fontId="16" fillId="0" borderId="15" xfId="3" applyNumberFormat="1" applyFont="1" applyFill="1" applyBorder="1" applyAlignment="1" applyProtection="1">
      <alignment horizontal="center" vertical="center" wrapText="1"/>
      <protection locked="0"/>
    </xf>
    <xf numFmtId="167" fontId="18" fillId="0" borderId="17" xfId="3" applyNumberFormat="1" applyFont="1" applyFill="1" applyBorder="1" applyAlignment="1" applyProtection="1">
      <alignment horizontal="right" vertical="center" wrapText="1"/>
      <protection locked="0"/>
    </xf>
    <xf numFmtId="0" fontId="20" fillId="5" borderId="13" xfId="3" applyNumberFormat="1" applyFont="1" applyFill="1" applyBorder="1" applyAlignment="1" applyProtection="1">
      <alignment horizontal="center" vertical="center" wrapText="1"/>
      <protection locked="0"/>
    </xf>
    <xf numFmtId="0" fontId="19" fillId="5" borderId="14" xfId="3" applyNumberFormat="1" applyFont="1" applyFill="1" applyBorder="1" applyAlignment="1" applyProtection="1">
      <alignment horizontal="left" vertical="center" wrapText="1"/>
      <protection locked="0"/>
    </xf>
    <xf numFmtId="0" fontId="0" fillId="0" borderId="14" xfId="3" applyNumberFormat="1" applyFont="1" applyFill="1" applyBorder="1" applyAlignment="1" applyProtection="1">
      <alignment horizontal="center" vertical="center" wrapText="1"/>
      <protection locked="0"/>
    </xf>
    <xf numFmtId="0" fontId="0" fillId="0" borderId="13" xfId="3" applyNumberFormat="1" applyFont="1" applyFill="1" applyBorder="1" applyAlignment="1" applyProtection="1">
      <alignment horizontal="center" vertical="center" wrapText="1"/>
      <protection locked="0"/>
    </xf>
    <xf numFmtId="0" fontId="0" fillId="0" borderId="14" xfId="3" applyNumberFormat="1" applyFont="1" applyFill="1" applyBorder="1" applyAlignment="1" applyProtection="1">
      <alignment horizontal="left" vertical="center" wrapText="1"/>
      <protection locked="0"/>
    </xf>
    <xf numFmtId="0" fontId="0" fillId="0" borderId="27" xfId="3" applyNumberFormat="1" applyFont="1" applyFill="1" applyBorder="1" applyAlignment="1" applyProtection="1">
      <alignment horizontal="center" vertical="center" wrapText="1"/>
      <protection locked="0"/>
    </xf>
    <xf numFmtId="4" fontId="0" fillId="0" borderId="14" xfId="3" applyNumberFormat="1" applyFont="1" applyFill="1" applyBorder="1" applyAlignment="1" applyProtection="1">
      <alignment horizontal="center" vertical="center" wrapText="1"/>
      <protection locked="0"/>
    </xf>
    <xf numFmtId="10" fontId="23" fillId="0" borderId="14" xfId="3" applyNumberFormat="1" applyFont="1" applyBorder="1" applyAlignment="1" applyProtection="1">
      <alignment horizontal="center" vertical="center"/>
      <protection locked="0"/>
    </xf>
    <xf numFmtId="10" fontId="0" fillId="0" borderId="14" xfId="3" applyNumberFormat="1" applyFont="1" applyFill="1" applyBorder="1" applyAlignment="1" applyProtection="1">
      <alignment horizontal="center" vertical="center" wrapText="1"/>
      <protection locked="0"/>
    </xf>
    <xf numFmtId="14" fontId="0" fillId="0" borderId="31" xfId="3" applyNumberFormat="1" applyFont="1" applyFill="1" applyBorder="1" applyAlignment="1" applyProtection="1">
      <alignment horizontal="center" vertical="center" wrapText="1"/>
      <protection locked="0"/>
    </xf>
    <xf numFmtId="14" fontId="0" fillId="0" borderId="14" xfId="3" applyNumberFormat="1" applyFont="1" applyFill="1" applyBorder="1" applyAlignment="1" applyProtection="1">
      <alignment horizontal="center" vertical="center" wrapText="1"/>
      <protection locked="0"/>
    </xf>
    <xf numFmtId="164" fontId="42" fillId="0" borderId="14" xfId="1" applyBorder="1" applyAlignment="1" applyProtection="1">
      <alignment horizontal="center" vertical="center" wrapText="1"/>
      <protection locked="0"/>
    </xf>
    <xf numFmtId="167" fontId="0" fillId="0" borderId="14" xfId="3" applyNumberFormat="1" applyFont="1" applyFill="1" applyBorder="1" applyAlignment="1" applyProtection="1">
      <alignment horizontal="center" vertical="center" wrapText="1"/>
      <protection locked="0"/>
    </xf>
    <xf numFmtId="0" fontId="0" fillId="0" borderId="10" xfId="3" applyNumberFormat="1" applyFont="1" applyFill="1" applyBorder="1" applyAlignment="1" applyProtection="1">
      <alignment horizontal="left" vertical="center" wrapText="1"/>
      <protection locked="0"/>
    </xf>
    <xf numFmtId="10" fontId="25" fillId="5" borderId="14" xfId="3" applyNumberFormat="1" applyFont="1" applyFill="1" applyBorder="1" applyAlignment="1" applyProtection="1">
      <alignment horizontal="center" vertical="center" wrapText="1"/>
      <protection locked="0"/>
    </xf>
    <xf numFmtId="0" fontId="25" fillId="5" borderId="14" xfId="3" applyNumberFormat="1" applyFont="1" applyFill="1" applyBorder="1" applyAlignment="1" applyProtection="1">
      <alignment horizontal="center" vertical="center"/>
      <protection locked="0"/>
    </xf>
    <xf numFmtId="0" fontId="25" fillId="5" borderId="14" xfId="3" applyNumberFormat="1" applyFont="1" applyFill="1" applyBorder="1" applyAlignment="1" applyProtection="1">
      <alignment horizontal="center" vertical="center" wrapText="1"/>
      <protection locked="0"/>
    </xf>
    <xf numFmtId="14" fontId="25" fillId="5" borderId="14" xfId="3" applyNumberFormat="1" applyFont="1" applyFill="1" applyBorder="1" applyAlignment="1" applyProtection="1">
      <alignment horizontal="center" vertical="center" wrapText="1"/>
      <protection locked="0"/>
    </xf>
    <xf numFmtId="0" fontId="0" fillId="6" borderId="17" xfId="3" applyNumberFormat="1" applyFont="1" applyFill="1" applyBorder="1" applyAlignment="1" applyProtection="1">
      <alignment horizontal="center" vertical="center" wrapText="1"/>
      <protection locked="0"/>
    </xf>
    <xf numFmtId="0" fontId="0" fillId="6" borderId="6" xfId="3" applyNumberFormat="1" applyFont="1" applyFill="1" applyBorder="1" applyAlignment="1" applyProtection="1">
      <alignment horizontal="center" vertical="center" wrapText="1"/>
      <protection locked="0"/>
    </xf>
    <xf numFmtId="0" fontId="25" fillId="5" borderId="10" xfId="3" applyNumberFormat="1" applyFont="1" applyFill="1" applyBorder="1" applyAlignment="1" applyProtection="1">
      <alignment horizontal="center" vertical="center" wrapText="1"/>
      <protection locked="0"/>
    </xf>
    <xf numFmtId="0" fontId="25" fillId="5" borderId="13" xfId="3" applyNumberFormat="1" applyFont="1" applyFill="1" applyBorder="1" applyAlignment="1" applyProtection="1">
      <alignment horizontal="center" vertical="center" wrapText="1"/>
      <protection locked="0"/>
    </xf>
    <xf numFmtId="0" fontId="25" fillId="5" borderId="34" xfId="3" applyNumberFormat="1" applyFont="1" applyFill="1" applyBorder="1" applyAlignment="1" applyProtection="1">
      <alignment horizontal="center" vertical="center" wrapText="1"/>
      <protection locked="0"/>
    </xf>
    <xf numFmtId="4" fontId="0" fillId="0" borderId="17" xfId="3" applyNumberFormat="1" applyFont="1" applyFill="1" applyBorder="1" applyAlignment="1" applyProtection="1">
      <alignment horizontal="center" vertical="center"/>
      <protection locked="0"/>
    </xf>
    <xf numFmtId="4" fontId="0" fillId="0" borderId="0" xfId="0" applyNumberFormat="1" applyFont="1" applyBorder="1" applyAlignment="1">
      <alignment wrapText="1"/>
    </xf>
    <xf numFmtId="0" fontId="33" fillId="0" borderId="0" xfId="0" applyFont="1" applyBorder="1" applyAlignment="1">
      <alignment horizontal="center" vertical="center"/>
    </xf>
    <xf numFmtId="0" fontId="33" fillId="0" borderId="0" xfId="0" applyFont="1" applyBorder="1" applyAlignment="1">
      <alignment horizontal="center" vertical="center" wrapText="1"/>
    </xf>
    <xf numFmtId="0" fontId="30" fillId="0" borderId="0" xfId="0" applyFont="1" applyBorder="1" applyAlignment="1">
      <alignment horizontal="center" vertical="center"/>
    </xf>
    <xf numFmtId="0" fontId="36" fillId="6" borderId="37" xfId="0" applyFont="1" applyFill="1" applyBorder="1" applyAlignment="1">
      <alignment horizontal="center" vertical="center"/>
    </xf>
    <xf numFmtId="0" fontId="40" fillId="5" borderId="12" xfId="3" applyNumberFormat="1" applyFont="1" applyFill="1" applyBorder="1" applyAlignment="1" applyProtection="1">
      <alignment horizontal="center" vertical="center" wrapText="1"/>
      <protection locked="0"/>
    </xf>
    <xf numFmtId="0" fontId="0" fillId="0" borderId="47" xfId="0" applyFont="1" applyBorder="1" applyAlignment="1">
      <alignment horizontal="left" vertical="center" wrapText="1"/>
    </xf>
    <xf numFmtId="164" fontId="42" fillId="0" borderId="48" xfId="1" applyBorder="1" applyAlignment="1" applyProtection="1">
      <alignment horizontal="center" vertical="center"/>
    </xf>
    <xf numFmtId="0" fontId="0" fillId="0" borderId="50" xfId="3" applyNumberFormat="1" applyFont="1" applyFill="1" applyBorder="1" applyAlignment="1" applyProtection="1">
      <alignment horizontal="left" vertical="center" wrapText="1"/>
      <protection locked="0"/>
    </xf>
    <xf numFmtId="0" fontId="20" fillId="5" borderId="23" xfId="3" applyNumberFormat="1" applyFont="1" applyFill="1" applyBorder="1" applyAlignment="1" applyProtection="1">
      <alignment horizontal="center" vertical="center" wrapText="1"/>
      <protection locked="0"/>
    </xf>
    <xf numFmtId="0" fontId="20" fillId="5" borderId="11" xfId="3" applyNumberFormat="1" applyFont="1" applyFill="1" applyBorder="1" applyAlignment="1" applyProtection="1">
      <alignment horizontal="center" vertical="center" wrapText="1"/>
      <protection locked="0"/>
    </xf>
    <xf numFmtId="0" fontId="0" fillId="0" borderId="14" xfId="3" applyNumberFormat="1" applyFont="1" applyFill="1" applyBorder="1" applyAlignment="1" applyProtection="1">
      <alignment horizontal="center" vertical="center"/>
      <protection locked="0"/>
    </xf>
    <xf numFmtId="0" fontId="41" fillId="0" borderId="14" xfId="0" applyFont="1" applyBorder="1" applyAlignment="1">
      <alignment horizontal="center" vertical="center" wrapText="1"/>
    </xf>
    <xf numFmtId="4" fontId="23" fillId="0" borderId="14" xfId="3" applyNumberFormat="1" applyFont="1" applyFill="1" applyBorder="1" applyAlignment="1" applyProtection="1">
      <alignment horizontal="center" vertical="center" wrapText="1"/>
      <protection locked="0"/>
    </xf>
  </cellXfs>
  <cellStyles count="4">
    <cellStyle name="Millares" xfId="1" builtinId="3"/>
    <cellStyle name="Normal" xfId="0" builtinId="0"/>
    <cellStyle name="Porcentual" xfId="2" builtinId="5"/>
    <cellStyle name="TableStyleLight1" xf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1F497D"/>
      <rgbColor rgb="FFC0C0C0"/>
      <rgbColor rgb="FF808080"/>
      <rgbColor rgb="FFB3B3B3"/>
      <rgbColor rgb="FF953735"/>
      <rgbColor rgb="FFFFFFCC"/>
      <rgbColor rgb="FFCCFFFF"/>
      <rgbColor rgb="FF660066"/>
      <rgbColor rgb="FFFF8080"/>
      <rgbColor rgb="FF0066CC"/>
      <rgbColor rgb="FFCCCCFF"/>
      <rgbColor rgb="FF002060"/>
      <rgbColor rgb="FFFF00FF"/>
      <rgbColor rgb="FFFFC000"/>
      <rgbColor rgb="FF00FFFF"/>
      <rgbColor rgb="FF800080"/>
      <rgbColor rgb="FF800000"/>
      <rgbColor rgb="FF008080"/>
      <rgbColor rgb="FF0000FF"/>
      <rgbColor rgb="FF00CCFF"/>
      <rgbColor rgb="FFFDEADA"/>
      <rgbColor rgb="FFCCFFCC"/>
      <rgbColor rgb="FFFFFF99"/>
      <rgbColor rgb="FF99CCFF"/>
      <rgbColor rgb="FFFF99CC"/>
      <rgbColor rgb="FFCC99FF"/>
      <rgbColor rgb="FFFFCC99"/>
      <rgbColor rgb="FF3366FF"/>
      <rgbColor rgb="FF33CCCC"/>
      <rgbColor rgb="FFCCCCCC"/>
      <rgbColor rgb="FFFFCC00"/>
      <rgbColor rgb="FFFF9900"/>
      <rgbColor rgb="FFFF6600"/>
      <rgbColor rgb="FF4F81BD"/>
      <rgbColor rgb="FF969696"/>
      <rgbColor rgb="FF003366"/>
      <rgbColor rgb="FF339966"/>
      <rgbColor rgb="FF003300"/>
      <rgbColor rgb="FF222222"/>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17" Type="http://schemas.openxmlformats.org/officeDocument/2006/relationships/customXml" Target="../customXml/item7.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255600</xdr:colOff>
      <xdr:row>1</xdr:row>
      <xdr:rowOff>86400</xdr:rowOff>
    </xdr:from>
    <xdr:to>
      <xdr:col>4</xdr:col>
      <xdr:colOff>47880</xdr:colOff>
      <xdr:row>3</xdr:row>
      <xdr:rowOff>171360</xdr:rowOff>
    </xdr:to>
    <xdr:pic>
      <xdr:nvPicPr>
        <xdr:cNvPr id="2" name="Picture 1"/>
        <xdr:cNvPicPr/>
      </xdr:nvPicPr>
      <xdr:blipFill>
        <a:blip xmlns:r="http://schemas.openxmlformats.org/officeDocument/2006/relationships" r:embed="rId1" cstate="print"/>
        <a:srcRect l="16453" t="6912" r="6431" b="5684"/>
        <a:stretch/>
      </xdr:blipFill>
      <xdr:spPr>
        <a:xfrm>
          <a:off x="255600" y="267120"/>
          <a:ext cx="799920" cy="447120"/>
        </a:xfrm>
        <a:prstGeom prst="rect">
          <a:avLst/>
        </a:prstGeom>
        <a:ln w="9360">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1971675</xdr:colOff>
      <xdr:row>19</xdr:row>
      <xdr:rowOff>76200</xdr:rowOff>
    </xdr:to>
    <xdr:sp macro="" textlink="">
      <xdr:nvSpPr>
        <xdr:cNvPr id="205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sheetPr>
    <tabColor rgb="FFFFFFFF"/>
  </sheetPr>
  <dimension ref="A1:AMK32"/>
  <sheetViews>
    <sheetView zoomScale="75" zoomScaleNormal="75" workbookViewId="0">
      <selection activeCell="B14" sqref="B14:B18"/>
    </sheetView>
  </sheetViews>
  <sheetFormatPr baseColWidth="10" defaultColWidth="9.140625" defaultRowHeight="15"/>
  <cols>
    <col min="1" max="1" width="10.7109375" style="1"/>
    <col min="2" max="2" width="69.42578125" style="1"/>
    <col min="3" max="3" width="57.7109375" style="1"/>
    <col min="4" max="4" width="39" style="1"/>
    <col min="5" max="28" width="10.7109375" style="1"/>
    <col min="29" max="29" width="18.7109375" style="1"/>
    <col min="30" max="1025" width="10.7109375" style="1"/>
  </cols>
  <sheetData>
    <row r="1" spans="2:29">
      <c r="B1" s="2"/>
      <c r="C1" s="2"/>
      <c r="D1" s="2"/>
      <c r="AC1"/>
    </row>
    <row r="2" spans="2:29">
      <c r="B2" s="3" t="s">
        <v>0</v>
      </c>
      <c r="C2" s="4" t="s">
        <v>1</v>
      </c>
      <c r="D2" s="5" t="s">
        <v>2</v>
      </c>
      <c r="AC2"/>
    </row>
    <row r="3" spans="2:29">
      <c r="B3" s="289" t="s">
        <v>3</v>
      </c>
      <c r="C3" s="290" t="s">
        <v>4</v>
      </c>
      <c r="D3" s="291" t="s">
        <v>4</v>
      </c>
      <c r="AC3"/>
    </row>
    <row r="4" spans="2:29">
      <c r="B4" s="289"/>
      <c r="C4" s="290"/>
      <c r="D4" s="291"/>
      <c r="AC4"/>
    </row>
    <row r="5" spans="2:29">
      <c r="B5" s="289"/>
      <c r="C5" s="290"/>
      <c r="D5" s="291"/>
      <c r="AC5"/>
    </row>
    <row r="6" spans="2:29">
      <c r="B6" s="289"/>
      <c r="C6" s="290"/>
      <c r="D6" s="291"/>
      <c r="AC6"/>
    </row>
    <row r="7" spans="2:29">
      <c r="B7" s="289"/>
      <c r="C7" s="290"/>
      <c r="D7" s="291"/>
      <c r="AC7"/>
    </row>
    <row r="8" spans="2:29">
      <c r="B8" s="289"/>
      <c r="C8" s="290"/>
      <c r="D8" s="291"/>
      <c r="AC8"/>
    </row>
    <row r="9" spans="2:29">
      <c r="B9" s="289"/>
      <c r="C9" s="290"/>
      <c r="D9" s="291"/>
      <c r="AC9"/>
    </row>
    <row r="10" spans="2:29">
      <c r="B10"/>
      <c r="C10"/>
      <c r="D10"/>
      <c r="AC10"/>
    </row>
    <row r="11" spans="2:29" ht="55.5" customHeight="1">
      <c r="B11" s="288" t="s">
        <v>5</v>
      </c>
      <c r="C11" s="288"/>
      <c r="D11" s="2"/>
      <c r="AC11"/>
    </row>
    <row r="12" spans="2:29">
      <c r="B12" s="2"/>
      <c r="C12" s="2"/>
      <c r="D12" s="2"/>
      <c r="AC12"/>
    </row>
    <row r="13" spans="2:29">
      <c r="B13" s="6" t="s">
        <v>6</v>
      </c>
      <c r="C13" s="7" t="s">
        <v>7</v>
      </c>
      <c r="D13" s="8"/>
      <c r="AC13"/>
    </row>
    <row r="14" spans="2:29">
      <c r="B14" s="289" t="s">
        <v>8</v>
      </c>
      <c r="C14" s="9" t="s">
        <v>9</v>
      </c>
      <c r="D14" s="8"/>
      <c r="AC14"/>
    </row>
    <row r="15" spans="2:29">
      <c r="B15" s="289"/>
      <c r="C15" s="9" t="s">
        <v>10</v>
      </c>
      <c r="D15" s="2"/>
      <c r="AC15"/>
    </row>
    <row r="16" spans="2:29">
      <c r="B16" s="289"/>
      <c r="C16" s="9" t="s">
        <v>11</v>
      </c>
      <c r="D16" s="2"/>
      <c r="AC16"/>
    </row>
    <row r="17" spans="2:29">
      <c r="B17" s="289"/>
      <c r="C17" s="10" t="s">
        <v>12</v>
      </c>
      <c r="AC17"/>
    </row>
    <row r="18" spans="2:29">
      <c r="B18" s="289"/>
      <c r="C18" s="11" t="s">
        <v>13</v>
      </c>
      <c r="AC18"/>
    </row>
    <row r="19" spans="2:29">
      <c r="B19"/>
      <c r="C19"/>
      <c r="AC19"/>
    </row>
    <row r="20" spans="2:29" ht="54.75" customHeight="1">
      <c r="B20" s="288" t="s">
        <v>14</v>
      </c>
      <c r="C20" s="288"/>
      <c r="AC20"/>
    </row>
    <row r="21" spans="2:29">
      <c r="C21"/>
      <c r="AC21"/>
    </row>
    <row r="22" spans="2:29">
      <c r="C22"/>
      <c r="AC22"/>
    </row>
    <row r="23" spans="2:29">
      <c r="C23"/>
      <c r="AC23"/>
    </row>
    <row r="24" spans="2:29">
      <c r="C24"/>
      <c r="AC24"/>
    </row>
    <row r="25" spans="2:29">
      <c r="C25"/>
      <c r="AC25"/>
    </row>
    <row r="26" spans="2:29">
      <c r="C26"/>
      <c r="AC26"/>
    </row>
    <row r="27" spans="2:29">
      <c r="C27" s="12"/>
      <c r="AC27"/>
    </row>
    <row r="28" spans="2:29">
      <c r="AC28" s="13">
        <f>43300000+22961228.54+10220213.41+9447083.28+26380087.29+6908572.25+3692815.22+46150000</f>
        <v>169059999.99000001</v>
      </c>
    </row>
    <row r="32" spans="2:29" ht="62.85" customHeight="1"/>
  </sheetData>
  <mergeCells count="6">
    <mergeCell ref="B20:C20"/>
    <mergeCell ref="B3:B9"/>
    <mergeCell ref="C3:C9"/>
    <mergeCell ref="D3:D9"/>
    <mergeCell ref="B11:C11"/>
    <mergeCell ref="B14:B18"/>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sheetPr>
    <tabColor rgb="FFFFFFFF"/>
  </sheetPr>
  <dimension ref="A1:AMK31"/>
  <sheetViews>
    <sheetView topLeftCell="A10" zoomScale="75" zoomScaleNormal="75" workbookViewId="0">
      <selection activeCell="D27" sqref="D27"/>
    </sheetView>
  </sheetViews>
  <sheetFormatPr baseColWidth="10" defaultColWidth="9.140625" defaultRowHeight="15"/>
  <cols>
    <col min="1" max="1" width="10.7109375" style="14"/>
    <col min="2" max="2" width="76.85546875" style="14"/>
    <col min="3" max="3" width="44.28515625" style="14"/>
    <col min="4" max="4" width="42.140625" style="14"/>
    <col min="5" max="5" width="16" style="14"/>
    <col min="6" max="6" width="20.28515625" style="14"/>
    <col min="7" max="7" width="33" style="14"/>
    <col min="8" max="8" width="19.5703125" style="14"/>
    <col min="9" max="9" width="17" style="14"/>
    <col min="10" max="10" width="11.28515625" style="14"/>
    <col min="11" max="11" width="12.85546875" style="14"/>
    <col min="12" max="29" width="10.7109375" style="14"/>
    <col min="30" max="30" width="18.7109375" style="14"/>
    <col min="31" max="1025" width="10.7109375" style="14"/>
  </cols>
  <sheetData>
    <row r="1" spans="2:5" ht="43.5" customHeight="1">
      <c r="B1"/>
      <c r="C1"/>
      <c r="D1"/>
      <c r="E1"/>
    </row>
    <row r="2" spans="2:5" ht="15.75" customHeight="1">
      <c r="B2" s="294" t="s">
        <v>15</v>
      </c>
      <c r="C2" s="294"/>
      <c r="D2" s="294"/>
      <c r="E2"/>
    </row>
    <row r="3" spans="2:5" ht="15.75" customHeight="1">
      <c r="B3" s="293" t="s">
        <v>16</v>
      </c>
      <c r="C3" s="293"/>
      <c r="D3" s="293"/>
      <c r="E3"/>
    </row>
    <row r="4" spans="2:5" ht="15.75">
      <c r="B4" s="15" t="s">
        <v>17</v>
      </c>
      <c r="C4" s="16" t="s">
        <v>18</v>
      </c>
      <c r="D4" s="17" t="s">
        <v>19</v>
      </c>
      <c r="E4"/>
    </row>
    <row r="5" spans="2:5" ht="15.75" customHeight="1">
      <c r="B5" s="18" t="s">
        <v>20</v>
      </c>
      <c r="C5" s="19" t="s">
        <v>21</v>
      </c>
      <c r="D5" s="19" t="s">
        <v>22</v>
      </c>
      <c r="E5"/>
    </row>
    <row r="6" spans="2:5" ht="15.75" customHeight="1">
      <c r="B6" s="292"/>
      <c r="C6" s="292"/>
      <c r="D6" s="292"/>
      <c r="E6"/>
    </row>
    <row r="7" spans="2:5" ht="15.75" customHeight="1">
      <c r="B7" s="293" t="s">
        <v>23</v>
      </c>
      <c r="C7" s="293"/>
      <c r="D7" s="293"/>
      <c r="E7"/>
    </row>
    <row r="8" spans="2:5">
      <c r="B8" s="20" t="s">
        <v>24</v>
      </c>
      <c r="C8" s="295"/>
      <c r="D8" s="295"/>
      <c r="E8"/>
    </row>
    <row r="9" spans="2:5">
      <c r="B9" s="292"/>
      <c r="C9" s="292"/>
      <c r="D9" s="292"/>
      <c r="E9"/>
    </row>
    <row r="10" spans="2:5" ht="15.75" customHeight="1">
      <c r="B10" s="293" t="s">
        <v>25</v>
      </c>
      <c r="C10" s="293"/>
      <c r="D10" s="293"/>
      <c r="E10"/>
    </row>
    <row r="11" spans="2:5" ht="31.5">
      <c r="B11" s="15" t="s">
        <v>26</v>
      </c>
      <c r="C11" s="16" t="s">
        <v>27</v>
      </c>
      <c r="D11" s="17" t="s">
        <v>28</v>
      </c>
      <c r="E11"/>
    </row>
    <row r="12" spans="2:5">
      <c r="B12" s="21" t="s">
        <v>29</v>
      </c>
      <c r="C12" s="22">
        <f>+SUMIFS('Detalle Plan de Adquisiciones'!Y15:Y72,'Detalle Plan de Adquisiciones'!B15:B72,"*Obras*")</f>
        <v>341695097.46079367</v>
      </c>
      <c r="D12" s="22">
        <f>+SUMIFS('Detalle Plan de Adquisiciones'!J15:J79,'Detalle Plan de Adquisiciones'!B15:B79,"*Obras*")</f>
        <v>812706680.32535744</v>
      </c>
      <c r="E12"/>
    </row>
    <row r="13" spans="2:5">
      <c r="B13" s="21" t="s">
        <v>30</v>
      </c>
      <c r="C13" s="22">
        <f>+SUMIFS('Detalle Plan de Adquisiciones'!Y15:Y72,'Detalle Plan de Adquisiciones'!B15:B72,"*Bienes*")</f>
        <v>2236339.16</v>
      </c>
      <c r="D13" s="22">
        <f>+SUMIFS('Detalle Plan de Adquisiciones'!J15:J79,'Detalle Plan de Adquisiciones'!B15:B79,"*Bienes*")</f>
        <v>3361859.16</v>
      </c>
      <c r="E13" s="23"/>
    </row>
    <row r="14" spans="2:5">
      <c r="B14" s="21" t="s">
        <v>31</v>
      </c>
      <c r="C14" s="22">
        <f>+SUMIFS('Detalle Plan de Adquisiciones'!Y15:Y72,'Detalle Plan de Adquisiciones'!B15:B72,"*Serv_No_Consultorias*")</f>
        <v>3787500</v>
      </c>
      <c r="D14" s="22">
        <f>+SUMIFS('Detalle Plan de Adquisiciones'!J15:J79,'Detalle Plan de Adquisiciones'!B15:B79,"*Serv_No_Consultorias*")</f>
        <v>5050000</v>
      </c>
    </row>
    <row r="15" spans="2:5">
      <c r="B15" s="21" t="s">
        <v>32</v>
      </c>
      <c r="C15" s="22">
        <f>+SUMIFS('Detalle Plan de Adquisiciones'!Y15:Y72,'Detalle Plan de Adquisiciones'!B15:B72,"*Capacitación*")</f>
        <v>0</v>
      </c>
      <c r="D15" s="22">
        <f>+SUMIFS('Detalle Plan de Adquisiciones'!J15:J79,'Detalle Plan de Adquisiciones'!B15:B79,"*Capacitación*")</f>
        <v>0</v>
      </c>
    </row>
    <row r="16" spans="2:5">
      <c r="B16" s="21" t="s">
        <v>33</v>
      </c>
      <c r="C16" s="22">
        <f>+SUMIFS('Detalle Plan de Adquisiciones'!Y15:Y72,'Detalle Plan de Adquisiciones'!B15:B72,"*Gastos_Operativos*")</f>
        <v>0</v>
      </c>
      <c r="D16" s="22">
        <f>+SUMIFS('Detalle Plan de Adquisiciones'!J15:J79,'Detalle Plan de Adquisiciones'!B15:B79,"*Gastos_Operativos*")</f>
        <v>126820657.62419499</v>
      </c>
    </row>
    <row r="17" spans="2:4">
      <c r="B17" s="21" t="s">
        <v>34</v>
      </c>
      <c r="C17" s="22">
        <f>+SUMIFS('Detalle Plan de Adquisiciones'!Y15:Y72,'Detalle Plan de Adquisiciones'!B15:B72,"*Consultorías*")</f>
        <v>73040630.123999983</v>
      </c>
      <c r="D17" s="22">
        <f>+SUMIFS('Detalle Plan de Adquisiciones'!J15:J79,'Detalle Plan de Adquisiciones'!B15:B79,"*Consultorías*")</f>
        <v>133379886.61250794</v>
      </c>
    </row>
    <row r="18" spans="2:4">
      <c r="B18" s="21" t="s">
        <v>35</v>
      </c>
      <c r="C18" s="22">
        <f>+SUMIFS('Detalle Plan de Adquisiciones'!Y15:Y72,'Detalle Plan de Adquisiciones'!B15:B72,"*Transferencias*")</f>
        <v>0</v>
      </c>
      <c r="D18" s="22">
        <f>+SUMIFS('Detalle Plan de Adquisiciones'!J15:J79,'Detalle Plan de Adquisiciones'!B15:B79,"*Transferencias*")</f>
        <v>0</v>
      </c>
    </row>
    <row r="19" spans="2:4">
      <c r="B19" s="21" t="s">
        <v>36</v>
      </c>
      <c r="C19" s="22">
        <f>+SUMIFS('Detalle Plan de Adquisiciones'!Y15:Y72,'Detalle Plan de Adquisiciones'!B15:B72,"*Subproyectos_Comunitarios*")</f>
        <v>0</v>
      </c>
      <c r="D19" s="22">
        <f>+SUMIFS('Detalle Plan de Adquisiciones'!J15:J79,'Detalle Plan de Adquisiciones'!B15:B79,"*Subproyectos_Comunitarios*")</f>
        <v>0</v>
      </c>
    </row>
    <row r="20" spans="2:4">
      <c r="B20" s="21" t="s">
        <v>37</v>
      </c>
      <c r="C20" s="22">
        <f>+SUMIFS('Detalle Plan de Adquisiciones'!Y15:Y72,'Detalle Plan de Adquisiciones'!B15:B72,"*Administración*")</f>
        <v>0</v>
      </c>
      <c r="D20" s="22">
        <f>+SUMIFS('Detalle Plan de Adquisiciones'!J15:J79,'Detalle Plan de Adquisiciones'!B15:B79,"*Administración*")</f>
        <v>46049000</v>
      </c>
    </row>
    <row r="21" spans="2:4">
      <c r="B21" s="21" t="s">
        <v>38</v>
      </c>
      <c r="C21" s="22">
        <f>+SUMIFS('Detalle Plan de Adquisiciones'!Y15:Y79,'Detalle Plan de Adquisiciones'!B15:B79,"*No_asignados*")</f>
        <v>79240433.255206272</v>
      </c>
      <c r="D21" s="22">
        <f>+SUMIFS('Detalle Plan de Adquisiciones'!J15:J79,'Detalle Plan de Adquisiciones'!B15:B79,"*No_asignados*")</f>
        <v>225003099.9076004</v>
      </c>
    </row>
    <row r="22" spans="2:4" ht="15.75">
      <c r="B22" s="24" t="s">
        <v>39</v>
      </c>
      <c r="C22" s="25">
        <f>SUM(C12:C21)</f>
        <v>499999999.99999994</v>
      </c>
      <c r="D22" s="26">
        <f>SUM(D12:D21)</f>
        <v>1352371183.6296606</v>
      </c>
    </row>
    <row r="23" spans="2:4">
      <c r="B23" s="27"/>
      <c r="C23" s="28"/>
      <c r="D23" s="29"/>
    </row>
    <row r="24" spans="2:4" ht="15.75" customHeight="1">
      <c r="B24" s="293" t="s">
        <v>40</v>
      </c>
      <c r="C24" s="293"/>
      <c r="D24" s="293"/>
    </row>
    <row r="25" spans="2:4" ht="31.5">
      <c r="B25" s="15" t="s">
        <v>41</v>
      </c>
      <c r="C25" s="16" t="s">
        <v>27</v>
      </c>
      <c r="D25" s="17" t="s">
        <v>42</v>
      </c>
    </row>
    <row r="26" spans="2:4">
      <c r="B26" s="21" t="s">
        <v>43</v>
      </c>
      <c r="C26" s="30">
        <f>+SUMIFS('Detalle Plan de Adquisiciones'!Y15:Y79,'Detalle Plan de Adquisiciones'!A15:A79,"*C1*")</f>
        <v>341695097.46079367</v>
      </c>
      <c r="D26" s="22">
        <f>+SUMIFS('Detalle Plan de Adquisiciones'!J15:J79,'Detalle Plan de Adquisiciones'!A15:A79,"*C1*")</f>
        <v>805956680.32535744</v>
      </c>
    </row>
    <row r="27" spans="2:4">
      <c r="B27" s="21" t="s">
        <v>44</v>
      </c>
      <c r="C27" s="30">
        <f>+SUMIFS('Detalle Plan de Adquisiciones'!Y15:Y79,'Detalle Plan de Adquisiciones'!A15:A79,"*C2*")</f>
        <v>7037147.4000000004</v>
      </c>
      <c r="D27" s="22">
        <f>+SUMIFS('Detalle Plan de Adquisiciones'!J15:J79,'Detalle Plan de Adquisiciones'!A15:A79,"*C2*")</f>
        <v>16538195.761904761</v>
      </c>
    </row>
    <row r="28" spans="2:4">
      <c r="B28" s="21" t="s">
        <v>45</v>
      </c>
      <c r="C28" s="30">
        <f>+SUMIFS('Detalle Plan de Adquisiciones'!Y15:Y79,'Detalle Plan de Adquisiciones'!A15:A79,"*C3*")</f>
        <v>72027321.883999988</v>
      </c>
      <c r="D28" s="22">
        <f>+SUMIFS('Detalle Plan de Adquisiciones'!J15:J79,'Detalle Plan de Adquisiciones'!A15:A79,"*C3*")</f>
        <v>178052550.01060319</v>
      </c>
    </row>
    <row r="29" spans="2:4">
      <c r="B29" s="31" t="s">
        <v>46</v>
      </c>
      <c r="C29" s="32">
        <f>+SUMIFS('Detalle Plan de Adquisiciones'!Y15:Y79,'Detalle Plan de Adquisiciones'!A15:A79,"*C4*")</f>
        <v>79240433.255206272</v>
      </c>
      <c r="D29" s="22">
        <f>+SUMIFS('Detalle Plan de Adquisiciones'!J15:J79,'Detalle Plan de Adquisiciones'!A15:A79,"*C4*")</f>
        <v>225003099.9076004</v>
      </c>
    </row>
    <row r="30" spans="2:4">
      <c r="B30" s="31" t="s">
        <v>47</v>
      </c>
      <c r="C30" s="32">
        <f>+SUMIFS('Detalle Plan de Adquisiciones'!Y16:Y79,'Detalle Plan de Adquisiciones'!A16:A79,"*C5*")</f>
        <v>0</v>
      </c>
      <c r="D30" s="33">
        <f>+SUMIFS('Detalle Plan de Adquisiciones'!J15:J79,'Detalle Plan de Adquisiciones'!A15:A79,"*C5*")</f>
        <v>126820657.62419499</v>
      </c>
    </row>
    <row r="31" spans="2:4" ht="15.75">
      <c r="B31" s="24" t="s">
        <v>39</v>
      </c>
      <c r="C31" s="25">
        <f>SUM(C26:C30)</f>
        <v>499999999.99999994</v>
      </c>
      <c r="D31" s="26">
        <f>SUM(D26:D30)</f>
        <v>1352371183.6296608</v>
      </c>
    </row>
  </sheetData>
  <mergeCells count="8">
    <mergeCell ref="B9:D9"/>
    <mergeCell ref="B10:D10"/>
    <mergeCell ref="B24:D24"/>
    <mergeCell ref="B2:D2"/>
    <mergeCell ref="B3:D3"/>
    <mergeCell ref="B6:D6"/>
    <mergeCell ref="B7:D7"/>
    <mergeCell ref="C8:D8"/>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sheetPr>
    <tabColor rgb="FFFFC000"/>
    <pageSetUpPr fitToPage="1"/>
  </sheetPr>
  <dimension ref="A1:AMK101"/>
  <sheetViews>
    <sheetView tabSelected="1" topLeftCell="D1" zoomScale="60" zoomScaleNormal="60" workbookViewId="0">
      <selection activeCell="D1" sqref="D1"/>
    </sheetView>
  </sheetViews>
  <sheetFormatPr baseColWidth="10" defaultColWidth="9.140625" defaultRowHeight="14.25" outlineLevelRow="1"/>
  <cols>
    <col min="1" max="3" width="0" style="34" hidden="1"/>
    <col min="4" max="4" width="14.28515625" style="35"/>
    <col min="5" max="5" width="12.5703125" style="35"/>
    <col min="6" max="6" width="46.7109375" style="35"/>
    <col min="7" max="7" width="13.85546875" style="35"/>
    <col min="8" max="8" width="8.85546875" style="35"/>
    <col min="9" max="9" width="17.140625" style="35"/>
    <col min="10" max="10" width="19.42578125" style="36"/>
    <col min="11" max="11" width="12.85546875" style="37"/>
    <col min="12" max="12" width="11.85546875" style="37"/>
    <col min="13" max="13" width="12.42578125" style="35"/>
    <col min="14" max="14" width="12.7109375" style="38"/>
    <col min="15" max="15" width="12.28515625" style="38"/>
    <col min="16" max="16" width="22.28515625" style="35"/>
    <col min="17" max="17" width="17.28515625" style="35"/>
    <col min="18" max="18" width="18" style="35"/>
    <col min="19" max="19" width="13.5703125" style="35"/>
    <col min="20" max="20" width="28.5703125" style="35"/>
    <col min="21" max="21" width="20.42578125" style="35"/>
    <col min="22" max="22" width="15.28515625" style="35"/>
    <col min="23" max="28" width="0" style="35" hidden="1"/>
    <col min="29" max="29" width="0" style="39" hidden="1"/>
    <col min="30" max="30" width="0" style="40" hidden="1"/>
    <col min="31" max="31" width="27.28515625" style="39"/>
    <col min="32" max="32" width="31.140625" style="35"/>
    <col min="33" max="33" width="22.5703125" style="35"/>
    <col min="34" max="34" width="19.5703125" style="35"/>
    <col min="35" max="35" width="17.5703125" style="35"/>
    <col min="36" max="36" width="28.85546875" style="35"/>
    <col min="37" max="1025" width="9.140625" style="35"/>
  </cols>
  <sheetData>
    <row r="1" spans="1:1024">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14.25" customHeight="1">
      <c r="A2"/>
      <c r="B2"/>
      <c r="C2"/>
      <c r="D2" s="300" t="s">
        <v>48</v>
      </c>
      <c r="E2" s="300"/>
      <c r="F2" s="300"/>
      <c r="G2" s="300"/>
      <c r="H2" s="300"/>
      <c r="I2" s="300"/>
      <c r="J2" s="300"/>
      <c r="K2" s="300"/>
      <c r="L2" s="300"/>
      <c r="M2" s="300"/>
      <c r="N2" s="300"/>
      <c r="O2" s="300"/>
      <c r="P2" s="300"/>
      <c r="Q2" s="300"/>
      <c r="R2" s="300"/>
      <c r="S2" s="300"/>
      <c r="T2" s="300"/>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c r="A3"/>
      <c r="B3"/>
      <c r="C3"/>
      <c r="D3" s="300"/>
      <c r="E3" s="300"/>
      <c r="F3" s="300"/>
      <c r="G3" s="300"/>
      <c r="H3" s="300"/>
      <c r="I3" s="300"/>
      <c r="J3" s="300"/>
      <c r="K3" s="300"/>
      <c r="L3" s="300"/>
      <c r="M3" s="300"/>
      <c r="N3" s="300"/>
      <c r="O3" s="300"/>
      <c r="P3" s="300"/>
      <c r="Q3" s="300"/>
      <c r="R3" s="300"/>
      <c r="S3" s="300"/>
      <c r="T3" s="300"/>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c r="A4"/>
      <c r="B4"/>
      <c r="C4"/>
      <c r="D4" s="300"/>
      <c r="E4" s="300"/>
      <c r="F4" s="300"/>
      <c r="G4" s="300"/>
      <c r="H4" s="300"/>
      <c r="I4" s="300"/>
      <c r="J4" s="300"/>
      <c r="K4" s="300"/>
      <c r="L4" s="300"/>
      <c r="M4" s="300"/>
      <c r="N4" s="300"/>
      <c r="O4" s="300"/>
      <c r="P4" s="300"/>
      <c r="Q4" s="300"/>
      <c r="R4" s="300"/>
      <c r="S4" s="300"/>
      <c r="T4" s="300"/>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15" customHeight="1">
      <c r="A5"/>
      <c r="B5"/>
      <c r="C5"/>
      <c r="D5" s="301" t="s">
        <v>49</v>
      </c>
      <c r="E5" s="301"/>
      <c r="F5" s="301"/>
      <c r="G5" s="301"/>
      <c r="H5" s="301"/>
      <c r="I5" s="301"/>
      <c r="J5" s="301"/>
      <c r="K5" s="301"/>
      <c r="L5" s="301"/>
      <c r="M5" s="301"/>
      <c r="N5" s="301"/>
      <c r="O5" s="301"/>
      <c r="P5" s="301"/>
      <c r="Q5" s="301"/>
      <c r="R5" s="301"/>
      <c r="S5" s="301"/>
      <c r="T5" s="301"/>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ht="39" customHeight="1">
      <c r="A6"/>
      <c r="B6"/>
      <c r="C6"/>
      <c r="D6" s="302" t="s">
        <v>50</v>
      </c>
      <c r="E6" s="302"/>
      <c r="F6" s="302"/>
      <c r="G6" s="302"/>
      <c r="H6" s="302"/>
      <c r="I6" s="302"/>
      <c r="J6" s="302"/>
      <c r="K6" s="302"/>
      <c r="L6" s="302"/>
      <c r="M6" s="302"/>
      <c r="N6" s="302"/>
      <c r="O6" s="302"/>
      <c r="P6" s="302"/>
      <c r="Q6" s="302"/>
      <c r="R6" s="302"/>
      <c r="S6" s="302"/>
      <c r="T6" s="302"/>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ht="12.75" customHeight="1">
      <c r="A7"/>
      <c r="B7"/>
      <c r="C7"/>
      <c r="D7" s="303" t="s">
        <v>51</v>
      </c>
      <c r="E7" s="303"/>
      <c r="F7" s="303"/>
      <c r="G7" s="303"/>
      <c r="H7" s="303"/>
      <c r="I7" s="303"/>
      <c r="J7" s="303"/>
      <c r="K7" s="303"/>
      <c r="L7" s="303"/>
      <c r="M7" s="303"/>
      <c r="N7" s="303"/>
      <c r="O7" s="303"/>
      <c r="P7" s="303"/>
      <c r="Q7" s="303"/>
      <c r="R7" s="303"/>
      <c r="S7" s="303"/>
      <c r="T7" s="303"/>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ht="18.75" customHeight="1">
      <c r="A8"/>
      <c r="B8"/>
      <c r="C8"/>
      <c r="D8" s="303"/>
      <c r="E8" s="303"/>
      <c r="F8" s="303"/>
      <c r="G8" s="303"/>
      <c r="H8" s="303"/>
      <c r="I8" s="303"/>
      <c r="J8" s="303"/>
      <c r="K8" s="303"/>
      <c r="L8" s="303"/>
      <c r="M8" s="303"/>
      <c r="N8" s="303"/>
      <c r="O8" s="303"/>
      <c r="P8" s="303"/>
      <c r="Q8" s="303"/>
      <c r="R8" s="303"/>
      <c r="S8" s="303"/>
      <c r="T8" s="303"/>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ht="14.25" hidden="1" customHeight="1">
      <c r="A9"/>
      <c r="B9"/>
      <c r="C9"/>
      <c r="D9" s="41"/>
      <c r="E9" s="42"/>
      <c r="F9" s="42"/>
      <c r="G9" s="42"/>
      <c r="H9" s="42"/>
      <c r="I9" s="42"/>
      <c r="J9" s="43" t="e">
        <f>+SUM(J15:J17*K15:K17)+SUM(J22:J29*K22:K29)+SUM(J35:J35*K35:K35)+SUM(J41:J54*K41:K54)+SUM(J59:J61*K59:K61)</f>
        <v>#VALUE!</v>
      </c>
      <c r="K9" s="44"/>
      <c r="L9" s="44"/>
      <c r="M9" s="42"/>
      <c r="N9" s="45"/>
      <c r="O9" s="45"/>
      <c r="P9" s="42"/>
      <c r="Q9" s="42"/>
      <c r="R9" s="42"/>
      <c r="S9" s="42"/>
      <c r="T9" s="46"/>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ht="15" hidden="1" customHeight="1">
      <c r="A10"/>
      <c r="B10"/>
      <c r="C10"/>
      <c r="D10" s="47"/>
      <c r="E10" s="48"/>
      <c r="F10" s="48"/>
      <c r="G10" s="48"/>
      <c r="H10" s="48"/>
      <c r="I10" s="48"/>
      <c r="J10" s="49"/>
      <c r="K10" s="50"/>
      <c r="L10" s="50"/>
      <c r="M10" s="48"/>
      <c r="N10" s="51"/>
      <c r="O10" s="51"/>
      <c r="P10" s="48"/>
      <c r="Q10" s="48"/>
      <c r="R10" s="48"/>
      <c r="S10" s="48"/>
      <c r="T10" s="52"/>
      <c r="U10"/>
      <c r="V10"/>
      <c r="W10" s="53" t="s">
        <v>52</v>
      </c>
      <c r="X10" s="53"/>
      <c r="Y10" s="35">
        <v>1000000</v>
      </c>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c r="A11"/>
      <c r="B11"/>
      <c r="C11"/>
      <c r="D11"/>
      <c r="E11"/>
      <c r="F11"/>
      <c r="G11"/>
      <c r="H11"/>
      <c r="I11"/>
      <c r="J11"/>
      <c r="K11"/>
      <c r="L11"/>
      <c r="M11"/>
      <c r="N11"/>
      <c r="O11"/>
      <c r="P11"/>
      <c r="Q11"/>
      <c r="R11"/>
      <c r="S11"/>
      <c r="T11"/>
      <c r="U11"/>
      <c r="V11"/>
      <c r="W11" s="53"/>
      <c r="X11" s="53"/>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ht="15.75">
      <c r="A12"/>
      <c r="B12"/>
      <c r="C12"/>
      <c r="D12" s="54" t="s">
        <v>53</v>
      </c>
      <c r="E12" s="55"/>
      <c r="F12" s="55"/>
      <c r="G12" s="55"/>
      <c r="H12" s="55"/>
      <c r="I12" s="55"/>
      <c r="J12" s="55"/>
      <c r="K12" s="55"/>
      <c r="L12" s="55"/>
      <c r="M12" s="55"/>
      <c r="N12" s="56"/>
      <c r="O12" s="56"/>
      <c r="P12" s="55"/>
      <c r="Q12" s="55"/>
      <c r="R12" s="55"/>
      <c r="S12" s="55"/>
      <c r="T12" s="57"/>
      <c r="U12"/>
      <c r="V12"/>
      <c r="W12"/>
      <c r="X12"/>
      <c r="Y12"/>
      <c r="Z12"/>
      <c r="AA12" s="58"/>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ht="14.25" customHeight="1">
      <c r="A13"/>
      <c r="B13"/>
      <c r="C13"/>
      <c r="D13" s="59"/>
      <c r="E13" s="59"/>
      <c r="F13" s="59"/>
      <c r="G13" s="59"/>
      <c r="H13" s="59"/>
      <c r="I13" s="59"/>
      <c r="J13" s="298" t="s">
        <v>54</v>
      </c>
      <c r="K13" s="298"/>
      <c r="L13" s="298"/>
      <c r="M13" s="297" t="s">
        <v>55</v>
      </c>
      <c r="N13" s="299" t="s">
        <v>56</v>
      </c>
      <c r="O13" s="299"/>
      <c r="P13" s="59"/>
      <c r="Q13" s="59"/>
      <c r="R13" s="59"/>
      <c r="S13" s="59"/>
      <c r="T13" s="61"/>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ht="58.5" customHeight="1">
      <c r="A14" s="62" t="s">
        <v>57</v>
      </c>
      <c r="B14" s="62" t="s">
        <v>58</v>
      </c>
      <c r="C14" s="62"/>
      <c r="D14" s="63" t="s">
        <v>59</v>
      </c>
      <c r="E14" s="63" t="s">
        <v>60</v>
      </c>
      <c r="F14" s="63" t="s">
        <v>61</v>
      </c>
      <c r="G14" s="63" t="s">
        <v>62</v>
      </c>
      <c r="H14" s="64" t="s">
        <v>63</v>
      </c>
      <c r="I14" s="63" t="s">
        <v>64</v>
      </c>
      <c r="J14" s="65" t="s">
        <v>65</v>
      </c>
      <c r="K14" s="66" t="s">
        <v>66</v>
      </c>
      <c r="L14" s="67" t="s">
        <v>67</v>
      </c>
      <c r="M14" s="297"/>
      <c r="N14" s="60" t="s">
        <v>68</v>
      </c>
      <c r="O14" s="60" t="s">
        <v>69</v>
      </c>
      <c r="P14" s="63" t="s">
        <v>70</v>
      </c>
      <c r="Q14" s="63" t="s">
        <v>71</v>
      </c>
      <c r="R14" s="63" t="s">
        <v>72</v>
      </c>
      <c r="S14" s="63" t="s">
        <v>73</v>
      </c>
      <c r="T14" s="68" t="s">
        <v>74</v>
      </c>
      <c r="U14"/>
      <c r="V14"/>
      <c r="W14" s="69" t="s">
        <v>75</v>
      </c>
      <c r="X14" s="70" t="s">
        <v>76</v>
      </c>
      <c r="Y14" s="70" t="s">
        <v>77</v>
      </c>
      <c r="Z14" s="70" t="s">
        <v>78</v>
      </c>
      <c r="AA14" s="70" t="s">
        <v>79</v>
      </c>
      <c r="AB14"/>
      <c r="AC14" s="71" t="s">
        <v>80</v>
      </c>
      <c r="AD14" s="72" t="s">
        <v>81</v>
      </c>
      <c r="AE14"/>
      <c r="AF14" s="73" t="s">
        <v>75</v>
      </c>
      <c r="AG14" s="69" t="s">
        <v>76</v>
      </c>
      <c r="AH14" s="69" t="s">
        <v>82</v>
      </c>
      <c r="AI14" s="74" t="s">
        <v>83</v>
      </c>
      <c r="AJ14" s="74" t="s">
        <v>84</v>
      </c>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ht="159.75" customHeight="1">
      <c r="A15" s="75" t="s">
        <v>85</v>
      </c>
      <c r="B15" s="75" t="s">
        <v>30</v>
      </c>
      <c r="C15" s="75" t="s">
        <v>86</v>
      </c>
      <c r="D15" s="76" t="s">
        <v>87</v>
      </c>
      <c r="E15" s="77" t="s">
        <v>88</v>
      </c>
      <c r="F15" s="78" t="s">
        <v>89</v>
      </c>
      <c r="G15" s="79" t="s">
        <v>90</v>
      </c>
      <c r="H15" s="79">
        <v>8</v>
      </c>
      <c r="I15" s="79" t="s">
        <v>91</v>
      </c>
      <c r="J15" s="80">
        <v>1700000</v>
      </c>
      <c r="K15" s="81">
        <f>961600/1700000</f>
        <v>0.56564705882352939</v>
      </c>
      <c r="L15" s="81">
        <f>1-K15</f>
        <v>0.43435294117647061</v>
      </c>
      <c r="M15" s="81" t="s">
        <v>92</v>
      </c>
      <c r="N15" s="82">
        <v>43205</v>
      </c>
      <c r="O15" s="82">
        <v>43449</v>
      </c>
      <c r="P15" s="83"/>
      <c r="Q15" s="83"/>
      <c r="R15" s="83"/>
      <c r="S15" s="83" t="s">
        <v>93</v>
      </c>
      <c r="T15" s="84" t="s">
        <v>94</v>
      </c>
      <c r="U15" s="85"/>
      <c r="V15" s="36"/>
      <c r="W15" s="86">
        <f t="shared" ref="W15:X17" si="0">J15</f>
        <v>1700000</v>
      </c>
      <c r="X15" s="87">
        <f t="shared" si="0"/>
        <v>0.56564705882352939</v>
      </c>
      <c r="Y15" s="86">
        <f>W15*X15</f>
        <v>961600</v>
      </c>
      <c r="Z15" s="86">
        <v>469736.41</v>
      </c>
      <c r="AA15" s="88">
        <f>++IF(A15&lt;&gt;"x",Z15-Y15,0)</f>
        <v>-491863.59</v>
      </c>
      <c r="AB15"/>
      <c r="AC15" s="89">
        <v>961600</v>
      </c>
      <c r="AD15" s="72">
        <v>0.9</v>
      </c>
      <c r="AE15"/>
      <c r="AF15" s="36">
        <f t="shared" ref="AF15:AG17" si="1">J15</f>
        <v>1700000</v>
      </c>
      <c r="AG15" s="90">
        <f t="shared" si="1"/>
        <v>0.56564705882352939</v>
      </c>
      <c r="AH15" s="36">
        <f>AF15*AG15</f>
        <v>961600</v>
      </c>
      <c r="AI15" s="90">
        <f>L15</f>
        <v>0.43435294117647061</v>
      </c>
      <c r="AJ15" s="36">
        <f>AF15*AI15</f>
        <v>738400</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182.25" customHeight="1">
      <c r="A16" s="75" t="s">
        <v>85</v>
      </c>
      <c r="B16" s="75" t="s">
        <v>30</v>
      </c>
      <c r="C16" s="75" t="s">
        <v>95</v>
      </c>
      <c r="D16" s="76" t="s">
        <v>96</v>
      </c>
      <c r="E16" s="77" t="s">
        <v>88</v>
      </c>
      <c r="F16" s="78" t="s">
        <v>97</v>
      </c>
      <c r="G16" s="79" t="s">
        <v>90</v>
      </c>
      <c r="H16" s="79">
        <v>3</v>
      </c>
      <c r="I16" s="79" t="s">
        <v>91</v>
      </c>
      <c r="J16" s="80">
        <v>582000</v>
      </c>
      <c r="K16" s="81">
        <f>194880/582000</f>
        <v>0.33484536082474226</v>
      </c>
      <c r="L16" s="81">
        <f>1-K16</f>
        <v>0.66515463917525774</v>
      </c>
      <c r="M16" s="81" t="s">
        <v>92</v>
      </c>
      <c r="N16" s="82">
        <v>43195</v>
      </c>
      <c r="O16" s="82">
        <v>43439</v>
      </c>
      <c r="P16" s="83"/>
      <c r="Q16" s="83"/>
      <c r="R16" s="83"/>
      <c r="S16" s="287"/>
      <c r="T16" s="91" t="s">
        <v>98</v>
      </c>
      <c r="U16" s="85"/>
      <c r="V16" s="36"/>
      <c r="W16" s="86">
        <f t="shared" si="0"/>
        <v>582000</v>
      </c>
      <c r="X16" s="87">
        <f t="shared" si="0"/>
        <v>0.33484536082474226</v>
      </c>
      <c r="Y16" s="86">
        <f>W16*X16</f>
        <v>194880</v>
      </c>
      <c r="Z16" s="86">
        <v>33552.6</v>
      </c>
      <c r="AA16" s="88">
        <f>++IF(A16&lt;&gt;"x",Z16-Y16,0)</f>
        <v>-161327.4</v>
      </c>
      <c r="AB16"/>
      <c r="AC16" s="89">
        <v>194880</v>
      </c>
      <c r="AD16" s="72">
        <v>0.17217056650246301</v>
      </c>
      <c r="AE16"/>
      <c r="AF16" s="36">
        <f t="shared" si="1"/>
        <v>582000</v>
      </c>
      <c r="AG16" s="90">
        <f t="shared" si="1"/>
        <v>0.33484536082474226</v>
      </c>
      <c r="AH16" s="36">
        <f>AF16*AG16</f>
        <v>194880</v>
      </c>
      <c r="AI16" s="90">
        <f>L16</f>
        <v>0.66515463917525774</v>
      </c>
      <c r="AJ16" s="36">
        <f>AF16*AI16</f>
        <v>387120</v>
      </c>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120.75" customHeight="1">
      <c r="A17" s="75" t="s">
        <v>85</v>
      </c>
      <c r="B17" s="75" t="s">
        <v>30</v>
      </c>
      <c r="C17" s="75" t="s">
        <v>99</v>
      </c>
      <c r="D17" s="47" t="s">
        <v>100</v>
      </c>
      <c r="E17" s="92" t="s">
        <v>88</v>
      </c>
      <c r="F17" s="93" t="s">
        <v>101</v>
      </c>
      <c r="G17" s="92" t="s">
        <v>90</v>
      </c>
      <c r="H17" s="92">
        <v>5</v>
      </c>
      <c r="I17" s="92" t="s">
        <v>102</v>
      </c>
      <c r="J17" s="94">
        <v>1079859.1599999999</v>
      </c>
      <c r="K17" s="95">
        <v>1</v>
      </c>
      <c r="L17" s="95">
        <f>1-K17</f>
        <v>0</v>
      </c>
      <c r="M17" s="95" t="s">
        <v>92</v>
      </c>
      <c r="N17" s="96">
        <v>41885</v>
      </c>
      <c r="O17" s="96">
        <v>42193</v>
      </c>
      <c r="P17" s="97">
        <f>J17</f>
        <v>1079859.1599999999</v>
      </c>
      <c r="Q17" s="94">
        <v>0</v>
      </c>
      <c r="R17" s="98" t="s">
        <v>103</v>
      </c>
      <c r="S17" s="99" t="s">
        <v>93</v>
      </c>
      <c r="T17" s="100" t="s">
        <v>104</v>
      </c>
      <c r="U17"/>
      <c r="V17" s="36"/>
      <c r="W17" s="86">
        <f t="shared" si="0"/>
        <v>1079859.1599999999</v>
      </c>
      <c r="X17" s="87">
        <f t="shared" si="0"/>
        <v>1</v>
      </c>
      <c r="Y17" s="86">
        <f>W17*X17</f>
        <v>1079859.1599999999</v>
      </c>
      <c r="Z17" s="86">
        <v>805262.43</v>
      </c>
      <c r="AA17" s="88">
        <f>++IF(A17&lt;&gt;"x",Z17-Y17,0)</f>
        <v>-274596.72999999986</v>
      </c>
      <c r="AB17"/>
      <c r="AC17" s="89">
        <v>1079859.1599999999</v>
      </c>
      <c r="AD17" s="72">
        <v>0.74571060729808503</v>
      </c>
      <c r="AE17"/>
      <c r="AF17" s="36">
        <f t="shared" si="1"/>
        <v>1079859.1599999999</v>
      </c>
      <c r="AG17" s="90">
        <f t="shared" si="1"/>
        <v>1</v>
      </c>
      <c r="AH17" s="36">
        <f>AF17*AG17</f>
        <v>1079859.1599999999</v>
      </c>
      <c r="AI17" s="90">
        <f>L17</f>
        <v>0</v>
      </c>
      <c r="AJ17" s="36">
        <f>AF17*AI17</f>
        <v>0</v>
      </c>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ht="15">
      <c r="A18" s="62" t="s">
        <v>105</v>
      </c>
      <c r="B18" s="62"/>
      <c r="C18" s="62"/>
      <c r="D18" s="101"/>
      <c r="E18" s="101"/>
      <c r="F18" s="102"/>
      <c r="G18" s="75"/>
      <c r="H18" s="75"/>
      <c r="I18" s="75"/>
      <c r="J18" s="103"/>
      <c r="K18" s="104"/>
      <c r="L18" s="104"/>
      <c r="M18" s="105"/>
      <c r="N18" s="106"/>
      <c r="O18" s="107"/>
      <c r="P18" s="108"/>
      <c r="Q18" s="108"/>
      <c r="R18" s="108"/>
      <c r="S18" s="108"/>
      <c r="T18" s="101"/>
      <c r="U18"/>
      <c r="V18"/>
      <c r="W18" s="109"/>
      <c r="X18" s="110"/>
      <c r="Y18" s="109"/>
      <c r="Z18" s="109"/>
      <c r="AA18" s="111"/>
      <c r="AB18"/>
      <c r="AC18" s="89"/>
      <c r="AD18" s="72"/>
      <c r="AE18"/>
      <c r="AF18" s="112">
        <f>SUM(AF15:AF17)</f>
        <v>3361859.16</v>
      </c>
      <c r="AG18"/>
      <c r="AH18" s="112">
        <f>SUM(AH15:AH17)</f>
        <v>2236339.16</v>
      </c>
      <c r="AI18"/>
      <c r="AJ18" s="112">
        <f>SUM(AJ15:AJ17)</f>
        <v>1125520</v>
      </c>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15.75">
      <c r="A19" s="62" t="s">
        <v>105</v>
      </c>
      <c r="B19" s="62"/>
      <c r="C19" s="62"/>
      <c r="D19" s="54" t="s">
        <v>106</v>
      </c>
      <c r="E19" s="55"/>
      <c r="F19" s="55"/>
      <c r="G19" s="55"/>
      <c r="H19" s="55"/>
      <c r="I19" s="55"/>
      <c r="J19" s="55"/>
      <c r="K19" s="55"/>
      <c r="L19" s="55"/>
      <c r="M19" s="55">
        <v>1</v>
      </c>
      <c r="N19" s="56"/>
      <c r="O19" s="56"/>
      <c r="P19" s="55"/>
      <c r="Q19" s="55"/>
      <c r="R19" s="55"/>
      <c r="S19" s="55"/>
      <c r="T19" s="57"/>
      <c r="U19"/>
      <c r="V19"/>
      <c r="W19" s="109"/>
      <c r="X19" s="110"/>
      <c r="Y19" s="109"/>
      <c r="Z19" s="109"/>
      <c r="AA19" s="111"/>
      <c r="AB19"/>
      <c r="AC19" s="89"/>
      <c r="AD19" s="72"/>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14.25" customHeight="1">
      <c r="A20" s="62" t="s">
        <v>105</v>
      </c>
      <c r="B20" s="62"/>
      <c r="C20" s="62"/>
      <c r="D20" s="304" t="s">
        <v>59</v>
      </c>
      <c r="E20" s="297" t="s">
        <v>60</v>
      </c>
      <c r="F20" s="297" t="s">
        <v>61</v>
      </c>
      <c r="G20" s="297" t="s">
        <v>107</v>
      </c>
      <c r="H20" s="297" t="s">
        <v>63</v>
      </c>
      <c r="I20" s="297" t="s">
        <v>64</v>
      </c>
      <c r="J20" s="298" t="s">
        <v>54</v>
      </c>
      <c r="K20" s="298"/>
      <c r="L20" s="298"/>
      <c r="M20" s="297" t="s">
        <v>55</v>
      </c>
      <c r="N20" s="299" t="s">
        <v>56</v>
      </c>
      <c r="O20" s="299"/>
      <c r="P20" s="297" t="s">
        <v>70</v>
      </c>
      <c r="Q20" s="297" t="s">
        <v>71</v>
      </c>
      <c r="R20" s="297" t="s">
        <v>72</v>
      </c>
      <c r="S20" s="297" t="s">
        <v>73</v>
      </c>
      <c r="T20" s="296" t="s">
        <v>108</v>
      </c>
      <c r="U20"/>
      <c r="V20"/>
      <c r="W20" s="109"/>
      <c r="X20" s="110"/>
      <c r="Y20" s="109"/>
      <c r="Z20" s="109"/>
      <c r="AA20" s="111"/>
      <c r="AB20"/>
      <c r="AC20" s="89"/>
      <c r="AD20" s="72"/>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55.5" customHeight="1">
      <c r="A21" s="62" t="s">
        <v>105</v>
      </c>
      <c r="B21" s="62"/>
      <c r="C21" s="62"/>
      <c r="D21" s="304"/>
      <c r="E21" s="297"/>
      <c r="F21" s="297"/>
      <c r="G21" s="297"/>
      <c r="H21" s="297"/>
      <c r="I21" s="297"/>
      <c r="J21" s="65" t="s">
        <v>65</v>
      </c>
      <c r="K21" s="66" t="s">
        <v>66</v>
      </c>
      <c r="L21" s="67" t="s">
        <v>67</v>
      </c>
      <c r="M21" s="297"/>
      <c r="N21" s="60" t="s">
        <v>68</v>
      </c>
      <c r="O21" s="60" t="s">
        <v>69</v>
      </c>
      <c r="P21" s="297"/>
      <c r="Q21" s="297"/>
      <c r="R21" s="297"/>
      <c r="S21" s="297"/>
      <c r="T21" s="296"/>
      <c r="U21"/>
      <c r="V21"/>
      <c r="W21" s="109"/>
      <c r="X21" s="110"/>
      <c r="Y21" s="109"/>
      <c r="Z21" s="109"/>
      <c r="AA21" s="111"/>
      <c r="AB21"/>
      <c r="AC21" s="89"/>
      <c r="AD21" s="72"/>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111" customHeight="1">
      <c r="A22" s="75" t="s">
        <v>109</v>
      </c>
      <c r="B22" s="75" t="s">
        <v>29</v>
      </c>
      <c r="C22" s="113" t="s">
        <v>110</v>
      </c>
      <c r="D22" s="76" t="s">
        <v>100</v>
      </c>
      <c r="E22" s="79" t="s">
        <v>111</v>
      </c>
      <c r="F22" s="78" t="s">
        <v>112</v>
      </c>
      <c r="G22" s="79" t="s">
        <v>90</v>
      </c>
      <c r="H22" s="79" t="s">
        <v>113</v>
      </c>
      <c r="I22" s="79" t="s">
        <v>114</v>
      </c>
      <c r="J22" s="80">
        <f>P22+Q22/6.3</f>
        <v>474642084.6079365</v>
      </c>
      <c r="K22" s="81">
        <f>(P22+Q22*0.1/6.3)/J22</f>
        <v>0.71990054936456049</v>
      </c>
      <c r="L22" s="81">
        <f>1-K22</f>
        <v>0.28009945063543951</v>
      </c>
      <c r="M22" s="81" t="s">
        <v>92</v>
      </c>
      <c r="N22" s="82">
        <v>40945</v>
      </c>
      <c r="O22" s="82">
        <v>41926</v>
      </c>
      <c r="P22" s="114">
        <v>326923210</v>
      </c>
      <c r="Q22" s="80">
        <v>930628910.02999997</v>
      </c>
      <c r="R22" s="115" t="s">
        <v>115</v>
      </c>
      <c r="S22" s="77" t="s">
        <v>116</v>
      </c>
      <c r="T22" s="84" t="s">
        <v>117</v>
      </c>
      <c r="U22" s="85"/>
      <c r="V22" s="36"/>
      <c r="W22" s="86">
        <f t="shared" ref="W22:X29" si="2">J22</f>
        <v>474642084.6079365</v>
      </c>
      <c r="X22" s="87">
        <f t="shared" si="2"/>
        <v>0.71990054936456049</v>
      </c>
      <c r="Y22" s="86">
        <f t="shared" ref="Y22:Y29" si="3">W22*X22</f>
        <v>341695097.46079367</v>
      </c>
      <c r="Z22" s="86">
        <v>400252031</v>
      </c>
      <c r="AA22" s="88">
        <f t="shared" ref="AA22:AA29" si="4">++IF(A22&lt;&gt;"x",Z22-Y22,0)</f>
        <v>58556933.539206326</v>
      </c>
      <c r="AB22" s="116"/>
      <c r="AC22" s="89">
        <v>474642084.60793698</v>
      </c>
      <c r="AD22" s="72">
        <v>0.71990054936456105</v>
      </c>
      <c r="AE22"/>
      <c r="AF22" s="36">
        <f t="shared" ref="AF22:AG29" si="5">J22</f>
        <v>474642084.6079365</v>
      </c>
      <c r="AG22" s="90">
        <f t="shared" si="5"/>
        <v>0.71990054936456049</v>
      </c>
      <c r="AH22" s="36">
        <f t="shared" ref="AH22:AH29" si="6">AF22*AG22</f>
        <v>341695097.46079367</v>
      </c>
      <c r="AI22" s="90">
        <f t="shared" ref="AI22:AI29" si="7">L22</f>
        <v>0.28009945063543951</v>
      </c>
      <c r="AJ22" s="36">
        <f t="shared" ref="AJ22:AJ29" si="8">AF22*AI22</f>
        <v>132946987.14714281</v>
      </c>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82.5" customHeight="1">
      <c r="A23" s="75" t="s">
        <v>109</v>
      </c>
      <c r="B23" s="75" t="s">
        <v>29</v>
      </c>
      <c r="C23" s="113" t="s">
        <v>118</v>
      </c>
      <c r="D23" s="76" t="s">
        <v>100</v>
      </c>
      <c r="E23" s="79" t="s">
        <v>111</v>
      </c>
      <c r="F23" s="78" t="s">
        <v>119</v>
      </c>
      <c r="G23" s="79" t="s">
        <v>90</v>
      </c>
      <c r="H23" s="79" t="s">
        <v>113</v>
      </c>
      <c r="I23" s="79" t="s">
        <v>91</v>
      </c>
      <c r="J23" s="117">
        <f>+AC23</f>
        <v>236314595.717421</v>
      </c>
      <c r="K23" s="81">
        <v>0</v>
      </c>
      <c r="L23" s="81">
        <f>1-K23</f>
        <v>1</v>
      </c>
      <c r="M23" s="118" t="s">
        <v>124</v>
      </c>
      <c r="N23" s="82">
        <v>43107</v>
      </c>
      <c r="O23" s="82">
        <v>43411</v>
      </c>
      <c r="P23" s="83"/>
      <c r="Q23" s="80"/>
      <c r="R23" s="83"/>
      <c r="S23" s="77" t="s">
        <v>120</v>
      </c>
      <c r="T23" s="84" t="s">
        <v>121</v>
      </c>
      <c r="U23"/>
      <c r="V23" s="36"/>
      <c r="W23" s="86">
        <f t="shared" si="2"/>
        <v>236314595.717421</v>
      </c>
      <c r="X23" s="87">
        <f t="shared" si="2"/>
        <v>0</v>
      </c>
      <c r="Y23" s="86">
        <f t="shared" si="3"/>
        <v>0</v>
      </c>
      <c r="Z23" s="86">
        <v>144707175.92555001</v>
      </c>
      <c r="AA23" s="88">
        <f t="shared" si="4"/>
        <v>144707175.92555001</v>
      </c>
      <c r="AB23"/>
      <c r="AC23" s="89">
        <v>236314595.717421</v>
      </c>
      <c r="AD23" s="72">
        <v>0.58288170781127002</v>
      </c>
      <c r="AE23"/>
      <c r="AF23" s="36">
        <f t="shared" si="5"/>
        <v>236314595.717421</v>
      </c>
      <c r="AG23" s="90">
        <f t="shared" si="5"/>
        <v>0</v>
      </c>
      <c r="AH23" s="36">
        <f t="shared" si="6"/>
        <v>0</v>
      </c>
      <c r="AI23" s="90">
        <f t="shared" si="7"/>
        <v>1</v>
      </c>
      <c r="AJ23" s="36">
        <f t="shared" si="8"/>
        <v>236314595.717421</v>
      </c>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84" customHeight="1">
      <c r="A24" s="75" t="s">
        <v>109</v>
      </c>
      <c r="B24" s="75" t="s">
        <v>29</v>
      </c>
      <c r="C24" s="113" t="s">
        <v>122</v>
      </c>
      <c r="D24" s="76" t="s">
        <v>100</v>
      </c>
      <c r="E24" s="79" t="s">
        <v>111</v>
      </c>
      <c r="F24" s="78" t="s">
        <v>123</v>
      </c>
      <c r="G24" s="79" t="s">
        <v>90</v>
      </c>
      <c r="H24" s="79" t="s">
        <v>113</v>
      </c>
      <c r="I24" s="79" t="s">
        <v>91</v>
      </c>
      <c r="J24" s="117">
        <f>+AC24</f>
        <v>80000000</v>
      </c>
      <c r="K24" s="81">
        <v>0</v>
      </c>
      <c r="L24" s="81">
        <f>1-K24</f>
        <v>1</v>
      </c>
      <c r="M24" s="118" t="s">
        <v>124</v>
      </c>
      <c r="N24" s="82">
        <v>43040</v>
      </c>
      <c r="O24" s="82">
        <v>43405</v>
      </c>
      <c r="P24" s="83"/>
      <c r="Q24" s="83"/>
      <c r="R24" s="83"/>
      <c r="S24" s="77" t="s">
        <v>93</v>
      </c>
      <c r="T24" s="84" t="s">
        <v>125</v>
      </c>
      <c r="U24"/>
      <c r="V24" s="36"/>
      <c r="W24" s="86">
        <f t="shared" si="2"/>
        <v>80000000</v>
      </c>
      <c r="X24" s="87">
        <f t="shared" si="2"/>
        <v>0</v>
      </c>
      <c r="Y24" s="86">
        <f t="shared" si="3"/>
        <v>0</v>
      </c>
      <c r="Z24" s="86">
        <v>23639610.569284499</v>
      </c>
      <c r="AA24" s="88">
        <f t="shared" si="4"/>
        <v>23639610.569284499</v>
      </c>
      <c r="AB24" s="85"/>
      <c r="AC24" s="89">
        <v>80000000</v>
      </c>
      <c r="AD24" s="72">
        <v>0.59895833333333404</v>
      </c>
      <c r="AE24"/>
      <c r="AF24" s="36">
        <f t="shared" si="5"/>
        <v>80000000</v>
      </c>
      <c r="AG24" s="90">
        <f t="shared" si="5"/>
        <v>0</v>
      </c>
      <c r="AH24" s="36">
        <f t="shared" si="6"/>
        <v>0</v>
      </c>
      <c r="AI24" s="90">
        <f t="shared" si="7"/>
        <v>1</v>
      </c>
      <c r="AJ24" s="36">
        <f t="shared" si="8"/>
        <v>80000000</v>
      </c>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89.25">
      <c r="A25" s="75" t="s">
        <v>109</v>
      </c>
      <c r="B25" s="75" t="s">
        <v>29</v>
      </c>
      <c r="C25" s="113" t="s">
        <v>126</v>
      </c>
      <c r="D25" s="76" t="s">
        <v>100</v>
      </c>
      <c r="E25" s="79" t="s">
        <v>111</v>
      </c>
      <c r="F25" s="78" t="s">
        <v>127</v>
      </c>
      <c r="G25" s="79" t="s">
        <v>128</v>
      </c>
      <c r="H25" s="79" t="s">
        <v>113</v>
      </c>
      <c r="I25" s="79" t="s">
        <v>91</v>
      </c>
      <c r="J25" s="117">
        <f>+AC25</f>
        <v>15000000</v>
      </c>
      <c r="K25" s="81">
        <v>0</v>
      </c>
      <c r="L25" s="81">
        <v>1</v>
      </c>
      <c r="M25" s="118" t="s">
        <v>124</v>
      </c>
      <c r="N25" s="82">
        <v>43862</v>
      </c>
      <c r="O25" s="82">
        <v>44228</v>
      </c>
      <c r="P25" s="83"/>
      <c r="Q25" s="83"/>
      <c r="R25" s="83"/>
      <c r="S25" s="77" t="s">
        <v>129</v>
      </c>
      <c r="T25" s="119" t="s">
        <v>130</v>
      </c>
      <c r="U25" s="120"/>
      <c r="V25" s="36"/>
      <c r="W25" s="86">
        <f t="shared" si="2"/>
        <v>15000000</v>
      </c>
      <c r="X25" s="87">
        <f t="shared" si="2"/>
        <v>0</v>
      </c>
      <c r="Y25" s="86">
        <f t="shared" si="3"/>
        <v>0</v>
      </c>
      <c r="Z25" s="86">
        <v>0</v>
      </c>
      <c r="AA25" s="88">
        <f t="shared" si="4"/>
        <v>0</v>
      </c>
      <c r="AB25"/>
      <c r="AC25" s="89">
        <v>15000000</v>
      </c>
      <c r="AD25" s="72">
        <v>1</v>
      </c>
      <c r="AE25"/>
      <c r="AF25" s="36">
        <f t="shared" si="5"/>
        <v>15000000</v>
      </c>
      <c r="AG25" s="90">
        <f t="shared" si="5"/>
        <v>0</v>
      </c>
      <c r="AH25" s="36">
        <f t="shared" si="6"/>
        <v>0</v>
      </c>
      <c r="AI25" s="90">
        <f t="shared" si="7"/>
        <v>1</v>
      </c>
      <c r="AJ25" s="36">
        <f t="shared" si="8"/>
        <v>15000000</v>
      </c>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110.25" customHeight="1">
      <c r="A26" s="75" t="s">
        <v>85</v>
      </c>
      <c r="B26" s="75" t="s">
        <v>29</v>
      </c>
      <c r="C26" s="113" t="s">
        <v>131</v>
      </c>
      <c r="D26" s="76" t="s">
        <v>96</v>
      </c>
      <c r="E26" s="77" t="s">
        <v>88</v>
      </c>
      <c r="F26" s="78" t="s">
        <v>132</v>
      </c>
      <c r="G26" s="79" t="s">
        <v>133</v>
      </c>
      <c r="H26" s="79" t="s">
        <v>113</v>
      </c>
      <c r="I26" s="79" t="s">
        <v>91</v>
      </c>
      <c r="J26" s="80">
        <f>+AC26</f>
        <v>2100000</v>
      </c>
      <c r="K26" s="81">
        <f>+AD26</f>
        <v>0</v>
      </c>
      <c r="L26" s="81">
        <f>1-K26</f>
        <v>1</v>
      </c>
      <c r="M26" s="118" t="s">
        <v>124</v>
      </c>
      <c r="N26" s="82">
        <v>43306</v>
      </c>
      <c r="O26" s="82">
        <v>43671</v>
      </c>
      <c r="P26" s="83"/>
      <c r="Q26" s="83"/>
      <c r="R26" s="83"/>
      <c r="S26" s="77" t="s">
        <v>120</v>
      </c>
      <c r="T26" s="121" t="s">
        <v>134</v>
      </c>
      <c r="U26"/>
      <c r="V26" s="36"/>
      <c r="W26" s="86">
        <f t="shared" si="2"/>
        <v>2100000</v>
      </c>
      <c r="X26" s="87">
        <f t="shared" si="2"/>
        <v>0</v>
      </c>
      <c r="Y26" s="86">
        <f t="shared" si="3"/>
        <v>0</v>
      </c>
      <c r="Z26" s="86">
        <v>1342104.05</v>
      </c>
      <c r="AA26" s="88">
        <f t="shared" si="4"/>
        <v>1342104.05</v>
      </c>
      <c r="AB26"/>
      <c r="AC26" s="89">
        <v>2100000</v>
      </c>
      <c r="AD26" s="72">
        <v>0</v>
      </c>
      <c r="AE26"/>
      <c r="AF26" s="36">
        <f t="shared" si="5"/>
        <v>2100000</v>
      </c>
      <c r="AG26" s="90">
        <f t="shared" si="5"/>
        <v>0</v>
      </c>
      <c r="AH26" s="36">
        <f t="shared" si="6"/>
        <v>0</v>
      </c>
      <c r="AI26" s="90">
        <f t="shared" si="7"/>
        <v>1</v>
      </c>
      <c r="AJ26" s="36">
        <f t="shared" si="8"/>
        <v>2100000</v>
      </c>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ht="116.25" customHeight="1">
      <c r="A27" s="75" t="s">
        <v>85</v>
      </c>
      <c r="B27" s="75" t="s">
        <v>29</v>
      </c>
      <c r="C27" s="113" t="s">
        <v>135</v>
      </c>
      <c r="D27" s="76" t="s">
        <v>96</v>
      </c>
      <c r="E27" s="77" t="s">
        <v>88</v>
      </c>
      <c r="F27" s="78" t="s">
        <v>136</v>
      </c>
      <c r="G27" s="79" t="s">
        <v>133</v>
      </c>
      <c r="H27" s="79" t="s">
        <v>113</v>
      </c>
      <c r="I27" s="79" t="s">
        <v>91</v>
      </c>
      <c r="J27" s="80">
        <f>+AC27</f>
        <v>1500000</v>
      </c>
      <c r="K27" s="81">
        <f>+AD27</f>
        <v>0</v>
      </c>
      <c r="L27" s="81">
        <f>1-K27</f>
        <v>1</v>
      </c>
      <c r="M27" s="118" t="s">
        <v>124</v>
      </c>
      <c r="N27" s="122">
        <v>43342</v>
      </c>
      <c r="O27" s="122">
        <v>43707</v>
      </c>
      <c r="P27" s="123"/>
      <c r="Q27" s="123"/>
      <c r="R27" s="123"/>
      <c r="S27" s="77" t="s">
        <v>120</v>
      </c>
      <c r="T27" s="121" t="s">
        <v>134</v>
      </c>
      <c r="U27"/>
      <c r="V27" s="36"/>
      <c r="W27" s="86">
        <f t="shared" si="2"/>
        <v>1500000</v>
      </c>
      <c r="X27" s="87">
        <f t="shared" si="2"/>
        <v>0</v>
      </c>
      <c r="Y27" s="86">
        <f t="shared" si="3"/>
        <v>0</v>
      </c>
      <c r="Z27" s="86">
        <f>335526.01+420.4</f>
        <v>335946.41000000003</v>
      </c>
      <c r="AA27" s="88">
        <f t="shared" si="4"/>
        <v>335946.41000000003</v>
      </c>
      <c r="AB27"/>
      <c r="AC27" s="89">
        <v>1500000</v>
      </c>
      <c r="AD27" s="72">
        <v>0</v>
      </c>
      <c r="AE27"/>
      <c r="AF27" s="36">
        <f t="shared" si="5"/>
        <v>1500000</v>
      </c>
      <c r="AG27" s="90">
        <f t="shared" si="5"/>
        <v>0</v>
      </c>
      <c r="AH27" s="36">
        <f t="shared" si="6"/>
        <v>0</v>
      </c>
      <c r="AI27" s="90">
        <f t="shared" si="7"/>
        <v>1</v>
      </c>
      <c r="AJ27" s="36">
        <f t="shared" si="8"/>
        <v>1500000</v>
      </c>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ht="122.25" customHeight="1">
      <c r="A28" s="75" t="s">
        <v>85</v>
      </c>
      <c r="B28" s="75" t="s">
        <v>29</v>
      </c>
      <c r="C28" s="113" t="s">
        <v>137</v>
      </c>
      <c r="D28" s="76" t="s">
        <v>100</v>
      </c>
      <c r="E28" s="77" t="s">
        <v>88</v>
      </c>
      <c r="F28" s="78" t="s">
        <v>138</v>
      </c>
      <c r="G28" s="79" t="s">
        <v>133</v>
      </c>
      <c r="H28" s="79" t="s">
        <v>113</v>
      </c>
      <c r="I28" s="79" t="s">
        <v>91</v>
      </c>
      <c r="J28" s="80">
        <v>150000</v>
      </c>
      <c r="K28" s="81">
        <v>0</v>
      </c>
      <c r="L28" s="81">
        <f>1-K28</f>
        <v>1</v>
      </c>
      <c r="M28" s="118" t="s">
        <v>124</v>
      </c>
      <c r="N28" s="122">
        <v>43753</v>
      </c>
      <c r="O28" s="122">
        <v>43753</v>
      </c>
      <c r="P28" s="123"/>
      <c r="Q28" s="123"/>
      <c r="R28" s="123"/>
      <c r="S28" s="77"/>
      <c r="T28" s="121" t="s">
        <v>139</v>
      </c>
      <c r="U28"/>
      <c r="V28" s="36"/>
      <c r="W28" s="86">
        <f t="shared" si="2"/>
        <v>150000</v>
      </c>
      <c r="X28" s="87">
        <f t="shared" si="2"/>
        <v>0</v>
      </c>
      <c r="Y28" s="86">
        <f t="shared" si="3"/>
        <v>0</v>
      </c>
      <c r="Z28" s="86">
        <v>1509867.05</v>
      </c>
      <c r="AA28" s="88">
        <f t="shared" si="4"/>
        <v>1509867.05</v>
      </c>
      <c r="AB28"/>
      <c r="AC28" s="89">
        <v>2250000</v>
      </c>
      <c r="AD28" s="72">
        <v>0.67105202222222204</v>
      </c>
      <c r="AE28"/>
      <c r="AF28" s="36">
        <f t="shared" si="5"/>
        <v>150000</v>
      </c>
      <c r="AG28" s="90">
        <f t="shared" si="5"/>
        <v>0</v>
      </c>
      <c r="AH28" s="36">
        <f t="shared" si="6"/>
        <v>0</v>
      </c>
      <c r="AI28" s="90">
        <f t="shared" si="7"/>
        <v>1</v>
      </c>
      <c r="AJ28" s="36">
        <f t="shared" si="8"/>
        <v>150000</v>
      </c>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123.75" customHeight="1">
      <c r="A29" s="75" t="s">
        <v>85</v>
      </c>
      <c r="B29" s="75" t="s">
        <v>29</v>
      </c>
      <c r="C29" s="113" t="s">
        <v>140</v>
      </c>
      <c r="D29" s="76" t="s">
        <v>96</v>
      </c>
      <c r="E29" s="77" t="s">
        <v>88</v>
      </c>
      <c r="F29" s="124" t="s">
        <v>141</v>
      </c>
      <c r="G29" s="79" t="s">
        <v>133</v>
      </c>
      <c r="H29" s="79" t="s">
        <v>113</v>
      </c>
      <c r="I29" s="79" t="s">
        <v>91</v>
      </c>
      <c r="J29" s="80">
        <v>3000000</v>
      </c>
      <c r="K29" s="81">
        <v>0</v>
      </c>
      <c r="L29" s="81">
        <v>1</v>
      </c>
      <c r="M29" s="118" t="s">
        <v>124</v>
      </c>
      <c r="N29" s="122">
        <v>43438</v>
      </c>
      <c r="O29" s="122">
        <v>43803</v>
      </c>
      <c r="P29" s="123"/>
      <c r="Q29" s="123"/>
      <c r="R29" s="123"/>
      <c r="S29" s="83" t="s">
        <v>120</v>
      </c>
      <c r="T29" s="121" t="s">
        <v>142</v>
      </c>
      <c r="U29"/>
      <c r="V29" s="36"/>
      <c r="W29" s="86">
        <f t="shared" si="2"/>
        <v>3000000</v>
      </c>
      <c r="X29" s="87">
        <f t="shared" si="2"/>
        <v>0</v>
      </c>
      <c r="Y29" s="86">
        <f t="shared" si="3"/>
        <v>0</v>
      </c>
      <c r="Z29" s="86">
        <v>3556575.72</v>
      </c>
      <c r="AA29" s="88">
        <f t="shared" si="4"/>
        <v>3556575.72</v>
      </c>
      <c r="AB29"/>
      <c r="AC29" s="89">
        <v>5300000</v>
      </c>
      <c r="AD29" s="72">
        <v>0.67105202222222204</v>
      </c>
      <c r="AE29"/>
      <c r="AF29" s="36">
        <f t="shared" si="5"/>
        <v>3000000</v>
      </c>
      <c r="AG29" s="90">
        <f t="shared" si="5"/>
        <v>0</v>
      </c>
      <c r="AH29" s="36">
        <f t="shared" si="6"/>
        <v>0</v>
      </c>
      <c r="AI29" s="90">
        <f t="shared" si="7"/>
        <v>1</v>
      </c>
      <c r="AJ29" s="36">
        <f t="shared" si="8"/>
        <v>3000000</v>
      </c>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15">
      <c r="A30" s="75" t="s">
        <v>105</v>
      </c>
      <c r="B30" s="75"/>
      <c r="C30" s="113"/>
      <c r="D30" s="47"/>
      <c r="E30" s="48"/>
      <c r="F30" s="48"/>
      <c r="G30" s="48"/>
      <c r="H30" s="48"/>
      <c r="I30" s="48"/>
      <c r="J30" s="49"/>
      <c r="K30" s="50"/>
      <c r="L30" s="50"/>
      <c r="M30" s="50"/>
      <c r="N30" s="51"/>
      <c r="O30" s="51"/>
      <c r="P30" s="48"/>
      <c r="Q30" s="48"/>
      <c r="R30" s="48"/>
      <c r="S30" s="48"/>
      <c r="T30" s="52"/>
      <c r="U30"/>
      <c r="V30"/>
      <c r="W30" s="109"/>
      <c r="X30" s="110"/>
      <c r="Y30" s="109"/>
      <c r="Z30" s="109"/>
      <c r="AA30" s="111"/>
      <c r="AB30"/>
      <c r="AC30" s="89"/>
      <c r="AD30" s="72"/>
      <c r="AE30"/>
      <c r="AF30" s="112">
        <f>SUM(AF22:AF29)</f>
        <v>812706680.32535744</v>
      </c>
      <c r="AG30" s="112"/>
      <c r="AH30" s="112">
        <f>SUM(AH22:AH29)</f>
        <v>341695097.46079367</v>
      </c>
      <c r="AI30" s="112"/>
      <c r="AJ30" s="112">
        <f>SUM(AJ22:AJ29)</f>
        <v>471011582.86456382</v>
      </c>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15">
      <c r="A31" s="75" t="s">
        <v>105</v>
      </c>
      <c r="B31" s="75"/>
      <c r="C31" s="113"/>
      <c r="D31"/>
      <c r="E31"/>
      <c r="F31"/>
      <c r="G31"/>
      <c r="H31"/>
      <c r="I31"/>
      <c r="J31"/>
      <c r="K31" s="125"/>
      <c r="L31" s="125"/>
      <c r="M31"/>
      <c r="N31"/>
      <c r="O31"/>
      <c r="P31"/>
      <c r="Q31"/>
      <c r="R31"/>
      <c r="S31"/>
      <c r="T31"/>
      <c r="U31"/>
      <c r="V31"/>
      <c r="W31" s="109"/>
      <c r="X31" s="110"/>
      <c r="Y31" s="109"/>
      <c r="Z31" s="109"/>
      <c r="AA31" s="111"/>
      <c r="AB31"/>
      <c r="AC31" s="89"/>
      <c r="AD31" s="72"/>
      <c r="AE31"/>
      <c r="AF31" s="112"/>
      <c r="AG31" s="112"/>
      <c r="AH31" s="112"/>
      <c r="AI31" s="112"/>
      <c r="AJ31" s="112"/>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15.75" customHeight="1">
      <c r="A32" s="75" t="s">
        <v>105</v>
      </c>
      <c r="B32" s="75"/>
      <c r="C32" s="113"/>
      <c r="D32" s="126" t="s">
        <v>143</v>
      </c>
      <c r="E32" s="55"/>
      <c r="F32" s="55"/>
      <c r="G32" s="55"/>
      <c r="H32" s="55"/>
      <c r="I32" s="55"/>
      <c r="J32" s="55"/>
      <c r="K32" s="55"/>
      <c r="L32" s="55"/>
      <c r="M32" s="55"/>
      <c r="N32" s="55"/>
      <c r="O32" s="55"/>
      <c r="P32" s="55"/>
      <c r="Q32" s="55"/>
      <c r="R32" s="55"/>
      <c r="S32" s="55"/>
      <c r="T32" s="57"/>
      <c r="U32"/>
      <c r="V32"/>
      <c r="W32" s="109"/>
      <c r="X32" s="110"/>
      <c r="Y32" s="109"/>
      <c r="Z32" s="109"/>
      <c r="AA32" s="111"/>
      <c r="AB32"/>
      <c r="AC32" s="89"/>
      <c r="AD32" s="7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ht="14.25" customHeight="1">
      <c r="A33" s="75" t="s">
        <v>105</v>
      </c>
      <c r="B33" s="75"/>
      <c r="C33" s="113"/>
      <c r="D33" s="304" t="s">
        <v>59</v>
      </c>
      <c r="E33" s="297" t="s">
        <v>144</v>
      </c>
      <c r="F33" s="297" t="s">
        <v>61</v>
      </c>
      <c r="G33" s="297" t="s">
        <v>107</v>
      </c>
      <c r="H33" s="297" t="s">
        <v>63</v>
      </c>
      <c r="I33" s="297" t="s">
        <v>64</v>
      </c>
      <c r="J33" s="298" t="s">
        <v>54</v>
      </c>
      <c r="K33" s="298"/>
      <c r="L33" s="298"/>
      <c r="M33" s="297" t="s">
        <v>55</v>
      </c>
      <c r="N33" s="299" t="s">
        <v>56</v>
      </c>
      <c r="O33" s="299"/>
      <c r="P33" s="297" t="s">
        <v>70</v>
      </c>
      <c r="Q33" s="297" t="s">
        <v>71</v>
      </c>
      <c r="R33" s="297" t="s">
        <v>72</v>
      </c>
      <c r="S33" s="297" t="s">
        <v>73</v>
      </c>
      <c r="T33" s="296" t="s">
        <v>108</v>
      </c>
      <c r="U33"/>
      <c r="V33"/>
      <c r="W33" s="109"/>
      <c r="X33" s="110"/>
      <c r="Y33" s="109"/>
      <c r="Z33" s="109"/>
      <c r="AA33" s="111"/>
      <c r="AB33"/>
      <c r="AC33" s="89"/>
      <c r="AD33" s="72"/>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ht="32.25" customHeight="1">
      <c r="A34" s="75" t="s">
        <v>105</v>
      </c>
      <c r="B34" s="75"/>
      <c r="C34" s="113"/>
      <c r="D34" s="304"/>
      <c r="E34" s="297"/>
      <c r="F34" s="297"/>
      <c r="G34" s="297"/>
      <c r="H34" s="297"/>
      <c r="I34" s="297"/>
      <c r="J34" s="65" t="s">
        <v>65</v>
      </c>
      <c r="K34" s="66" t="s">
        <v>66</v>
      </c>
      <c r="L34" s="67" t="s">
        <v>67</v>
      </c>
      <c r="M34" s="297"/>
      <c r="N34" s="60" t="s">
        <v>145</v>
      </c>
      <c r="O34" s="60" t="s">
        <v>69</v>
      </c>
      <c r="P34" s="297"/>
      <c r="Q34" s="297"/>
      <c r="R34" s="297"/>
      <c r="S34" s="297"/>
      <c r="T34" s="296"/>
      <c r="U34"/>
      <c r="V34"/>
      <c r="W34" s="109"/>
      <c r="X34" s="110"/>
      <c r="Y34" s="109"/>
      <c r="Z34" s="109"/>
      <c r="AA34" s="111"/>
      <c r="AB34"/>
      <c r="AC34" s="89"/>
      <c r="AD34" s="72"/>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ht="67.5" customHeight="1">
      <c r="A35" s="75" t="s">
        <v>85</v>
      </c>
      <c r="B35" s="75" t="s">
        <v>146</v>
      </c>
      <c r="C35" s="113" t="s">
        <v>147</v>
      </c>
      <c r="D35" s="76" t="s">
        <v>100</v>
      </c>
      <c r="E35" s="77" t="s">
        <v>88</v>
      </c>
      <c r="F35" s="124" t="s">
        <v>148</v>
      </c>
      <c r="G35" s="127" t="s">
        <v>90</v>
      </c>
      <c r="H35" s="79" t="s">
        <v>113</v>
      </c>
      <c r="I35" s="79" t="s">
        <v>91</v>
      </c>
      <c r="J35" s="128">
        <v>5050000</v>
      </c>
      <c r="K35" s="118">
        <v>0.75</v>
      </c>
      <c r="L35" s="118">
        <f>1-K35</f>
        <v>0.25</v>
      </c>
      <c r="M35" s="81" t="s">
        <v>92</v>
      </c>
      <c r="N35" s="122">
        <v>43195</v>
      </c>
      <c r="O35" s="122">
        <v>43439</v>
      </c>
      <c r="P35" s="123"/>
      <c r="Q35" s="123"/>
      <c r="R35" s="123"/>
      <c r="S35" s="77"/>
      <c r="T35" s="84" t="s">
        <v>149</v>
      </c>
      <c r="U35"/>
      <c r="V35" s="36"/>
      <c r="W35" s="86">
        <f>J35</f>
        <v>5050000</v>
      </c>
      <c r="X35" s="87">
        <f>K35</f>
        <v>0.75</v>
      </c>
      <c r="Y35" s="86">
        <f>W35*X35</f>
        <v>3787500</v>
      </c>
      <c r="Z35" s="86">
        <v>2160787.5099999998</v>
      </c>
      <c r="AA35" s="88">
        <f>++IF(A35&lt;&gt;"x",Z35-Y35,0)</f>
        <v>-1626712.4900000002</v>
      </c>
      <c r="AB35"/>
      <c r="AC35" s="89">
        <v>2705836.78</v>
      </c>
      <c r="AD35" s="72">
        <v>0.79856535544616303</v>
      </c>
      <c r="AE35"/>
      <c r="AF35" s="36">
        <f>J35</f>
        <v>5050000</v>
      </c>
      <c r="AG35" s="90">
        <f>K35</f>
        <v>0.75</v>
      </c>
      <c r="AH35" s="36">
        <f>AF35*AG35</f>
        <v>3787500</v>
      </c>
      <c r="AI35" s="90">
        <f>L35</f>
        <v>0.25</v>
      </c>
      <c r="AJ35" s="36">
        <f>AF35*AI35</f>
        <v>1262500</v>
      </c>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ht="15">
      <c r="A36" s="75" t="s">
        <v>105</v>
      </c>
      <c r="B36" s="75"/>
      <c r="C36" s="113"/>
      <c r="D36" s="47"/>
      <c r="E36" s="48"/>
      <c r="F36" s="48"/>
      <c r="G36" s="92"/>
      <c r="H36" s="48"/>
      <c r="I36" s="48"/>
      <c r="J36" s="49"/>
      <c r="K36" s="50"/>
      <c r="L36" s="50"/>
      <c r="M36" s="50"/>
      <c r="N36" s="51"/>
      <c r="O36" s="51"/>
      <c r="P36" s="48"/>
      <c r="Q36" s="48"/>
      <c r="R36" s="48"/>
      <c r="S36" s="48"/>
      <c r="T36" s="52"/>
      <c r="U36"/>
      <c r="V36"/>
      <c r="W36" s="109"/>
      <c r="X36" s="110"/>
      <c r="Y36" s="109"/>
      <c r="Z36" s="109"/>
      <c r="AA36" s="111"/>
      <c r="AB36"/>
      <c r="AC36" s="89"/>
      <c r="AD36" s="72"/>
      <c r="AE36"/>
      <c r="AF36" s="112">
        <f>SUM(AF35)</f>
        <v>5050000</v>
      </c>
      <c r="AG36"/>
      <c r="AH36" s="112">
        <f>SUM(AH35)</f>
        <v>3787500</v>
      </c>
      <c r="AI36"/>
      <c r="AJ36" s="112">
        <f>SUM(AJ35)</f>
        <v>1262500</v>
      </c>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c r="A37" s="75" t="s">
        <v>105</v>
      </c>
      <c r="B37" s="75"/>
      <c r="C37" s="113"/>
      <c r="D37" s="101"/>
      <c r="E37" s="101"/>
      <c r="F37" s="101"/>
      <c r="G37" s="101"/>
      <c r="H37" s="129"/>
      <c r="I37" s="101"/>
      <c r="J37" s="129"/>
      <c r="K37" s="129"/>
      <c r="L37" s="130"/>
      <c r="M37" s="131"/>
      <c r="N37" s="132"/>
      <c r="O37" s="132"/>
      <c r="P37" s="101"/>
      <c r="Q37" s="101"/>
      <c r="R37" s="101"/>
      <c r="S37" s="101"/>
      <c r="T37" s="101"/>
      <c r="U37"/>
      <c r="V37" s="36"/>
      <c r="W37" s="109"/>
      <c r="X37" s="110"/>
      <c r="Y37" s="109"/>
      <c r="Z37" s="109"/>
      <c r="AA37" s="111"/>
      <c r="AB37"/>
      <c r="AC37" s="89"/>
      <c r="AD37" s="72"/>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ht="15.75">
      <c r="A38" s="75" t="s">
        <v>105</v>
      </c>
      <c r="B38" s="75"/>
      <c r="C38" s="113"/>
      <c r="D38" s="126" t="s">
        <v>150</v>
      </c>
      <c r="E38" s="55"/>
      <c r="F38" s="55"/>
      <c r="G38" s="55"/>
      <c r="H38" s="55"/>
      <c r="I38" s="55"/>
      <c r="J38" s="55"/>
      <c r="K38" s="55"/>
      <c r="L38" s="55"/>
      <c r="M38" s="55"/>
      <c r="N38" s="56"/>
      <c r="O38" s="56"/>
      <c r="P38" s="55"/>
      <c r="Q38" s="55"/>
      <c r="R38" s="55"/>
      <c r="S38" s="55"/>
      <c r="T38" s="57"/>
      <c r="U38"/>
      <c r="V38"/>
      <c r="W38" s="109"/>
      <c r="X38" s="110"/>
      <c r="Y38" s="109"/>
      <c r="Z38" s="109"/>
      <c r="AA38" s="111"/>
      <c r="AB38"/>
      <c r="AC38" s="89"/>
      <c r="AD38" s="72"/>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ht="15.75" customHeight="1">
      <c r="A39" s="75" t="s">
        <v>105</v>
      </c>
      <c r="B39" s="75"/>
      <c r="C39" s="113"/>
      <c r="D39" s="304" t="s">
        <v>59</v>
      </c>
      <c r="E39" s="297" t="s">
        <v>60</v>
      </c>
      <c r="F39" s="297" t="s">
        <v>61</v>
      </c>
      <c r="G39" s="297" t="s">
        <v>107</v>
      </c>
      <c r="H39" s="305"/>
      <c r="I39" s="305"/>
      <c r="J39" s="298" t="s">
        <v>54</v>
      </c>
      <c r="K39" s="298"/>
      <c r="L39" s="298"/>
      <c r="M39" s="297" t="s">
        <v>55</v>
      </c>
      <c r="N39" s="299" t="s">
        <v>56</v>
      </c>
      <c r="O39" s="299"/>
      <c r="P39" s="297" t="s">
        <v>151</v>
      </c>
      <c r="Q39" s="297" t="s">
        <v>71</v>
      </c>
      <c r="R39" s="297" t="s">
        <v>72</v>
      </c>
      <c r="S39" s="297" t="s">
        <v>73</v>
      </c>
      <c r="T39" s="296" t="s">
        <v>108</v>
      </c>
      <c r="U39"/>
      <c r="V39"/>
      <c r="W39" s="109"/>
      <c r="X39" s="110"/>
      <c r="Y39" s="109"/>
      <c r="Z39" s="109"/>
      <c r="AA39" s="111"/>
      <c r="AB39"/>
      <c r="AC39" s="89"/>
      <c r="AD39" s="72"/>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52.5" customHeight="1">
      <c r="A40" s="75" t="s">
        <v>105</v>
      </c>
      <c r="B40" s="75"/>
      <c r="C40" s="113"/>
      <c r="D40" s="304"/>
      <c r="E40" s="297"/>
      <c r="F40" s="297"/>
      <c r="G40" s="297"/>
      <c r="H40" s="297" t="s">
        <v>64</v>
      </c>
      <c r="I40" s="297"/>
      <c r="J40" s="65" t="s">
        <v>65</v>
      </c>
      <c r="K40" s="66" t="s">
        <v>66</v>
      </c>
      <c r="L40" s="67" t="s">
        <v>67</v>
      </c>
      <c r="M40" s="297"/>
      <c r="N40" s="60" t="s">
        <v>152</v>
      </c>
      <c r="O40" s="60" t="s">
        <v>69</v>
      </c>
      <c r="P40" s="297"/>
      <c r="Q40" s="297"/>
      <c r="R40" s="297"/>
      <c r="S40" s="297"/>
      <c r="T40" s="296"/>
      <c r="U40"/>
      <c r="V40"/>
      <c r="W40" s="109"/>
      <c r="X40" s="110"/>
      <c r="Y40" s="109"/>
      <c r="Z40" s="109"/>
      <c r="AA40" s="111"/>
      <c r="AB40"/>
      <c r="AC40" s="89"/>
      <c r="AD40" s="72"/>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63.75" customHeight="1">
      <c r="A41" s="75" t="s">
        <v>153</v>
      </c>
      <c r="B41" s="75" t="s">
        <v>154</v>
      </c>
      <c r="C41" s="113" t="s">
        <v>155</v>
      </c>
      <c r="D41" s="76" t="s">
        <v>100</v>
      </c>
      <c r="E41" s="79" t="s">
        <v>156</v>
      </c>
      <c r="F41" s="133" t="s">
        <v>157</v>
      </c>
      <c r="G41" s="77" t="s">
        <v>158</v>
      </c>
      <c r="H41" s="306" t="s">
        <v>159</v>
      </c>
      <c r="I41" s="306"/>
      <c r="J41" s="134">
        <f>P41*6.84/10+Q41/10</f>
        <v>21720076.931999996</v>
      </c>
      <c r="K41" s="135">
        <f>P41*6.84/10/J41</f>
        <v>0.31970739577673241</v>
      </c>
      <c r="L41" s="135">
        <f>1-K41</f>
        <v>0.68029260422326754</v>
      </c>
      <c r="M41" s="136" t="s">
        <v>92</v>
      </c>
      <c r="N41" s="82">
        <v>41866</v>
      </c>
      <c r="O41" s="82">
        <v>42817</v>
      </c>
      <c r="P41" s="137">
        <f>9652148+500000</f>
        <v>10152148</v>
      </c>
      <c r="Q41" s="138">
        <f>124316477+10443600+13000000</f>
        <v>147760077</v>
      </c>
      <c r="R41" s="83" t="s">
        <v>160</v>
      </c>
      <c r="S41" s="77" t="s">
        <v>161</v>
      </c>
      <c r="T41" s="139" t="s">
        <v>162</v>
      </c>
      <c r="U41" s="140"/>
      <c r="V41" s="36"/>
      <c r="W41" s="86">
        <f t="shared" ref="W41:W54" si="9">J41</f>
        <v>21720076.931999996</v>
      </c>
      <c r="X41" s="87">
        <f t="shared" ref="X41:X54" si="10">K41</f>
        <v>0.31970739577673241</v>
      </c>
      <c r="Y41" s="86">
        <f t="shared" ref="Y41:Y54" si="11">W41*X41</f>
        <v>6944069.2319999989</v>
      </c>
      <c r="Z41" s="86">
        <v>2298771.4637659201</v>
      </c>
      <c r="AA41" s="88">
        <f>++IF(A41&lt;&gt;"x",Z41-Y41,0)</f>
        <v>-4645297.7682340788</v>
      </c>
      <c r="AB41"/>
      <c r="AC41" s="89">
        <v>27081688.399999999</v>
      </c>
      <c r="AD41" s="72">
        <v>0.27775816222743299</v>
      </c>
      <c r="AE41"/>
      <c r="AF41" s="36">
        <f t="shared" ref="AF41:AF54" si="12">J41</f>
        <v>21720076.931999996</v>
      </c>
      <c r="AG41" s="90">
        <f t="shared" ref="AG41:AG54" si="13">K41</f>
        <v>0.31970739577673241</v>
      </c>
      <c r="AH41" s="36">
        <f t="shared" ref="AH41:AH54" si="14">AF41*AG41</f>
        <v>6944069.2319999989</v>
      </c>
      <c r="AI41" s="90">
        <f t="shared" ref="AI41:AI54" si="15">L41</f>
        <v>0.68029260422326754</v>
      </c>
      <c r="AJ41" s="36">
        <f t="shared" ref="AJ41:AJ54" si="16">AF41*AI41</f>
        <v>14776007.699999997</v>
      </c>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43.5" customHeight="1">
      <c r="A42" s="75" t="s">
        <v>153</v>
      </c>
      <c r="B42" s="75" t="s">
        <v>154</v>
      </c>
      <c r="C42" s="113" t="s">
        <v>163</v>
      </c>
      <c r="D42" s="307" t="s">
        <v>100</v>
      </c>
      <c r="E42" s="306" t="s">
        <v>156</v>
      </c>
      <c r="F42" s="308" t="s">
        <v>164</v>
      </c>
      <c r="G42" s="306" t="s">
        <v>158</v>
      </c>
      <c r="H42" s="309" t="s">
        <v>165</v>
      </c>
      <c r="I42" s="309"/>
      <c r="J42" s="310">
        <f>P42+P43*11.36/10+Q42/10</f>
        <v>10956966.092</v>
      </c>
      <c r="K42" s="311">
        <f>(P42+P43*11.36/10)/J42</f>
        <v>0.8138043977803705</v>
      </c>
      <c r="L42" s="311">
        <f>1-K42</f>
        <v>0.1861956022196295</v>
      </c>
      <c r="M42" s="312" t="s">
        <v>92</v>
      </c>
      <c r="N42" s="313">
        <v>41823</v>
      </c>
      <c r="O42" s="314">
        <v>42903</v>
      </c>
      <c r="P42" s="114">
        <f>3833272+93139</f>
        <v>3926411</v>
      </c>
      <c r="Q42" s="315">
        <f>19761177+640212</f>
        <v>20401389</v>
      </c>
      <c r="R42" s="316" t="s">
        <v>166</v>
      </c>
      <c r="S42" s="306" t="s">
        <v>161</v>
      </c>
      <c r="T42" s="317" t="s">
        <v>167</v>
      </c>
      <c r="U42" s="140"/>
      <c r="V42" s="36"/>
      <c r="W42" s="86">
        <f t="shared" si="9"/>
        <v>10956966.092</v>
      </c>
      <c r="X42" s="87">
        <f t="shared" si="10"/>
        <v>0.8138043977803705</v>
      </c>
      <c r="Y42" s="86">
        <f t="shared" si="11"/>
        <v>8916827.1919999998</v>
      </c>
      <c r="Z42" s="86">
        <v>1552916.71544405</v>
      </c>
      <c r="AA42" s="88">
        <f>++IF(A42&lt;&gt;"x",Z42-Y42,0)</f>
        <v>-7363910.47655595</v>
      </c>
      <c r="AB42"/>
      <c r="AC42" s="89">
        <v>12010941.857142899</v>
      </c>
      <c r="AD42" s="72">
        <v>0.73038619678606598</v>
      </c>
      <c r="AE42"/>
      <c r="AF42" s="36">
        <f t="shared" si="12"/>
        <v>10956966.092</v>
      </c>
      <c r="AG42" s="90">
        <f t="shared" si="13"/>
        <v>0.8138043977803705</v>
      </c>
      <c r="AH42" s="36">
        <f t="shared" si="14"/>
        <v>8916827.1919999998</v>
      </c>
      <c r="AI42" s="90">
        <f t="shared" si="15"/>
        <v>0.1861956022196295</v>
      </c>
      <c r="AJ42" s="36">
        <f t="shared" si="16"/>
        <v>2040138.9000000004</v>
      </c>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42.75" customHeight="1">
      <c r="A43" s="75"/>
      <c r="B43" s="75"/>
      <c r="C43" s="113" t="s">
        <v>163</v>
      </c>
      <c r="D43" s="307"/>
      <c r="E43" s="306"/>
      <c r="F43" s="308"/>
      <c r="G43" s="306"/>
      <c r="H43" s="309"/>
      <c r="I43" s="309"/>
      <c r="J43" s="310"/>
      <c r="K43" s="311"/>
      <c r="L43" s="311"/>
      <c r="M43" s="312"/>
      <c r="N43" s="313"/>
      <c r="O43" s="314"/>
      <c r="P43" s="143">
        <f>4190477+202495</f>
        <v>4392972</v>
      </c>
      <c r="Q43" s="315"/>
      <c r="R43" s="316"/>
      <c r="S43" s="306"/>
      <c r="T43" s="317"/>
      <c r="U43" s="140"/>
      <c r="V43" s="36"/>
      <c r="W43" s="86">
        <f t="shared" si="9"/>
        <v>0</v>
      </c>
      <c r="X43" s="87">
        <f t="shared" si="10"/>
        <v>0</v>
      </c>
      <c r="Y43" s="86">
        <f t="shared" si="11"/>
        <v>0</v>
      </c>
      <c r="Z43" s="86"/>
      <c r="AA43" s="88"/>
      <c r="AB43"/>
      <c r="AC43" s="89"/>
      <c r="AD43" s="72"/>
      <c r="AE43"/>
      <c r="AF43" s="36">
        <f t="shared" si="12"/>
        <v>0</v>
      </c>
      <c r="AG43" s="90">
        <f t="shared" si="13"/>
        <v>0</v>
      </c>
      <c r="AH43" s="36">
        <f t="shared" si="14"/>
        <v>0</v>
      </c>
      <c r="AI43" s="90">
        <f t="shared" si="15"/>
        <v>0</v>
      </c>
      <c r="AJ43" s="36">
        <f t="shared" si="16"/>
        <v>0</v>
      </c>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76.5" customHeight="1">
      <c r="A44" s="75" t="s">
        <v>153</v>
      </c>
      <c r="B44" s="75" t="s">
        <v>154</v>
      </c>
      <c r="C44" s="113" t="s">
        <v>168</v>
      </c>
      <c r="D44" s="144" t="s">
        <v>100</v>
      </c>
      <c r="E44" s="79" t="s">
        <v>156</v>
      </c>
      <c r="F44" s="78" t="s">
        <v>169</v>
      </c>
      <c r="G44" s="77" t="s">
        <v>158</v>
      </c>
      <c r="H44" s="309" t="s">
        <v>170</v>
      </c>
      <c r="I44" s="309"/>
      <c r="J44" s="80">
        <v>93160709.099999994</v>
      </c>
      <c r="K44" s="145">
        <v>0.6</v>
      </c>
      <c r="L44" s="145">
        <f>1-K44</f>
        <v>0.4</v>
      </c>
      <c r="M44" s="81" t="s">
        <v>92</v>
      </c>
      <c r="N44" s="142">
        <v>42993</v>
      </c>
      <c r="O44" s="82">
        <v>43271</v>
      </c>
      <c r="P44" s="83"/>
      <c r="Q44" s="83"/>
      <c r="R44" s="83"/>
      <c r="S44" s="146" t="s">
        <v>171</v>
      </c>
      <c r="T44" s="147" t="s">
        <v>172</v>
      </c>
      <c r="U44" s="148"/>
      <c r="V44" s="36"/>
      <c r="W44" s="86">
        <f t="shared" si="9"/>
        <v>93160709.099999994</v>
      </c>
      <c r="X44" s="87">
        <f t="shared" si="10"/>
        <v>0.6</v>
      </c>
      <c r="Y44" s="86">
        <f t="shared" si="11"/>
        <v>55896425.459999993</v>
      </c>
      <c r="Z44" s="86">
        <v>6660427.7465181602</v>
      </c>
      <c r="AA44" s="88">
        <f t="shared" ref="AA44:AA54" si="17">++IF(A44&lt;&gt;"x",Z44-Y44,0)</f>
        <v>-49235997.713481836</v>
      </c>
      <c r="AB44"/>
      <c r="AC44" s="89">
        <v>28397864.460000001</v>
      </c>
      <c r="AD44" s="72">
        <v>6.4086043250309893E-2</v>
      </c>
      <c r="AE44"/>
      <c r="AF44" s="36">
        <f t="shared" si="12"/>
        <v>93160709.099999994</v>
      </c>
      <c r="AG44" s="90">
        <f t="shared" si="13"/>
        <v>0.6</v>
      </c>
      <c r="AH44" s="36">
        <f t="shared" si="14"/>
        <v>55896425.459999993</v>
      </c>
      <c r="AI44" s="90">
        <f t="shared" si="15"/>
        <v>0.4</v>
      </c>
      <c r="AJ44" s="36">
        <f t="shared" si="16"/>
        <v>37264283.640000001</v>
      </c>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64.5" customHeight="1">
      <c r="A45" s="75" t="s">
        <v>153</v>
      </c>
      <c r="B45" s="75" t="s">
        <v>154</v>
      </c>
      <c r="C45" s="113" t="s">
        <v>173</v>
      </c>
      <c r="D45" s="144" t="s">
        <v>174</v>
      </c>
      <c r="E45" s="79" t="s">
        <v>156</v>
      </c>
      <c r="F45" s="124" t="s">
        <v>175</v>
      </c>
      <c r="G45" s="77" t="s">
        <v>176</v>
      </c>
      <c r="H45" s="309" t="s">
        <v>177</v>
      </c>
      <c r="I45" s="309"/>
      <c r="J45" s="80">
        <f>Q45/6.3</f>
        <v>43431.746031746035</v>
      </c>
      <c r="K45" s="81">
        <v>0</v>
      </c>
      <c r="L45" s="81">
        <v>1</v>
      </c>
      <c r="M45" s="286" t="s">
        <v>124</v>
      </c>
      <c r="N45" s="149">
        <v>42075</v>
      </c>
      <c r="O45" s="122">
        <v>42153</v>
      </c>
      <c r="P45" s="150"/>
      <c r="Q45" s="150">
        <v>273620</v>
      </c>
      <c r="R45" s="115" t="s">
        <v>178</v>
      </c>
      <c r="S45" s="77" t="s">
        <v>129</v>
      </c>
      <c r="T45" s="147" t="s">
        <v>179</v>
      </c>
      <c r="U45"/>
      <c r="V45" s="36"/>
      <c r="W45" s="86">
        <f t="shared" si="9"/>
        <v>43431.746031746035</v>
      </c>
      <c r="X45" s="87">
        <f t="shared" si="10"/>
        <v>0</v>
      </c>
      <c r="Y45" s="86">
        <f t="shared" si="11"/>
        <v>0</v>
      </c>
      <c r="Z45" s="86">
        <v>42857.142857142899</v>
      </c>
      <c r="AA45" s="88">
        <f t="shared" si="17"/>
        <v>42857.142857142899</v>
      </c>
      <c r="AB45"/>
      <c r="AC45" s="89">
        <v>42857.142857142899</v>
      </c>
      <c r="AD45" s="72">
        <v>1</v>
      </c>
      <c r="AE45"/>
      <c r="AF45" s="36">
        <f t="shared" si="12"/>
        <v>43431.746031746035</v>
      </c>
      <c r="AG45" s="90">
        <f t="shared" si="13"/>
        <v>0</v>
      </c>
      <c r="AH45" s="36">
        <f t="shared" si="14"/>
        <v>0</v>
      </c>
      <c r="AI45" s="90">
        <f t="shared" si="15"/>
        <v>1</v>
      </c>
      <c r="AJ45" s="36">
        <f t="shared" si="16"/>
        <v>43431.746031746035</v>
      </c>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63.75" customHeight="1" outlineLevel="1">
      <c r="A46" s="75" t="s">
        <v>153</v>
      </c>
      <c r="B46" s="75" t="s">
        <v>154</v>
      </c>
      <c r="C46" s="113" t="s">
        <v>180</v>
      </c>
      <c r="D46" s="144" t="s">
        <v>100</v>
      </c>
      <c r="E46" s="79" t="s">
        <v>156</v>
      </c>
      <c r="F46" s="124" t="s">
        <v>181</v>
      </c>
      <c r="G46" s="77" t="s">
        <v>176</v>
      </c>
      <c r="H46" s="309" t="s">
        <v>177</v>
      </c>
      <c r="I46" s="309"/>
      <c r="J46" s="80">
        <f>Q46/10</f>
        <v>101589.512</v>
      </c>
      <c r="K46" s="81">
        <v>0</v>
      </c>
      <c r="L46" s="145">
        <f t="shared" ref="L46:L54" si="18">1-K46</f>
        <v>1</v>
      </c>
      <c r="M46" s="286" t="s">
        <v>124</v>
      </c>
      <c r="N46" s="149">
        <v>42348</v>
      </c>
      <c r="O46" s="122">
        <v>42429</v>
      </c>
      <c r="P46" s="123"/>
      <c r="Q46" s="150">
        <v>1015895.12</v>
      </c>
      <c r="R46" s="115" t="s">
        <v>182</v>
      </c>
      <c r="S46" s="77" t="s">
        <v>129</v>
      </c>
      <c r="T46" s="147" t="s">
        <v>183</v>
      </c>
      <c r="U46"/>
      <c r="V46" s="36"/>
      <c r="W46" s="86">
        <f t="shared" si="9"/>
        <v>101589.512</v>
      </c>
      <c r="X46" s="87">
        <f t="shared" si="10"/>
        <v>0</v>
      </c>
      <c r="Y46" s="86">
        <f t="shared" si="11"/>
        <v>0</v>
      </c>
      <c r="Z46" s="86">
        <v>42857.142857142899</v>
      </c>
      <c r="AA46" s="88">
        <f t="shared" si="17"/>
        <v>42857.142857142899</v>
      </c>
      <c r="AB46"/>
      <c r="AC46" s="89">
        <v>42857.142857142899</v>
      </c>
      <c r="AD46" s="72">
        <v>1</v>
      </c>
      <c r="AE46"/>
      <c r="AF46" s="36">
        <f t="shared" si="12"/>
        <v>101589.512</v>
      </c>
      <c r="AG46" s="90">
        <f t="shared" si="13"/>
        <v>0</v>
      </c>
      <c r="AH46" s="36">
        <f t="shared" si="14"/>
        <v>0</v>
      </c>
      <c r="AI46" s="90">
        <f t="shared" si="15"/>
        <v>1</v>
      </c>
      <c r="AJ46" s="36">
        <f t="shared" si="16"/>
        <v>101589.512</v>
      </c>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63.75" customHeight="1" outlineLevel="1">
      <c r="A47" s="75" t="s">
        <v>153</v>
      </c>
      <c r="B47" s="75" t="s">
        <v>154</v>
      </c>
      <c r="C47" s="113" t="s">
        <v>184</v>
      </c>
      <c r="D47" s="144" t="s">
        <v>100</v>
      </c>
      <c r="E47" s="79" t="s">
        <v>156</v>
      </c>
      <c r="F47" s="124" t="s">
        <v>185</v>
      </c>
      <c r="G47" s="77" t="s">
        <v>176</v>
      </c>
      <c r="H47" s="306" t="s">
        <v>91</v>
      </c>
      <c r="I47" s="306"/>
      <c r="J47" s="151">
        <f>Q47/10</f>
        <v>622205.19999999995</v>
      </c>
      <c r="K47" s="152">
        <v>0</v>
      </c>
      <c r="L47" s="145">
        <f t="shared" si="18"/>
        <v>1</v>
      </c>
      <c r="M47" s="286" t="s">
        <v>124</v>
      </c>
      <c r="N47" s="153">
        <v>42614</v>
      </c>
      <c r="O47" s="153">
        <v>42767</v>
      </c>
      <c r="P47" s="123"/>
      <c r="Q47" s="150">
        <v>6222052</v>
      </c>
      <c r="R47" s="115" t="s">
        <v>182</v>
      </c>
      <c r="S47" s="77" t="s">
        <v>129</v>
      </c>
      <c r="T47" s="154" t="s">
        <v>186</v>
      </c>
      <c r="U47"/>
      <c r="V47" s="36"/>
      <c r="W47" s="86">
        <f t="shared" si="9"/>
        <v>622205.19999999995</v>
      </c>
      <c r="X47" s="87">
        <f t="shared" si="10"/>
        <v>0</v>
      </c>
      <c r="Y47" s="86">
        <f t="shared" si="11"/>
        <v>0</v>
      </c>
      <c r="Z47" s="86">
        <v>42857.142857142899</v>
      </c>
      <c r="AA47" s="88">
        <f t="shared" si="17"/>
        <v>42857.142857142899</v>
      </c>
      <c r="AB47"/>
      <c r="AC47" s="89">
        <v>42857.142857142899</v>
      </c>
      <c r="AD47" s="72">
        <v>1</v>
      </c>
      <c r="AE47"/>
      <c r="AF47" s="36">
        <f t="shared" si="12"/>
        <v>622205.19999999995</v>
      </c>
      <c r="AG47" s="90">
        <f t="shared" si="13"/>
        <v>0</v>
      </c>
      <c r="AH47" s="36">
        <f t="shared" si="14"/>
        <v>0</v>
      </c>
      <c r="AI47" s="90">
        <f t="shared" si="15"/>
        <v>1</v>
      </c>
      <c r="AJ47" s="36">
        <f t="shared" si="16"/>
        <v>622205.19999999995</v>
      </c>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75.75" customHeight="1" outlineLevel="1">
      <c r="A48" s="75" t="s">
        <v>153</v>
      </c>
      <c r="B48" s="75" t="s">
        <v>154</v>
      </c>
      <c r="C48" s="113" t="s">
        <v>187</v>
      </c>
      <c r="D48" s="144" t="s">
        <v>100</v>
      </c>
      <c r="E48" s="79" t="s">
        <v>156</v>
      </c>
      <c r="F48" s="124" t="s">
        <v>188</v>
      </c>
      <c r="G48" s="127" t="s">
        <v>189</v>
      </c>
      <c r="H48" s="306" t="s">
        <v>91</v>
      </c>
      <c r="I48" s="306"/>
      <c r="J48" s="80">
        <f>50000000/10</f>
        <v>5000000</v>
      </c>
      <c r="K48" s="81">
        <v>0</v>
      </c>
      <c r="L48" s="145">
        <f t="shared" si="18"/>
        <v>1</v>
      </c>
      <c r="M48" s="286" t="s">
        <v>124</v>
      </c>
      <c r="N48" s="153">
        <v>43040</v>
      </c>
      <c r="O48" s="153">
        <v>43132</v>
      </c>
      <c r="P48" s="123"/>
      <c r="Q48" s="123"/>
      <c r="R48" s="123"/>
      <c r="S48" s="146" t="s">
        <v>190</v>
      </c>
      <c r="T48" s="154" t="s">
        <v>191</v>
      </c>
      <c r="U48"/>
      <c r="V48" s="36"/>
      <c r="W48" s="86">
        <f t="shared" si="9"/>
        <v>5000000</v>
      </c>
      <c r="X48" s="87">
        <f t="shared" si="10"/>
        <v>0</v>
      </c>
      <c r="Y48" s="86">
        <f t="shared" si="11"/>
        <v>0</v>
      </c>
      <c r="Z48" s="86">
        <v>42857.142857142899</v>
      </c>
      <c r="AA48" s="88">
        <f t="shared" si="17"/>
        <v>42857.142857142899</v>
      </c>
      <c r="AB48"/>
      <c r="AC48" s="89">
        <v>42857.142857142899</v>
      </c>
      <c r="AD48" s="72">
        <v>1</v>
      </c>
      <c r="AE48"/>
      <c r="AF48" s="36">
        <f t="shared" si="12"/>
        <v>5000000</v>
      </c>
      <c r="AG48" s="90">
        <f t="shared" si="13"/>
        <v>0</v>
      </c>
      <c r="AH48" s="36">
        <f t="shared" si="14"/>
        <v>0</v>
      </c>
      <c r="AI48" s="90">
        <f t="shared" si="15"/>
        <v>1</v>
      </c>
      <c r="AJ48" s="36">
        <f t="shared" si="16"/>
        <v>5000000</v>
      </c>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75" customHeight="1" outlineLevel="1">
      <c r="A49" s="75" t="s">
        <v>153</v>
      </c>
      <c r="B49" s="75" t="s">
        <v>154</v>
      </c>
      <c r="C49" s="113" t="s">
        <v>192</v>
      </c>
      <c r="D49" s="144" t="s">
        <v>100</v>
      </c>
      <c r="E49" s="79" t="s">
        <v>156</v>
      </c>
      <c r="F49" s="124" t="s">
        <v>193</v>
      </c>
      <c r="G49" s="127" t="s">
        <v>189</v>
      </c>
      <c r="H49" s="306" t="s">
        <v>91</v>
      </c>
      <c r="I49" s="306"/>
      <c r="J49" s="80">
        <f>+AC49</f>
        <v>42857.142857142899</v>
      </c>
      <c r="K49" s="81">
        <v>0</v>
      </c>
      <c r="L49" s="145">
        <f t="shared" si="18"/>
        <v>1</v>
      </c>
      <c r="M49" s="286" t="s">
        <v>124</v>
      </c>
      <c r="N49" s="153">
        <v>43405</v>
      </c>
      <c r="O49" s="153">
        <v>43497</v>
      </c>
      <c r="P49" s="123"/>
      <c r="Q49" s="123"/>
      <c r="R49" s="123"/>
      <c r="S49" s="146" t="s">
        <v>190</v>
      </c>
      <c r="T49" s="154" t="s">
        <v>194</v>
      </c>
      <c r="U49"/>
      <c r="V49" s="36"/>
      <c r="W49" s="86">
        <f t="shared" si="9"/>
        <v>42857.142857142899</v>
      </c>
      <c r="X49" s="87">
        <f t="shared" si="10"/>
        <v>0</v>
      </c>
      <c r="Y49" s="86">
        <f t="shared" si="11"/>
        <v>0</v>
      </c>
      <c r="Z49" s="86">
        <v>42857.142857142899</v>
      </c>
      <c r="AA49" s="88">
        <f t="shared" si="17"/>
        <v>42857.142857142899</v>
      </c>
      <c r="AB49"/>
      <c r="AC49" s="89">
        <v>42857.142857142899</v>
      </c>
      <c r="AD49" s="72">
        <v>1</v>
      </c>
      <c r="AE49"/>
      <c r="AF49" s="36">
        <f t="shared" si="12"/>
        <v>42857.142857142899</v>
      </c>
      <c r="AG49" s="90">
        <f t="shared" si="13"/>
        <v>0</v>
      </c>
      <c r="AH49" s="36">
        <f t="shared" si="14"/>
        <v>0</v>
      </c>
      <c r="AI49" s="90">
        <f t="shared" si="15"/>
        <v>1</v>
      </c>
      <c r="AJ49" s="36">
        <f t="shared" si="16"/>
        <v>42857.142857142899</v>
      </c>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ht="72.75" customHeight="1" outlineLevel="1">
      <c r="A50" s="75" t="s">
        <v>153</v>
      </c>
      <c r="B50" s="75" t="s">
        <v>154</v>
      </c>
      <c r="C50" s="113" t="s">
        <v>195</v>
      </c>
      <c r="D50" s="144" t="s">
        <v>100</v>
      </c>
      <c r="E50" s="79" t="s">
        <v>156</v>
      </c>
      <c r="F50" s="124" t="s">
        <v>196</v>
      </c>
      <c r="G50" s="127" t="s">
        <v>189</v>
      </c>
      <c r="H50" s="306" t="s">
        <v>91</v>
      </c>
      <c r="I50" s="306"/>
      <c r="J50" s="80">
        <f>+AC50</f>
        <v>42857.142857142899</v>
      </c>
      <c r="K50" s="81">
        <v>0</v>
      </c>
      <c r="L50" s="145">
        <f t="shared" si="18"/>
        <v>1</v>
      </c>
      <c r="M50" s="286" t="s">
        <v>124</v>
      </c>
      <c r="N50" s="153">
        <v>43770</v>
      </c>
      <c r="O50" s="153">
        <v>43862</v>
      </c>
      <c r="P50" s="123"/>
      <c r="Q50" s="123"/>
      <c r="R50" s="123"/>
      <c r="S50" s="146" t="s">
        <v>190</v>
      </c>
      <c r="T50" s="154" t="s">
        <v>194</v>
      </c>
      <c r="U50"/>
      <c r="V50" s="36"/>
      <c r="W50" s="86">
        <f t="shared" si="9"/>
        <v>42857.142857142899</v>
      </c>
      <c r="X50" s="87">
        <f t="shared" si="10"/>
        <v>0</v>
      </c>
      <c r="Y50" s="86">
        <f t="shared" si="11"/>
        <v>0</v>
      </c>
      <c r="Z50" s="86">
        <v>42857.142857142899</v>
      </c>
      <c r="AA50" s="88">
        <f t="shared" si="17"/>
        <v>42857.142857142899</v>
      </c>
      <c r="AB50"/>
      <c r="AC50" s="89">
        <v>42857.142857142899</v>
      </c>
      <c r="AD50" s="72">
        <v>1</v>
      </c>
      <c r="AE50"/>
      <c r="AF50" s="36">
        <f t="shared" si="12"/>
        <v>42857.142857142899</v>
      </c>
      <c r="AG50" s="90">
        <f t="shared" si="13"/>
        <v>0</v>
      </c>
      <c r="AH50" s="36">
        <f t="shared" si="14"/>
        <v>0</v>
      </c>
      <c r="AI50" s="90">
        <f t="shared" si="15"/>
        <v>1</v>
      </c>
      <c r="AJ50" s="36">
        <f t="shared" si="16"/>
        <v>42857.142857142899</v>
      </c>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c r="SG50"/>
      <c r="SH50"/>
      <c r="SI50"/>
      <c r="SJ50"/>
      <c r="SK50"/>
      <c r="SL50"/>
      <c r="SM50"/>
      <c r="SN50"/>
      <c r="SO50"/>
      <c r="SP50"/>
      <c r="SQ50"/>
      <c r="SR50"/>
      <c r="SS50"/>
      <c r="ST50"/>
      <c r="SU50"/>
      <c r="SV50"/>
      <c r="SW50"/>
      <c r="SX50"/>
      <c r="SY50"/>
      <c r="SZ50"/>
      <c r="TA50"/>
      <c r="TB50"/>
      <c r="TC50"/>
      <c r="TD50"/>
      <c r="TE50"/>
      <c r="TF50"/>
      <c r="TG50"/>
      <c r="TH50"/>
      <c r="TI50"/>
      <c r="TJ50"/>
      <c r="TK50"/>
      <c r="TL50"/>
      <c r="TM50"/>
      <c r="TN50"/>
      <c r="TO50"/>
      <c r="TP50"/>
      <c r="TQ50"/>
      <c r="TR50"/>
      <c r="TS50"/>
      <c r="TT50"/>
      <c r="TU50"/>
      <c r="TV50"/>
      <c r="TW50"/>
      <c r="TX50"/>
      <c r="TY50"/>
      <c r="TZ50"/>
      <c r="UA50"/>
      <c r="UB50"/>
      <c r="UC50"/>
      <c r="UD50"/>
      <c r="UE50"/>
      <c r="UF50"/>
      <c r="UG50"/>
      <c r="UH50"/>
      <c r="UI50"/>
      <c r="UJ50"/>
      <c r="UK50"/>
      <c r="UL50"/>
      <c r="UM50"/>
      <c r="UN50"/>
      <c r="UO50"/>
      <c r="UP50"/>
      <c r="UQ50"/>
      <c r="UR50"/>
      <c r="US50"/>
      <c r="UT50"/>
      <c r="UU50"/>
      <c r="UV50"/>
      <c r="UW50"/>
      <c r="UX50"/>
      <c r="UY50"/>
      <c r="UZ50"/>
      <c r="VA50"/>
      <c r="VB50"/>
      <c r="VC50"/>
      <c r="VD50"/>
      <c r="VE50"/>
      <c r="VF50"/>
      <c r="VG50"/>
      <c r="VH50"/>
      <c r="VI50"/>
      <c r="VJ50"/>
      <c r="VK50"/>
      <c r="VL50"/>
      <c r="VM50"/>
      <c r="VN50"/>
      <c r="VO50"/>
      <c r="VP50"/>
      <c r="VQ50"/>
      <c r="VR50"/>
      <c r="VS50"/>
      <c r="VT50"/>
      <c r="VU50"/>
      <c r="VV50"/>
      <c r="VW50"/>
      <c r="VX50"/>
      <c r="VY50"/>
      <c r="VZ50"/>
      <c r="WA50"/>
      <c r="WB50"/>
      <c r="WC50"/>
      <c r="WD50"/>
      <c r="WE50"/>
      <c r="WF50"/>
      <c r="WG50"/>
      <c r="WH50"/>
      <c r="WI50"/>
      <c r="WJ50"/>
      <c r="WK50"/>
      <c r="WL50"/>
      <c r="WM50"/>
      <c r="WN50"/>
      <c r="WO50"/>
      <c r="WP50"/>
      <c r="WQ50"/>
      <c r="WR50"/>
      <c r="WS50"/>
      <c r="WT50"/>
      <c r="WU50"/>
      <c r="WV50"/>
      <c r="WW50"/>
      <c r="WX50"/>
      <c r="WY50"/>
      <c r="WZ50"/>
      <c r="XA50"/>
      <c r="XB50"/>
      <c r="XC50"/>
      <c r="XD50"/>
      <c r="XE50"/>
      <c r="XF50"/>
      <c r="XG50"/>
      <c r="XH50"/>
      <c r="XI50"/>
      <c r="XJ50"/>
      <c r="XK50"/>
      <c r="XL50"/>
      <c r="XM50"/>
      <c r="XN50"/>
      <c r="XO50"/>
      <c r="XP50"/>
      <c r="XQ50"/>
      <c r="XR50"/>
      <c r="XS50"/>
      <c r="XT50"/>
      <c r="XU50"/>
      <c r="XV50"/>
      <c r="XW50"/>
      <c r="XX50"/>
      <c r="XY50"/>
      <c r="XZ50"/>
      <c r="YA50"/>
      <c r="YB50"/>
      <c r="YC50"/>
      <c r="YD50"/>
      <c r="YE50"/>
      <c r="YF50"/>
      <c r="YG50"/>
      <c r="YH50"/>
      <c r="YI50"/>
      <c r="YJ50"/>
      <c r="YK50"/>
      <c r="YL50"/>
      <c r="YM50"/>
      <c r="YN50"/>
      <c r="YO50"/>
      <c r="YP50"/>
      <c r="YQ50"/>
      <c r="YR50"/>
      <c r="YS50"/>
      <c r="YT50"/>
      <c r="YU50"/>
      <c r="YV50"/>
      <c r="YW50"/>
      <c r="YX50"/>
      <c r="YY50"/>
      <c r="YZ50"/>
      <c r="ZA50"/>
      <c r="ZB50"/>
      <c r="ZC50"/>
      <c r="ZD50"/>
      <c r="ZE50"/>
      <c r="ZF50"/>
      <c r="ZG50"/>
      <c r="ZH50"/>
      <c r="ZI50"/>
      <c r="ZJ50"/>
      <c r="ZK50"/>
      <c r="ZL50"/>
      <c r="ZM50"/>
      <c r="ZN50"/>
      <c r="ZO50"/>
      <c r="ZP50"/>
      <c r="ZQ50"/>
      <c r="ZR50"/>
      <c r="ZS50"/>
      <c r="ZT50"/>
      <c r="ZU50"/>
      <c r="ZV50"/>
      <c r="ZW50"/>
      <c r="ZX50"/>
      <c r="ZY50"/>
      <c r="ZZ50"/>
      <c r="AAA50"/>
      <c r="AAB50"/>
      <c r="AAC50"/>
      <c r="AAD50"/>
      <c r="AAE50"/>
      <c r="AAF50"/>
      <c r="AAG50"/>
      <c r="AAH50"/>
      <c r="AAI50"/>
      <c r="AAJ50"/>
      <c r="AAK50"/>
      <c r="AAL50"/>
      <c r="AAM50"/>
      <c r="AAN50"/>
      <c r="AAO50"/>
      <c r="AAP50"/>
      <c r="AAQ50"/>
      <c r="AAR50"/>
      <c r="AAS50"/>
      <c r="AAT50"/>
      <c r="AAU50"/>
      <c r="AAV50"/>
      <c r="AAW50"/>
      <c r="AAX50"/>
      <c r="AAY50"/>
      <c r="AAZ50"/>
      <c r="ABA50"/>
      <c r="ABB50"/>
      <c r="ABC50"/>
      <c r="ABD50"/>
      <c r="ABE50"/>
      <c r="ABF50"/>
      <c r="ABG50"/>
      <c r="ABH50"/>
      <c r="ABI50"/>
      <c r="ABJ50"/>
      <c r="ABK50"/>
      <c r="ABL50"/>
      <c r="ABM50"/>
      <c r="ABN50"/>
      <c r="ABO50"/>
      <c r="ABP50"/>
      <c r="ABQ50"/>
      <c r="ABR50"/>
      <c r="ABS50"/>
      <c r="ABT50"/>
      <c r="ABU50"/>
      <c r="ABV50"/>
      <c r="ABW50"/>
      <c r="ABX50"/>
      <c r="ABY50"/>
      <c r="ABZ50"/>
      <c r="ACA50"/>
      <c r="ACB50"/>
      <c r="ACC50"/>
      <c r="ACD50"/>
      <c r="ACE50"/>
      <c r="ACF50"/>
      <c r="ACG50"/>
      <c r="ACH50"/>
      <c r="ACI50"/>
      <c r="ACJ50"/>
      <c r="ACK50"/>
      <c r="ACL50"/>
      <c r="ACM50"/>
      <c r="ACN50"/>
      <c r="ACO50"/>
      <c r="ACP50"/>
      <c r="ACQ50"/>
      <c r="ACR50"/>
      <c r="ACS50"/>
      <c r="ACT50"/>
      <c r="ACU50"/>
      <c r="ACV50"/>
      <c r="ACW50"/>
      <c r="ACX50"/>
      <c r="ACY50"/>
      <c r="ACZ50"/>
      <c r="ADA50"/>
      <c r="ADB50"/>
      <c r="ADC50"/>
      <c r="ADD50"/>
      <c r="ADE50"/>
      <c r="ADF50"/>
      <c r="ADG50"/>
      <c r="ADH50"/>
      <c r="ADI50"/>
      <c r="ADJ50"/>
      <c r="ADK50"/>
      <c r="ADL50"/>
      <c r="ADM50"/>
      <c r="ADN50"/>
      <c r="ADO50"/>
      <c r="ADP50"/>
      <c r="ADQ50"/>
      <c r="ADR50"/>
      <c r="ADS50"/>
      <c r="ADT50"/>
      <c r="ADU50"/>
      <c r="ADV50"/>
      <c r="ADW50"/>
      <c r="ADX50"/>
      <c r="ADY50"/>
      <c r="ADZ50"/>
      <c r="AEA50"/>
      <c r="AEB50"/>
      <c r="AEC50"/>
      <c r="AED50"/>
      <c r="AEE50"/>
      <c r="AEF50"/>
      <c r="AEG50"/>
      <c r="AEH50"/>
      <c r="AEI50"/>
      <c r="AEJ50"/>
      <c r="AEK50"/>
      <c r="AEL50"/>
      <c r="AEM50"/>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ht="63.75" customHeight="1" outlineLevel="1">
      <c r="A51" s="75" t="s">
        <v>153</v>
      </c>
      <c r="B51" s="75" t="s">
        <v>154</v>
      </c>
      <c r="C51" s="113" t="s">
        <v>197</v>
      </c>
      <c r="D51" s="144" t="s">
        <v>100</v>
      </c>
      <c r="E51" s="79" t="s">
        <v>156</v>
      </c>
      <c r="F51" s="124" t="s">
        <v>198</v>
      </c>
      <c r="G51" s="127" t="s">
        <v>189</v>
      </c>
      <c r="H51" s="306" t="s">
        <v>91</v>
      </c>
      <c r="I51" s="306"/>
      <c r="J51" s="80">
        <f>+AC51</f>
        <v>42857.142857142899</v>
      </c>
      <c r="K51" s="81">
        <v>0</v>
      </c>
      <c r="L51" s="145">
        <f t="shared" si="18"/>
        <v>1</v>
      </c>
      <c r="M51" s="286" t="s">
        <v>124</v>
      </c>
      <c r="N51" s="153">
        <v>44136</v>
      </c>
      <c r="O51" s="153">
        <v>44228</v>
      </c>
      <c r="P51" s="123"/>
      <c r="Q51" s="123"/>
      <c r="R51" s="123"/>
      <c r="S51" s="146" t="s">
        <v>190</v>
      </c>
      <c r="T51" s="154" t="s">
        <v>194</v>
      </c>
      <c r="U51"/>
      <c r="V51" s="36"/>
      <c r="W51" s="86">
        <f t="shared" si="9"/>
        <v>42857.142857142899</v>
      </c>
      <c r="X51" s="87">
        <f t="shared" si="10"/>
        <v>0</v>
      </c>
      <c r="Y51" s="86">
        <f t="shared" si="11"/>
        <v>0</v>
      </c>
      <c r="Z51" s="86">
        <v>42857.142857142899</v>
      </c>
      <c r="AA51" s="88">
        <f t="shared" si="17"/>
        <v>42857.142857142899</v>
      </c>
      <c r="AB51"/>
      <c r="AC51" s="89">
        <v>42857.142857142899</v>
      </c>
      <c r="AD51" s="72">
        <v>1</v>
      </c>
      <c r="AE51"/>
      <c r="AF51" s="36">
        <f t="shared" si="12"/>
        <v>42857.142857142899</v>
      </c>
      <c r="AG51" s="90">
        <f t="shared" si="13"/>
        <v>0</v>
      </c>
      <c r="AH51" s="36">
        <f t="shared" si="14"/>
        <v>0</v>
      </c>
      <c r="AI51" s="90">
        <f t="shared" si="15"/>
        <v>1</v>
      </c>
      <c r="AJ51" s="36">
        <f t="shared" si="16"/>
        <v>42857.142857142899</v>
      </c>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120.75" customHeight="1">
      <c r="A52" s="75" t="s">
        <v>85</v>
      </c>
      <c r="B52" s="75" t="s">
        <v>154</v>
      </c>
      <c r="C52" s="113" t="s">
        <v>199</v>
      </c>
      <c r="D52" s="76" t="s">
        <v>96</v>
      </c>
      <c r="E52" s="79" t="s">
        <v>88</v>
      </c>
      <c r="F52" s="78" t="s">
        <v>200</v>
      </c>
      <c r="G52" s="79" t="s">
        <v>158</v>
      </c>
      <c r="H52" s="306" t="s">
        <v>201</v>
      </c>
      <c r="I52" s="306"/>
      <c r="J52" s="80">
        <f>+AC52</f>
        <v>476336.60190476198</v>
      </c>
      <c r="K52" s="155">
        <f>+AD52</f>
        <v>0.878177822840572</v>
      </c>
      <c r="L52" s="81">
        <f t="shared" si="18"/>
        <v>0.121822177159428</v>
      </c>
      <c r="M52" s="81" t="s">
        <v>92</v>
      </c>
      <c r="N52" s="82">
        <v>41575</v>
      </c>
      <c r="O52" s="82">
        <v>42153</v>
      </c>
      <c r="P52" s="114">
        <v>418308.24</v>
      </c>
      <c r="Q52" s="117">
        <v>365578.68</v>
      </c>
      <c r="R52" s="115" t="s">
        <v>202</v>
      </c>
      <c r="S52" s="79" t="s">
        <v>171</v>
      </c>
      <c r="T52" s="91" t="s">
        <v>203</v>
      </c>
      <c r="U52"/>
      <c r="V52" s="36"/>
      <c r="W52" s="86">
        <f t="shared" si="9"/>
        <v>476336.60190476198</v>
      </c>
      <c r="X52" s="87">
        <f t="shared" si="10"/>
        <v>0.878177822840572</v>
      </c>
      <c r="Y52" s="86">
        <f t="shared" si="11"/>
        <v>418308.24000000011</v>
      </c>
      <c r="Z52" s="86">
        <v>335526.01</v>
      </c>
      <c r="AA52" s="88">
        <f t="shared" si="17"/>
        <v>-82782.230000000098</v>
      </c>
      <c r="AB52"/>
      <c r="AC52" s="89">
        <v>476336.60190476198</v>
      </c>
      <c r="AD52" s="72">
        <v>0.878177822840572</v>
      </c>
      <c r="AE52"/>
      <c r="AF52" s="36">
        <f t="shared" si="12"/>
        <v>476336.60190476198</v>
      </c>
      <c r="AG52" s="90">
        <f t="shared" si="13"/>
        <v>0.878177822840572</v>
      </c>
      <c r="AH52" s="36">
        <f t="shared" si="14"/>
        <v>418308.24000000011</v>
      </c>
      <c r="AI52" s="90">
        <f t="shared" si="15"/>
        <v>0.121822177159428</v>
      </c>
      <c r="AJ52" s="36">
        <f t="shared" si="16"/>
        <v>58028.361904761841</v>
      </c>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186.75" customHeight="1">
      <c r="A53" s="75" t="s">
        <v>85</v>
      </c>
      <c r="B53" s="75" t="s">
        <v>154</v>
      </c>
      <c r="C53" s="113" t="s">
        <v>204</v>
      </c>
      <c r="D53" s="41" t="s">
        <v>100</v>
      </c>
      <c r="E53" s="156" t="s">
        <v>88</v>
      </c>
      <c r="F53" s="157" t="s">
        <v>205</v>
      </c>
      <c r="G53" s="127" t="s">
        <v>189</v>
      </c>
      <c r="H53" s="322" t="s">
        <v>91</v>
      </c>
      <c r="I53" s="322"/>
      <c r="J53" s="158">
        <v>50000</v>
      </c>
      <c r="K53" s="159">
        <v>0</v>
      </c>
      <c r="L53" s="160">
        <f t="shared" si="18"/>
        <v>1</v>
      </c>
      <c r="M53" s="161" t="s">
        <v>124</v>
      </c>
      <c r="N53" s="162">
        <v>43313</v>
      </c>
      <c r="O53" s="162">
        <v>43586</v>
      </c>
      <c r="P53" s="163"/>
      <c r="Q53" s="163"/>
      <c r="R53" s="163"/>
      <c r="S53" s="156" t="s">
        <v>171</v>
      </c>
      <c r="T53" s="42" t="s">
        <v>206</v>
      </c>
      <c r="U53"/>
      <c r="V53" s="36"/>
      <c r="W53" s="86">
        <f t="shared" si="9"/>
        <v>50000</v>
      </c>
      <c r="X53" s="87">
        <f t="shared" si="10"/>
        <v>0</v>
      </c>
      <c r="Y53" s="86">
        <f t="shared" si="11"/>
        <v>0</v>
      </c>
      <c r="Z53" s="86">
        <v>167763</v>
      </c>
      <c r="AA53" s="88">
        <f t="shared" si="17"/>
        <v>167763</v>
      </c>
      <c r="AB53"/>
      <c r="AC53" s="89">
        <v>359047.61666666699</v>
      </c>
      <c r="AD53" s="72">
        <v>0.85999999907161795</v>
      </c>
      <c r="AE53"/>
      <c r="AF53" s="36">
        <f t="shared" si="12"/>
        <v>50000</v>
      </c>
      <c r="AG53" s="90">
        <f t="shared" si="13"/>
        <v>0</v>
      </c>
      <c r="AH53" s="36">
        <f t="shared" si="14"/>
        <v>0</v>
      </c>
      <c r="AI53" s="90">
        <f t="shared" si="15"/>
        <v>1</v>
      </c>
      <c r="AJ53" s="36">
        <f t="shared" si="16"/>
        <v>50000</v>
      </c>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78" customHeight="1">
      <c r="A54" s="75" t="s">
        <v>85</v>
      </c>
      <c r="B54" s="75" t="s">
        <v>154</v>
      </c>
      <c r="C54" s="113" t="s">
        <v>207</v>
      </c>
      <c r="D54" s="47" t="s">
        <v>100</v>
      </c>
      <c r="E54" s="92" t="s">
        <v>88</v>
      </c>
      <c r="F54" s="93" t="s">
        <v>208</v>
      </c>
      <c r="G54" s="164" t="s">
        <v>158</v>
      </c>
      <c r="H54" s="323" t="s">
        <v>91</v>
      </c>
      <c r="I54" s="323"/>
      <c r="J54" s="165">
        <v>850000</v>
      </c>
      <c r="K54" s="166">
        <v>0.7</v>
      </c>
      <c r="L54" s="166">
        <f t="shared" si="18"/>
        <v>0.30000000000000004</v>
      </c>
      <c r="M54" s="167" t="s">
        <v>92</v>
      </c>
      <c r="N54" s="96">
        <v>43790</v>
      </c>
      <c r="O54" s="96">
        <v>44064</v>
      </c>
      <c r="P54" s="99"/>
      <c r="Q54" s="99"/>
      <c r="R54" s="99"/>
      <c r="S54" s="99" t="s">
        <v>171</v>
      </c>
      <c r="T54" s="100" t="s">
        <v>209</v>
      </c>
      <c r="U54"/>
      <c r="V54" s="36"/>
      <c r="W54" s="86">
        <f t="shared" si="9"/>
        <v>850000</v>
      </c>
      <c r="X54" s="87">
        <f t="shared" si="10"/>
        <v>0.7</v>
      </c>
      <c r="Y54" s="86">
        <f t="shared" si="11"/>
        <v>595000</v>
      </c>
      <c r="Z54" s="86">
        <v>808036.78</v>
      </c>
      <c r="AA54" s="88">
        <f t="shared" si="17"/>
        <v>213036.78000000003</v>
      </c>
      <c r="AB54"/>
      <c r="AC54" s="89">
        <v>821143.63</v>
      </c>
      <c r="AD54" s="72">
        <v>0.98403829790410702</v>
      </c>
      <c r="AE54"/>
      <c r="AF54" s="36">
        <f t="shared" si="12"/>
        <v>850000</v>
      </c>
      <c r="AG54" s="90">
        <f t="shared" si="13"/>
        <v>0.7</v>
      </c>
      <c r="AH54" s="36">
        <f t="shared" si="14"/>
        <v>595000</v>
      </c>
      <c r="AI54" s="90">
        <f t="shared" si="15"/>
        <v>0.30000000000000004</v>
      </c>
      <c r="AJ54" s="36">
        <f t="shared" si="16"/>
        <v>255000.00000000003</v>
      </c>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15">
      <c r="A55" s="75" t="s">
        <v>105</v>
      </c>
      <c r="B55" s="75"/>
      <c r="C55" s="113"/>
      <c r="D55"/>
      <c r="E55"/>
      <c r="F55"/>
      <c r="G55"/>
      <c r="H55"/>
      <c r="I55"/>
      <c r="J55"/>
      <c r="K55"/>
      <c r="L55"/>
      <c r="M55"/>
      <c r="N55"/>
      <c r="O55"/>
      <c r="P55"/>
      <c r="Q55"/>
      <c r="R55"/>
      <c r="S55"/>
      <c r="T55"/>
      <c r="U55"/>
      <c r="V55"/>
      <c r="W55" s="109"/>
      <c r="X55" s="110"/>
      <c r="Y55" s="109"/>
      <c r="Z55" s="109"/>
      <c r="AA55" s="111"/>
      <c r="AB55"/>
      <c r="AC55" s="89"/>
      <c r="AD55" s="72"/>
      <c r="AE55"/>
      <c r="AF55" s="112">
        <f>SUM(AF41:AF54)</f>
        <v>133109886.61250794</v>
      </c>
      <c r="AG55"/>
      <c r="AH55" s="112">
        <f>SUM(AH41:AH54)</f>
        <v>72770630.123999983</v>
      </c>
      <c r="AI55"/>
      <c r="AJ55" s="112">
        <f>SUM(AJ41:AJ54)</f>
        <v>60339256.488507934</v>
      </c>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15.75">
      <c r="A56" s="75" t="s">
        <v>105</v>
      </c>
      <c r="B56" s="75"/>
      <c r="C56" s="113"/>
      <c r="D56" s="126" t="s">
        <v>210</v>
      </c>
      <c r="E56" s="55"/>
      <c r="F56" s="55"/>
      <c r="G56" s="55"/>
      <c r="H56" s="55"/>
      <c r="I56" s="55"/>
      <c r="J56" s="55"/>
      <c r="K56" s="55"/>
      <c r="L56" s="55"/>
      <c r="M56" s="55"/>
      <c r="N56" s="56"/>
      <c r="O56" s="56"/>
      <c r="P56" s="55"/>
      <c r="Q56" s="55"/>
      <c r="R56" s="55"/>
      <c r="S56" s="55"/>
      <c r="T56" s="57"/>
      <c r="U56"/>
      <c r="V56"/>
      <c r="W56" s="109"/>
      <c r="X56" s="110"/>
      <c r="Y56" s="109"/>
      <c r="Z56" s="109"/>
      <c r="AA56" s="111"/>
      <c r="AB56"/>
      <c r="AC56" s="89"/>
      <c r="AD56" s="72"/>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s="169" customFormat="1" ht="12.75" customHeight="1">
      <c r="A57" s="75" t="s">
        <v>105</v>
      </c>
      <c r="B57" s="75"/>
      <c r="C57" s="113"/>
      <c r="D57" s="325" t="s">
        <v>59</v>
      </c>
      <c r="E57" s="320" t="s">
        <v>60</v>
      </c>
      <c r="F57" s="326" t="s">
        <v>61</v>
      </c>
      <c r="G57" s="320" t="s">
        <v>211</v>
      </c>
      <c r="H57" s="320" t="s">
        <v>64</v>
      </c>
      <c r="I57" s="318" t="s">
        <v>212</v>
      </c>
      <c r="J57" s="319" t="s">
        <v>54</v>
      </c>
      <c r="K57" s="319"/>
      <c r="L57" s="319"/>
      <c r="M57" s="320" t="s">
        <v>213</v>
      </c>
      <c r="N57" s="321" t="s">
        <v>56</v>
      </c>
      <c r="O57" s="321"/>
      <c r="P57" s="320" t="s">
        <v>70</v>
      </c>
      <c r="Q57" s="320" t="s">
        <v>71</v>
      </c>
      <c r="R57" s="320" t="s">
        <v>214</v>
      </c>
      <c r="S57" s="320" t="s">
        <v>73</v>
      </c>
      <c r="T57" s="324" t="s">
        <v>215</v>
      </c>
      <c r="W57" s="170"/>
      <c r="X57" s="171"/>
      <c r="Y57" s="170"/>
      <c r="Z57" s="170"/>
      <c r="AA57" s="172"/>
      <c r="AC57" s="89"/>
      <c r="AD57" s="72"/>
      <c r="AE57" s="173"/>
    </row>
    <row r="58" spans="1:1024" ht="50.25" customHeight="1">
      <c r="A58" s="75" t="s">
        <v>105</v>
      </c>
      <c r="B58" s="75"/>
      <c r="C58" s="113"/>
      <c r="D58" s="325"/>
      <c r="E58" s="320"/>
      <c r="F58" s="326"/>
      <c r="G58" s="320"/>
      <c r="H58" s="320"/>
      <c r="I58" s="318"/>
      <c r="J58" s="174" t="s">
        <v>65</v>
      </c>
      <c r="K58" s="175" t="s">
        <v>66</v>
      </c>
      <c r="L58" s="176" t="s">
        <v>67</v>
      </c>
      <c r="M58" s="320"/>
      <c r="N58" s="168" t="s">
        <v>216</v>
      </c>
      <c r="O58" s="168" t="s">
        <v>217</v>
      </c>
      <c r="P58" s="320"/>
      <c r="Q58" s="320"/>
      <c r="R58" s="320"/>
      <c r="S58" s="320"/>
      <c r="T58" s="324"/>
      <c r="U58"/>
      <c r="V58"/>
      <c r="W58" s="170"/>
      <c r="X58" s="171"/>
      <c r="Y58" s="170"/>
      <c r="Z58" s="170"/>
      <c r="AA58" s="172"/>
      <c r="AB58"/>
      <c r="AC58" s="89"/>
      <c r="AD58" s="72"/>
      <c r="AE58" s="173"/>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ht="93" customHeight="1">
      <c r="A59" s="75" t="s">
        <v>153</v>
      </c>
      <c r="B59" s="75" t="s">
        <v>154</v>
      </c>
      <c r="C59" s="113" t="s">
        <v>218</v>
      </c>
      <c r="D59" s="76" t="s">
        <v>100</v>
      </c>
      <c r="E59" s="79" t="s">
        <v>156</v>
      </c>
      <c r="F59" s="177" t="s">
        <v>219</v>
      </c>
      <c r="G59" s="178" t="s">
        <v>220</v>
      </c>
      <c r="H59" s="79" t="s">
        <v>221</v>
      </c>
      <c r="I59" s="179">
        <v>1</v>
      </c>
      <c r="J59" s="80">
        <f t="shared" ref="J59:K61" si="19">+AC59</f>
        <v>50000</v>
      </c>
      <c r="K59" s="81">
        <f t="shared" si="19"/>
        <v>1</v>
      </c>
      <c r="L59" s="81">
        <f>1-K59</f>
        <v>0</v>
      </c>
      <c r="M59" s="118" t="s">
        <v>325</v>
      </c>
      <c r="N59" s="82">
        <v>41627</v>
      </c>
      <c r="O59" s="82">
        <v>41673</v>
      </c>
      <c r="P59" s="114">
        <v>50000</v>
      </c>
      <c r="Q59" s="83"/>
      <c r="R59" s="83" t="s">
        <v>222</v>
      </c>
      <c r="S59" s="146" t="s">
        <v>223</v>
      </c>
      <c r="T59" s="147" t="s">
        <v>224</v>
      </c>
      <c r="U59"/>
      <c r="V59" s="36"/>
      <c r="W59" s="86">
        <f t="shared" ref="W59:X61" si="20">J59</f>
        <v>50000</v>
      </c>
      <c r="X59" s="87">
        <f t="shared" si="20"/>
        <v>1</v>
      </c>
      <c r="Y59" s="86">
        <f>W59*X59</f>
        <v>50000</v>
      </c>
      <c r="Z59" s="86">
        <v>0</v>
      </c>
      <c r="AA59" s="88">
        <f>++IF(A59&lt;&gt;"x",Z59-Y59,0)</f>
        <v>-50000</v>
      </c>
      <c r="AB59"/>
      <c r="AC59" s="89">
        <v>50000</v>
      </c>
      <c r="AD59" s="72">
        <v>1</v>
      </c>
      <c r="AE59"/>
      <c r="AF59" s="36">
        <f t="shared" ref="AF59:AG61" si="21">J59</f>
        <v>50000</v>
      </c>
      <c r="AG59" s="90">
        <f t="shared" si="21"/>
        <v>1</v>
      </c>
      <c r="AH59" s="36">
        <f>AF59*AG59</f>
        <v>50000</v>
      </c>
      <c r="AI59" s="90">
        <f>L59</f>
        <v>0</v>
      </c>
      <c r="AJ59" s="36">
        <f>AF59*AI59</f>
        <v>0</v>
      </c>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63.75">
      <c r="A60" s="75" t="s">
        <v>153</v>
      </c>
      <c r="B60" s="75" t="s">
        <v>154</v>
      </c>
      <c r="C60" s="113" t="s">
        <v>225</v>
      </c>
      <c r="D60" s="76" t="s">
        <v>100</v>
      </c>
      <c r="E60" s="79" t="s">
        <v>156</v>
      </c>
      <c r="F60" s="177" t="s">
        <v>226</v>
      </c>
      <c r="G60" s="178" t="s">
        <v>220</v>
      </c>
      <c r="H60" s="79" t="s">
        <v>91</v>
      </c>
      <c r="I60" s="179">
        <v>1</v>
      </c>
      <c r="J60" s="150">
        <f t="shared" si="19"/>
        <v>110000</v>
      </c>
      <c r="K60" s="81">
        <f t="shared" si="19"/>
        <v>1</v>
      </c>
      <c r="L60" s="81">
        <f>1-K60</f>
        <v>0</v>
      </c>
      <c r="M60" s="118" t="s">
        <v>325</v>
      </c>
      <c r="N60" s="82">
        <v>43466</v>
      </c>
      <c r="O60" s="82">
        <v>43525</v>
      </c>
      <c r="P60" s="83"/>
      <c r="Q60" s="83"/>
      <c r="R60" s="83"/>
      <c r="S60" s="146" t="s">
        <v>223</v>
      </c>
      <c r="T60" s="147"/>
      <c r="U60"/>
      <c r="V60" s="36"/>
      <c r="W60" s="86">
        <f t="shared" si="20"/>
        <v>110000</v>
      </c>
      <c r="X60" s="87">
        <f t="shared" si="20"/>
        <v>1</v>
      </c>
      <c r="Y60" s="86">
        <f>W60*X60</f>
        <v>110000</v>
      </c>
      <c r="Z60" s="86">
        <v>110000</v>
      </c>
      <c r="AA60" s="88">
        <f>++IF(A60&lt;&gt;"x",Z60-Y60,0)</f>
        <v>0</v>
      </c>
      <c r="AB60"/>
      <c r="AC60" s="89">
        <v>110000</v>
      </c>
      <c r="AD60" s="72">
        <v>1</v>
      </c>
      <c r="AE60"/>
      <c r="AF60" s="36">
        <f t="shared" si="21"/>
        <v>110000</v>
      </c>
      <c r="AG60" s="90">
        <f t="shared" si="21"/>
        <v>1</v>
      </c>
      <c r="AH60" s="36">
        <f>AF60*AG60</f>
        <v>110000</v>
      </c>
      <c r="AI60" s="90">
        <f>L60</f>
        <v>0</v>
      </c>
      <c r="AJ60" s="36">
        <f>AF60*AI60</f>
        <v>0</v>
      </c>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ht="63.75">
      <c r="A61" s="75" t="s">
        <v>153</v>
      </c>
      <c r="B61" s="75" t="s">
        <v>154</v>
      </c>
      <c r="C61" s="113" t="s">
        <v>227</v>
      </c>
      <c r="D61" s="76" t="s">
        <v>100</v>
      </c>
      <c r="E61" s="79" t="s">
        <v>156</v>
      </c>
      <c r="F61" s="177" t="s">
        <v>228</v>
      </c>
      <c r="G61" s="178" t="s">
        <v>220</v>
      </c>
      <c r="H61" s="79" t="s">
        <v>91</v>
      </c>
      <c r="I61" s="180">
        <v>1</v>
      </c>
      <c r="J61" s="80">
        <f t="shared" si="19"/>
        <v>110000</v>
      </c>
      <c r="K61" s="181">
        <f t="shared" si="19"/>
        <v>1</v>
      </c>
      <c r="L61" s="81">
        <f>1-K61</f>
        <v>0</v>
      </c>
      <c r="M61" s="118" t="s">
        <v>325</v>
      </c>
      <c r="N61" s="82">
        <v>44470</v>
      </c>
      <c r="O61" s="82">
        <v>44531</v>
      </c>
      <c r="P61" s="83"/>
      <c r="Q61" s="83"/>
      <c r="R61" s="83"/>
      <c r="S61" s="127" t="s">
        <v>223</v>
      </c>
      <c r="T61" s="147"/>
      <c r="U61"/>
      <c r="V61" s="36"/>
      <c r="W61" s="86">
        <f t="shared" si="20"/>
        <v>110000</v>
      </c>
      <c r="X61" s="87">
        <f t="shared" si="20"/>
        <v>1</v>
      </c>
      <c r="Y61" s="86">
        <f>W61*X61</f>
        <v>110000</v>
      </c>
      <c r="Z61" s="86">
        <v>110000</v>
      </c>
      <c r="AA61" s="88">
        <f>++IF(A61&lt;&gt;"x",Z61-Y61,0)</f>
        <v>0</v>
      </c>
      <c r="AB61"/>
      <c r="AC61" s="89">
        <v>110000</v>
      </c>
      <c r="AD61" s="72">
        <v>1</v>
      </c>
      <c r="AE61"/>
      <c r="AF61" s="36">
        <f t="shared" si="21"/>
        <v>110000</v>
      </c>
      <c r="AG61" s="90">
        <f t="shared" si="21"/>
        <v>1</v>
      </c>
      <c r="AH61" s="36">
        <f>AF61*AG61</f>
        <v>110000</v>
      </c>
      <c r="AI61" s="90">
        <f>L61</f>
        <v>0</v>
      </c>
      <c r="AJ61" s="36">
        <f>AF61*AI61</f>
        <v>0</v>
      </c>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s="190" customFormat="1" ht="59.25" customHeight="1">
      <c r="A62" s="62" t="s">
        <v>105</v>
      </c>
      <c r="B62" s="62"/>
      <c r="C62" s="62"/>
      <c r="D62" s="182"/>
      <c r="E62" s="182"/>
      <c r="F62" s="183"/>
      <c r="G62" s="182"/>
      <c r="H62" s="182"/>
      <c r="I62" s="182"/>
      <c r="J62" s="184"/>
      <c r="K62" s="185"/>
      <c r="L62" s="185"/>
      <c r="M62" s="182"/>
      <c r="N62" s="186"/>
      <c r="O62" s="186"/>
      <c r="P62" s="182"/>
      <c r="Q62" s="182"/>
      <c r="R62" s="182"/>
      <c r="S62" s="182"/>
      <c r="T62" s="182"/>
      <c r="U62" s="182"/>
      <c r="V62" s="182"/>
      <c r="W62" s="187"/>
      <c r="X62" s="188"/>
      <c r="Y62" s="187"/>
      <c r="Z62" s="189"/>
      <c r="AA62" s="189"/>
      <c r="AB62" s="182"/>
      <c r="AC62" s="89"/>
      <c r="AD62" s="72"/>
      <c r="AE62" s="182"/>
      <c r="AF62" s="112">
        <f>SUM(AF59:AF61)</f>
        <v>270000</v>
      </c>
      <c r="AG62" s="182"/>
      <c r="AH62" s="112">
        <f>SUM(AH59:AH61)</f>
        <v>270000</v>
      </c>
      <c r="AI62" s="182"/>
      <c r="AJ62" s="112">
        <f>SUM(AJ59:AJ61)</f>
        <v>0</v>
      </c>
      <c r="AK62" s="182"/>
      <c r="AL62" s="182"/>
      <c r="AM62" s="182"/>
      <c r="AN62" s="182"/>
      <c r="AO62" s="182"/>
      <c r="AP62" s="182"/>
      <c r="AQ62" s="182"/>
      <c r="AR62" s="182"/>
      <c r="AS62" s="182"/>
      <c r="AT62" s="182"/>
      <c r="AU62" s="182"/>
      <c r="AV62" s="182"/>
      <c r="AW62" s="182"/>
      <c r="AX62" s="182"/>
      <c r="AY62" s="182"/>
      <c r="AZ62" s="182"/>
      <c r="BA62" s="182"/>
      <c r="BB62" s="182"/>
      <c r="BC62" s="182"/>
      <c r="BD62" s="182"/>
      <c r="BE62" s="182"/>
      <c r="BF62" s="182"/>
      <c r="BG62" s="182"/>
      <c r="BH62" s="182"/>
      <c r="BI62" s="182"/>
      <c r="BJ62" s="182"/>
      <c r="BK62" s="182"/>
      <c r="BL62" s="182"/>
      <c r="BM62" s="182"/>
    </row>
    <row r="63" spans="1:1024" s="195" customFormat="1" ht="59.25" hidden="1" customHeight="1">
      <c r="A63" s="103" t="s">
        <v>105</v>
      </c>
      <c r="B63" s="103"/>
      <c r="C63" s="103"/>
      <c r="D63" s="126" t="s">
        <v>229</v>
      </c>
      <c r="E63" s="55"/>
      <c r="F63" s="55"/>
      <c r="G63" s="55"/>
      <c r="H63" s="55"/>
      <c r="I63" s="55"/>
      <c r="J63" s="191"/>
      <c r="K63" s="55"/>
      <c r="L63" s="55"/>
      <c r="M63" s="55"/>
      <c r="N63" s="56"/>
      <c r="O63" s="56"/>
      <c r="P63" s="55"/>
      <c r="Q63" s="55"/>
      <c r="R63" s="55"/>
      <c r="S63" s="55"/>
      <c r="T63" s="57"/>
      <c r="U63" s="192"/>
      <c r="V63" s="192"/>
      <c r="W63" s="193"/>
      <c r="X63" s="188"/>
      <c r="Y63" s="193"/>
      <c r="Z63" s="194"/>
      <c r="AA63" s="194"/>
      <c r="AB63" s="192"/>
      <c r="AC63" s="89"/>
      <c r="AD63" s="72"/>
      <c r="AE63" s="192"/>
      <c r="AF63" s="192"/>
      <c r="AG63" s="192"/>
      <c r="AH63" s="192"/>
      <c r="AI63" s="192"/>
      <c r="AJ63" s="192"/>
      <c r="AK63" s="192"/>
      <c r="AL63" s="192"/>
      <c r="AM63" s="192"/>
      <c r="AN63" s="192"/>
      <c r="AO63" s="192"/>
      <c r="AP63" s="192"/>
      <c r="AQ63" s="192"/>
      <c r="AR63" s="192"/>
      <c r="AS63" s="192"/>
      <c r="AT63" s="192"/>
      <c r="AU63" s="192"/>
      <c r="AV63" s="192"/>
      <c r="AW63" s="192"/>
      <c r="AX63" s="192"/>
      <c r="AY63" s="192"/>
      <c r="AZ63" s="192"/>
      <c r="BA63" s="192"/>
      <c r="BB63" s="192"/>
      <c r="BC63" s="192"/>
      <c r="BD63" s="192"/>
      <c r="BE63" s="192"/>
      <c r="BF63" s="192"/>
      <c r="BG63" s="192"/>
      <c r="BH63" s="192"/>
      <c r="BI63" s="192"/>
      <c r="BJ63" s="192"/>
      <c r="BK63" s="192"/>
      <c r="BL63" s="192"/>
      <c r="BM63" s="192"/>
    </row>
    <row r="64" spans="1:1024" s="192" customFormat="1" ht="59.25" hidden="1" customHeight="1">
      <c r="A64" s="103" t="s">
        <v>105</v>
      </c>
      <c r="B64" s="103"/>
      <c r="C64" s="103"/>
      <c r="D64" s="325" t="s">
        <v>59</v>
      </c>
      <c r="E64" s="320" t="s">
        <v>60</v>
      </c>
      <c r="F64" s="326" t="s">
        <v>61</v>
      </c>
      <c r="G64" s="320"/>
      <c r="H64" s="320"/>
      <c r="I64" s="318"/>
      <c r="J64" s="319" t="s">
        <v>54</v>
      </c>
      <c r="K64" s="319"/>
      <c r="L64" s="319"/>
      <c r="M64" s="320" t="s">
        <v>230</v>
      </c>
      <c r="N64" s="321"/>
      <c r="O64" s="321"/>
      <c r="P64" s="320"/>
      <c r="Q64" s="320"/>
      <c r="R64" s="320"/>
      <c r="S64" s="320"/>
      <c r="T64" s="324"/>
      <c r="W64" s="193"/>
      <c r="X64" s="188"/>
      <c r="Y64" s="193"/>
      <c r="Z64" s="194"/>
      <c r="AA64" s="194"/>
      <c r="AC64" s="89"/>
      <c r="AD64" s="72"/>
    </row>
    <row r="65" spans="1:1024" ht="59.25" hidden="1" customHeight="1">
      <c r="A65" s="103" t="s">
        <v>105</v>
      </c>
      <c r="B65" s="103"/>
      <c r="C65" s="103"/>
      <c r="D65" s="325"/>
      <c r="E65" s="320"/>
      <c r="F65" s="326"/>
      <c r="G65" s="320"/>
      <c r="H65" s="320"/>
      <c r="I65" s="318"/>
      <c r="J65" s="174" t="s">
        <v>65</v>
      </c>
      <c r="K65" s="175" t="s">
        <v>66</v>
      </c>
      <c r="L65" s="176" t="s">
        <v>67</v>
      </c>
      <c r="M65" s="320"/>
      <c r="N65" s="168"/>
      <c r="O65" s="168"/>
      <c r="P65" s="320"/>
      <c r="Q65" s="320"/>
      <c r="R65" s="320"/>
      <c r="S65" s="320"/>
      <c r="T65" s="324"/>
      <c r="U65"/>
      <c r="V65"/>
      <c r="W65" s="193"/>
      <c r="X65" s="188"/>
      <c r="Y65" s="193"/>
      <c r="Z65" s="194"/>
      <c r="AA65" s="194"/>
      <c r="AB65"/>
      <c r="AC65" s="89"/>
      <c r="AD65" s="72"/>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c r="SG65"/>
      <c r="SH65"/>
      <c r="SI65"/>
      <c r="SJ65"/>
      <c r="SK65"/>
      <c r="SL65"/>
      <c r="SM65"/>
      <c r="SN65"/>
      <c r="SO65"/>
      <c r="SP65"/>
      <c r="SQ65"/>
      <c r="SR65"/>
      <c r="SS65"/>
      <c r="ST65"/>
      <c r="SU65"/>
      <c r="SV65"/>
      <c r="SW65"/>
      <c r="SX65"/>
      <c r="SY65"/>
      <c r="SZ65"/>
      <c r="TA65"/>
      <c r="TB65"/>
      <c r="TC65"/>
      <c r="TD65"/>
      <c r="TE65"/>
      <c r="TF65"/>
      <c r="TG65"/>
      <c r="TH65"/>
      <c r="TI65"/>
      <c r="TJ65"/>
      <c r="TK65"/>
      <c r="TL65"/>
      <c r="TM65"/>
      <c r="TN65"/>
      <c r="TO65"/>
      <c r="TP65"/>
      <c r="TQ65"/>
      <c r="TR65"/>
      <c r="TS65"/>
      <c r="TT65"/>
      <c r="TU65"/>
      <c r="TV65"/>
      <c r="TW65"/>
      <c r="TX65"/>
      <c r="TY65"/>
      <c r="TZ65"/>
      <c r="UA65"/>
      <c r="UB65"/>
      <c r="UC65"/>
      <c r="UD65"/>
      <c r="UE65"/>
      <c r="UF65"/>
      <c r="UG65"/>
      <c r="UH65"/>
      <c r="UI65"/>
      <c r="UJ65"/>
      <c r="UK65"/>
      <c r="UL65"/>
      <c r="UM65"/>
      <c r="UN65"/>
      <c r="UO65"/>
      <c r="UP65"/>
      <c r="UQ65"/>
      <c r="UR65"/>
      <c r="US65"/>
      <c r="UT65"/>
      <c r="UU65"/>
      <c r="UV65"/>
      <c r="UW65"/>
      <c r="UX65"/>
      <c r="UY65"/>
      <c r="UZ65"/>
      <c r="VA65"/>
      <c r="VB65"/>
      <c r="VC65"/>
      <c r="VD65"/>
      <c r="VE65"/>
      <c r="VF65"/>
      <c r="VG65"/>
      <c r="VH65"/>
      <c r="VI65"/>
      <c r="VJ65"/>
      <c r="VK65"/>
      <c r="VL65"/>
      <c r="VM65"/>
      <c r="VN65"/>
      <c r="VO65"/>
      <c r="VP65"/>
      <c r="VQ65"/>
      <c r="VR65"/>
      <c r="VS65"/>
      <c r="VT65"/>
      <c r="VU65"/>
      <c r="VV65"/>
      <c r="VW65"/>
      <c r="VX65"/>
      <c r="VY65"/>
      <c r="VZ65"/>
      <c r="WA65"/>
      <c r="WB65"/>
      <c r="WC65"/>
      <c r="WD65"/>
      <c r="WE65"/>
      <c r="WF65"/>
      <c r="WG65"/>
      <c r="WH65"/>
      <c r="WI65"/>
      <c r="WJ65"/>
      <c r="WK65"/>
      <c r="WL65"/>
      <c r="WM65"/>
      <c r="WN65"/>
      <c r="WO65"/>
      <c r="WP65"/>
      <c r="WQ65"/>
      <c r="WR65"/>
      <c r="WS65"/>
      <c r="WT65"/>
      <c r="WU65"/>
      <c r="WV65"/>
      <c r="WW65"/>
      <c r="WX65"/>
      <c r="WY65"/>
      <c r="WZ65"/>
      <c r="XA65"/>
      <c r="XB65"/>
      <c r="XC65"/>
      <c r="XD65"/>
      <c r="XE65"/>
      <c r="XF65"/>
      <c r="XG65"/>
      <c r="XH65"/>
      <c r="XI65"/>
      <c r="XJ65"/>
      <c r="XK65"/>
      <c r="XL65"/>
      <c r="XM65"/>
      <c r="XN65"/>
      <c r="XO65"/>
      <c r="XP65"/>
      <c r="XQ65"/>
      <c r="XR65"/>
      <c r="XS65"/>
      <c r="XT65"/>
      <c r="XU65"/>
      <c r="XV65"/>
      <c r="XW65"/>
      <c r="XX65"/>
      <c r="XY65"/>
      <c r="XZ65"/>
      <c r="YA65"/>
      <c r="YB65"/>
      <c r="YC65"/>
      <c r="YD65"/>
      <c r="YE65"/>
      <c r="YF65"/>
      <c r="YG65"/>
      <c r="YH65"/>
      <c r="YI65"/>
      <c r="YJ65"/>
      <c r="YK65"/>
      <c r="YL65"/>
      <c r="YM65"/>
      <c r="YN65"/>
      <c r="YO65"/>
      <c r="YP65"/>
      <c r="YQ65"/>
      <c r="YR65"/>
      <c r="YS65"/>
      <c r="YT65"/>
      <c r="YU65"/>
      <c r="YV65"/>
      <c r="YW65"/>
      <c r="YX65"/>
      <c r="YY65"/>
      <c r="YZ65"/>
      <c r="ZA65"/>
      <c r="ZB65"/>
      <c r="ZC65"/>
      <c r="ZD65"/>
      <c r="ZE65"/>
      <c r="ZF65"/>
      <c r="ZG65"/>
      <c r="ZH65"/>
      <c r="ZI65"/>
      <c r="ZJ65"/>
      <c r="ZK65"/>
      <c r="ZL65"/>
      <c r="ZM65"/>
      <c r="ZN65"/>
      <c r="ZO65"/>
      <c r="ZP65"/>
      <c r="ZQ65"/>
      <c r="ZR65"/>
      <c r="ZS65"/>
      <c r="ZT65"/>
      <c r="ZU65"/>
      <c r="ZV65"/>
      <c r="ZW65"/>
      <c r="ZX65"/>
      <c r="ZY65"/>
      <c r="ZZ65"/>
      <c r="AAA65"/>
      <c r="AAB65"/>
      <c r="AAC65"/>
      <c r="AAD65"/>
      <c r="AAE65"/>
      <c r="AAF65"/>
      <c r="AAG65"/>
      <c r="AAH65"/>
      <c r="AAI65"/>
      <c r="AAJ65"/>
      <c r="AAK65"/>
      <c r="AAL65"/>
      <c r="AAM65"/>
      <c r="AAN65"/>
      <c r="AAO65"/>
      <c r="AAP65"/>
      <c r="AAQ65"/>
      <c r="AAR65"/>
      <c r="AAS65"/>
      <c r="AAT65"/>
      <c r="AAU65"/>
      <c r="AAV65"/>
      <c r="AAW65"/>
      <c r="AAX65"/>
      <c r="AAY65"/>
      <c r="AAZ65"/>
      <c r="ABA65"/>
      <c r="ABB65"/>
      <c r="ABC65"/>
      <c r="ABD65"/>
      <c r="ABE65"/>
      <c r="ABF65"/>
      <c r="ABG65"/>
      <c r="ABH65"/>
      <c r="ABI65"/>
      <c r="ABJ65"/>
      <c r="ABK65"/>
      <c r="ABL65"/>
      <c r="ABM65"/>
      <c r="ABN65"/>
      <c r="ABO65"/>
      <c r="ABP65"/>
      <c r="ABQ65"/>
      <c r="ABR65"/>
      <c r="ABS65"/>
      <c r="ABT65"/>
      <c r="ABU65"/>
      <c r="ABV65"/>
      <c r="ABW65"/>
      <c r="ABX65"/>
      <c r="ABY65"/>
      <c r="ABZ65"/>
      <c r="ACA65"/>
      <c r="ACB65"/>
      <c r="ACC65"/>
      <c r="ACD65"/>
      <c r="ACE65"/>
      <c r="ACF65"/>
      <c r="ACG65"/>
      <c r="ACH65"/>
      <c r="ACI65"/>
      <c r="ACJ65"/>
      <c r="ACK65"/>
      <c r="ACL65"/>
      <c r="ACM65"/>
      <c r="ACN65"/>
      <c r="ACO65"/>
      <c r="ACP65"/>
      <c r="ACQ65"/>
      <c r="ACR65"/>
      <c r="ACS65"/>
      <c r="ACT65"/>
      <c r="ACU65"/>
      <c r="ACV65"/>
      <c r="ACW65"/>
      <c r="ACX65"/>
      <c r="ACY65"/>
      <c r="ACZ65"/>
      <c r="ADA65"/>
      <c r="ADB65"/>
      <c r="ADC65"/>
      <c r="ADD65"/>
      <c r="ADE65"/>
      <c r="ADF65"/>
      <c r="ADG65"/>
      <c r="ADH65"/>
      <c r="ADI65"/>
      <c r="ADJ65"/>
      <c r="ADK65"/>
      <c r="ADL65"/>
      <c r="ADM65"/>
      <c r="ADN65"/>
      <c r="ADO65"/>
      <c r="ADP65"/>
      <c r="ADQ65"/>
      <c r="ADR65"/>
      <c r="ADS65"/>
      <c r="ADT65"/>
      <c r="ADU65"/>
      <c r="ADV65"/>
      <c r="ADW65"/>
      <c r="ADX65"/>
      <c r="ADY65"/>
      <c r="ADZ65"/>
      <c r="AEA65"/>
      <c r="AEB65"/>
      <c r="AEC65"/>
      <c r="AED65"/>
      <c r="AEE65"/>
      <c r="AEF65"/>
      <c r="AEG65"/>
      <c r="AEH65"/>
      <c r="AEI65"/>
      <c r="AEJ65"/>
      <c r="AEK65"/>
      <c r="AEL65"/>
      <c r="AEM65"/>
      <c r="AEN65"/>
      <c r="AEO65"/>
      <c r="AEP65"/>
      <c r="AEQ65"/>
      <c r="AER65"/>
      <c r="AES65"/>
      <c r="AET65"/>
      <c r="AEU65"/>
      <c r="AEV65"/>
      <c r="AEW65"/>
      <c r="AEX65"/>
      <c r="AEY65"/>
      <c r="AEZ65"/>
      <c r="AFA65"/>
      <c r="AFB65"/>
      <c r="AFC65"/>
      <c r="AFD65"/>
      <c r="AFE65"/>
      <c r="AFF65"/>
      <c r="AFG65"/>
      <c r="AFH65"/>
      <c r="AFI65"/>
      <c r="AFJ65"/>
      <c r="AFK65"/>
      <c r="AFL65"/>
      <c r="AFM65"/>
      <c r="AFN65"/>
      <c r="AFO65"/>
      <c r="AFP65"/>
      <c r="AFQ65"/>
      <c r="AFR65"/>
      <c r="AFS65"/>
      <c r="AFT65"/>
      <c r="AFU65"/>
      <c r="AFV65"/>
      <c r="AFW65"/>
      <c r="AFX65"/>
      <c r="AFY65"/>
      <c r="AFZ65"/>
      <c r="AGA65"/>
      <c r="AGB65"/>
      <c r="AGC65"/>
      <c r="AGD65"/>
      <c r="AGE65"/>
      <c r="AGF65"/>
      <c r="AGG65"/>
      <c r="AGH65"/>
      <c r="AGI65"/>
      <c r="AGJ65"/>
      <c r="AGK65"/>
      <c r="AGL65"/>
      <c r="AGM65"/>
      <c r="AGN65"/>
      <c r="AGO65"/>
      <c r="AGP65"/>
      <c r="AGQ65"/>
      <c r="AGR65"/>
      <c r="AGS65"/>
      <c r="AGT65"/>
      <c r="AGU65"/>
      <c r="AGV65"/>
      <c r="AGW65"/>
      <c r="AGX65"/>
      <c r="AGY65"/>
      <c r="AGZ65"/>
      <c r="AHA65"/>
      <c r="AHB65"/>
      <c r="AHC65"/>
      <c r="AHD65"/>
      <c r="AHE65"/>
      <c r="AHF65"/>
      <c r="AHG65"/>
      <c r="AHH65"/>
      <c r="AHI65"/>
      <c r="AHJ65"/>
      <c r="AHK65"/>
      <c r="AHL65"/>
      <c r="AHM65"/>
      <c r="AHN65"/>
      <c r="AHO65"/>
      <c r="AHP65"/>
      <c r="AHQ65"/>
      <c r="AHR65"/>
      <c r="AHS65"/>
      <c r="AHT65"/>
      <c r="AHU65"/>
      <c r="AHV65"/>
      <c r="AHW65"/>
      <c r="AHX65"/>
      <c r="AHY65"/>
      <c r="AHZ65"/>
      <c r="AIA65"/>
      <c r="AIB65"/>
      <c r="AIC65"/>
      <c r="AID65"/>
      <c r="AIE65"/>
      <c r="AIF65"/>
      <c r="AIG65"/>
      <c r="AIH65"/>
      <c r="AII65"/>
      <c r="AIJ65"/>
      <c r="AIK65"/>
      <c r="AIL65"/>
      <c r="AIM65"/>
      <c r="AIN65"/>
      <c r="AIO65"/>
      <c r="AIP65"/>
      <c r="AIQ65"/>
      <c r="AIR65"/>
      <c r="AIS65"/>
      <c r="AIT65"/>
      <c r="AIU65"/>
      <c r="AIV65"/>
      <c r="AIW65"/>
      <c r="AIX65"/>
      <c r="AIY65"/>
      <c r="AIZ65"/>
      <c r="AJA65"/>
      <c r="AJB65"/>
      <c r="AJC65"/>
      <c r="AJD65"/>
      <c r="AJE65"/>
      <c r="AJF65"/>
      <c r="AJG65"/>
      <c r="AJH65"/>
      <c r="AJI65"/>
      <c r="AJJ65"/>
      <c r="AJK65"/>
      <c r="AJL65"/>
      <c r="AJM65"/>
      <c r="AJN65"/>
      <c r="AJO65"/>
      <c r="AJP65"/>
      <c r="AJQ65"/>
      <c r="AJR65"/>
      <c r="AJS65"/>
      <c r="AJT65"/>
      <c r="AJU65"/>
      <c r="AJV65"/>
      <c r="AJW65"/>
      <c r="AJX65"/>
      <c r="AJY65"/>
      <c r="AJZ65"/>
      <c r="AKA65"/>
      <c r="AKB65"/>
      <c r="AKC65"/>
      <c r="AKD65"/>
      <c r="AKE65"/>
      <c r="AKF65"/>
      <c r="AKG65"/>
      <c r="AKH65"/>
      <c r="AKI65"/>
      <c r="AKJ65"/>
      <c r="AKK65"/>
      <c r="AKL65"/>
      <c r="AKM65"/>
      <c r="AKN65"/>
      <c r="AKO65"/>
      <c r="AKP65"/>
      <c r="AKQ65"/>
      <c r="AKR65"/>
      <c r="AKS65"/>
      <c r="AKT65"/>
      <c r="AKU65"/>
      <c r="AKV65"/>
      <c r="AKW65"/>
      <c r="AKX65"/>
      <c r="AKY65"/>
      <c r="AKZ65"/>
      <c r="ALA65"/>
      <c r="ALB65"/>
      <c r="ALC65"/>
      <c r="ALD65"/>
      <c r="ALE65"/>
      <c r="ALF65"/>
      <c r="ALG65"/>
      <c r="ALH65"/>
      <c r="ALI65"/>
      <c r="ALJ65"/>
      <c r="ALK65"/>
      <c r="ALL65"/>
      <c r="ALM65"/>
      <c r="ALN65"/>
      <c r="ALO65"/>
      <c r="ALP65"/>
      <c r="ALQ65"/>
      <c r="ALR65"/>
      <c r="ALS65"/>
      <c r="ALT65"/>
      <c r="ALU65"/>
      <c r="ALV65"/>
      <c r="ALW65"/>
      <c r="ALX65"/>
      <c r="ALY65"/>
      <c r="ALZ65"/>
      <c r="AMA65"/>
      <c r="AMB65"/>
      <c r="AMC65"/>
      <c r="AMD65"/>
      <c r="AME65"/>
      <c r="AMF65"/>
      <c r="AMG65"/>
      <c r="AMH65"/>
      <c r="AMI65"/>
      <c r="AMJ65"/>
    </row>
    <row r="66" spans="1:1024" ht="59.25" hidden="1" customHeight="1">
      <c r="A66" s="103" t="s">
        <v>153</v>
      </c>
      <c r="B66" s="103" t="s">
        <v>37</v>
      </c>
      <c r="C66" s="103"/>
      <c r="D66" s="80" t="s">
        <v>100</v>
      </c>
      <c r="E66" s="80" t="s">
        <v>156</v>
      </c>
      <c r="F66" s="80" t="s">
        <v>37</v>
      </c>
      <c r="G66" s="80"/>
      <c r="H66" s="80"/>
      <c r="I66" s="80"/>
      <c r="J66" s="80">
        <f>+AC66</f>
        <v>46049000</v>
      </c>
      <c r="K66" s="80">
        <f>+AD66</f>
        <v>0</v>
      </c>
      <c r="L66" s="80">
        <f>1-K66</f>
        <v>1</v>
      </c>
      <c r="M66" s="327" t="s">
        <v>231</v>
      </c>
      <c r="N66" s="327"/>
      <c r="O66" s="327"/>
      <c r="P66" s="327"/>
      <c r="Q66" s="327"/>
      <c r="R66" s="327"/>
      <c r="S66" s="327"/>
      <c r="T66" s="327"/>
      <c r="U66"/>
      <c r="V66"/>
      <c r="W66" s="86">
        <f>J66</f>
        <v>46049000</v>
      </c>
      <c r="X66" s="87">
        <f>K66</f>
        <v>0</v>
      </c>
      <c r="Y66" s="86">
        <f>W66*X66</f>
        <v>0</v>
      </c>
      <c r="Z66" s="86">
        <v>0</v>
      </c>
      <c r="AA66" s="88">
        <f>++IF(A66&lt;&gt;"x",Z66-Y66,0)</f>
        <v>0</v>
      </c>
      <c r="AC66" s="89">
        <v>46049000</v>
      </c>
      <c r="AD66" s="72">
        <v>0</v>
      </c>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c r="SG66"/>
      <c r="SH66"/>
      <c r="SI66"/>
      <c r="SJ66"/>
      <c r="SK66"/>
      <c r="SL66"/>
      <c r="SM66"/>
      <c r="SN66"/>
      <c r="SO66"/>
      <c r="SP66"/>
      <c r="SQ66"/>
      <c r="SR66"/>
      <c r="SS66"/>
      <c r="ST66"/>
      <c r="SU66"/>
      <c r="SV66"/>
      <c r="SW66"/>
      <c r="SX66"/>
      <c r="SY66"/>
      <c r="SZ66"/>
      <c r="TA66"/>
      <c r="TB66"/>
      <c r="TC66"/>
      <c r="TD66"/>
      <c r="TE66"/>
      <c r="TF66"/>
      <c r="TG66"/>
      <c r="TH66"/>
      <c r="TI66"/>
      <c r="TJ66"/>
      <c r="TK66"/>
      <c r="TL66"/>
      <c r="TM66"/>
      <c r="TN66"/>
      <c r="TO66"/>
      <c r="TP66"/>
      <c r="TQ66"/>
      <c r="TR66"/>
      <c r="TS66"/>
      <c r="TT66"/>
      <c r="TU66"/>
      <c r="TV66"/>
      <c r="TW66"/>
      <c r="TX66"/>
      <c r="TY66"/>
      <c r="TZ66"/>
      <c r="UA66"/>
      <c r="UB66"/>
      <c r="UC66"/>
      <c r="UD66"/>
      <c r="UE66"/>
      <c r="UF66"/>
      <c r="UG66"/>
      <c r="UH66"/>
      <c r="UI66"/>
      <c r="UJ66"/>
      <c r="UK66"/>
      <c r="UL66"/>
      <c r="UM66"/>
      <c r="UN66"/>
      <c r="UO66"/>
      <c r="UP66"/>
      <c r="UQ66"/>
      <c r="UR66"/>
      <c r="US66"/>
      <c r="UT66"/>
      <c r="UU66"/>
      <c r="UV66"/>
      <c r="UW66"/>
      <c r="UX66"/>
      <c r="UY66"/>
      <c r="UZ66"/>
      <c r="VA66"/>
      <c r="VB66"/>
      <c r="VC66"/>
      <c r="VD66"/>
      <c r="VE66"/>
      <c r="VF66"/>
      <c r="VG66"/>
      <c r="VH66"/>
      <c r="VI66"/>
      <c r="VJ66"/>
      <c r="VK66"/>
      <c r="VL66"/>
      <c r="VM66"/>
      <c r="VN66"/>
      <c r="VO66"/>
      <c r="VP66"/>
      <c r="VQ66"/>
      <c r="VR66"/>
      <c r="VS66"/>
      <c r="VT66"/>
      <c r="VU66"/>
      <c r="VV66"/>
      <c r="VW66"/>
      <c r="VX66"/>
      <c r="VY66"/>
      <c r="VZ66"/>
      <c r="WA66"/>
      <c r="WB66"/>
      <c r="WC66"/>
      <c r="WD66"/>
      <c r="WE66"/>
      <c r="WF66"/>
      <c r="WG66"/>
      <c r="WH66"/>
      <c r="WI66"/>
      <c r="WJ66"/>
      <c r="WK66"/>
      <c r="WL66"/>
      <c r="WM66"/>
      <c r="WN66"/>
      <c r="WO66"/>
      <c r="WP66"/>
      <c r="WQ66"/>
      <c r="WR66"/>
      <c r="WS66"/>
      <c r="WT66"/>
      <c r="WU66"/>
      <c r="WV66"/>
      <c r="WW66"/>
      <c r="WX66"/>
      <c r="WY66"/>
      <c r="WZ66"/>
      <c r="XA66"/>
      <c r="XB66"/>
      <c r="XC66"/>
      <c r="XD66"/>
      <c r="XE66"/>
      <c r="XF66"/>
      <c r="XG66"/>
      <c r="XH66"/>
      <c r="XI66"/>
      <c r="XJ66"/>
      <c r="XK66"/>
      <c r="XL66"/>
      <c r="XM66"/>
      <c r="XN66"/>
      <c r="XO66"/>
      <c r="XP66"/>
      <c r="XQ66"/>
      <c r="XR66"/>
      <c r="XS66"/>
      <c r="XT66"/>
      <c r="XU66"/>
      <c r="XV66"/>
      <c r="XW66"/>
      <c r="XX66"/>
      <c r="XY66"/>
      <c r="XZ66"/>
      <c r="YA66"/>
      <c r="YB66"/>
      <c r="YC66"/>
      <c r="YD66"/>
      <c r="YE66"/>
      <c r="YF66"/>
      <c r="YG66"/>
      <c r="YH66"/>
      <c r="YI66"/>
      <c r="YJ66"/>
      <c r="YK66"/>
      <c r="YL66"/>
      <c r="YM66"/>
      <c r="YN66"/>
      <c r="YO66"/>
      <c r="YP66"/>
      <c r="YQ66"/>
      <c r="YR66"/>
      <c r="YS66"/>
      <c r="YT66"/>
      <c r="YU66"/>
      <c r="YV66"/>
      <c r="YW66"/>
      <c r="YX66"/>
      <c r="YY66"/>
      <c r="YZ66"/>
      <c r="ZA66"/>
      <c r="ZB66"/>
      <c r="ZC66"/>
      <c r="ZD66"/>
      <c r="ZE66"/>
      <c r="ZF66"/>
      <c r="ZG66"/>
      <c r="ZH66"/>
      <c r="ZI66"/>
      <c r="ZJ66"/>
      <c r="ZK66"/>
      <c r="ZL66"/>
      <c r="ZM66"/>
      <c r="ZN66"/>
      <c r="ZO66"/>
      <c r="ZP66"/>
      <c r="ZQ66"/>
      <c r="ZR66"/>
      <c r="ZS66"/>
      <c r="ZT66"/>
      <c r="ZU66"/>
      <c r="ZV66"/>
      <c r="ZW66"/>
      <c r="ZX66"/>
      <c r="ZY66"/>
      <c r="ZZ66"/>
      <c r="AAA66"/>
      <c r="AAB66"/>
      <c r="AAC66"/>
      <c r="AAD66"/>
      <c r="AAE66"/>
      <c r="AAF66"/>
      <c r="AAG66"/>
      <c r="AAH66"/>
      <c r="AAI66"/>
      <c r="AAJ66"/>
      <c r="AAK66"/>
      <c r="AAL66"/>
      <c r="AAM66"/>
      <c r="AAN66"/>
      <c r="AAO66"/>
      <c r="AAP66"/>
      <c r="AAQ66"/>
      <c r="AAR66"/>
      <c r="AAS66"/>
      <c r="AAT66"/>
      <c r="AAU66"/>
      <c r="AAV66"/>
      <c r="AAW66"/>
      <c r="AAX66"/>
      <c r="AAY66"/>
      <c r="AAZ66"/>
      <c r="ABA66"/>
      <c r="ABB66"/>
      <c r="ABC66"/>
      <c r="ABD66"/>
      <c r="ABE66"/>
      <c r="ABF66"/>
      <c r="ABG66"/>
      <c r="ABH66"/>
      <c r="ABI66"/>
      <c r="ABJ66"/>
      <c r="ABK66"/>
      <c r="ABL66"/>
      <c r="ABM66"/>
      <c r="ABN66"/>
      <c r="ABO66"/>
      <c r="ABP66"/>
      <c r="ABQ66"/>
      <c r="ABR66"/>
      <c r="ABS66"/>
      <c r="ABT66"/>
      <c r="ABU66"/>
      <c r="ABV66"/>
      <c r="ABW66"/>
      <c r="ABX66"/>
      <c r="ABY66"/>
      <c r="ABZ66"/>
      <c r="ACA66"/>
      <c r="ACB66"/>
      <c r="ACC66"/>
      <c r="ACD66"/>
      <c r="ACE66"/>
      <c r="ACF66"/>
      <c r="ACG66"/>
      <c r="ACH66"/>
      <c r="ACI66"/>
      <c r="ACJ66"/>
      <c r="ACK66"/>
      <c r="ACL66"/>
      <c r="ACM66"/>
      <c r="ACN66"/>
      <c r="ACO66"/>
      <c r="ACP66"/>
      <c r="ACQ66"/>
      <c r="ACR66"/>
      <c r="ACS66"/>
      <c r="ACT66"/>
      <c r="ACU66"/>
      <c r="ACV66"/>
      <c r="ACW66"/>
      <c r="ACX66"/>
      <c r="ACY66"/>
      <c r="ACZ66"/>
      <c r="ADA66"/>
      <c r="ADB66"/>
      <c r="ADC66"/>
      <c r="ADD66"/>
      <c r="ADE66"/>
      <c r="ADF66"/>
      <c r="ADG66"/>
      <c r="ADH66"/>
      <c r="ADI66"/>
      <c r="ADJ66"/>
      <c r="ADK66"/>
      <c r="ADL66"/>
      <c r="ADM66"/>
      <c r="ADN66"/>
      <c r="ADO66"/>
      <c r="ADP66"/>
      <c r="ADQ66"/>
      <c r="ADR66"/>
      <c r="ADS66"/>
      <c r="ADT66"/>
      <c r="ADU66"/>
      <c r="ADV66"/>
      <c r="ADW66"/>
      <c r="ADX66"/>
      <c r="ADY66"/>
      <c r="ADZ66"/>
      <c r="AEA66"/>
      <c r="AEB66"/>
      <c r="AEC66"/>
      <c r="AED66"/>
      <c r="AEE66"/>
      <c r="AEF66"/>
      <c r="AEG66"/>
      <c r="AEH66"/>
      <c r="AEI66"/>
      <c r="AEJ66"/>
      <c r="AEK66"/>
      <c r="AEL66"/>
      <c r="AEM66"/>
      <c r="AEN66"/>
      <c r="AEO66"/>
      <c r="AEP66"/>
      <c r="AEQ66"/>
      <c r="AER66"/>
      <c r="AES66"/>
      <c r="AET66"/>
      <c r="AEU66"/>
      <c r="AEV66"/>
      <c r="AEW66"/>
      <c r="AEX66"/>
      <c r="AEY66"/>
      <c r="AEZ66"/>
      <c r="AFA66"/>
      <c r="AFB66"/>
      <c r="AFC66"/>
      <c r="AFD66"/>
      <c r="AFE66"/>
      <c r="AFF66"/>
      <c r="AFG66"/>
      <c r="AFH66"/>
      <c r="AFI66"/>
      <c r="AFJ66"/>
      <c r="AFK66"/>
      <c r="AFL66"/>
      <c r="AFM66"/>
      <c r="AFN66"/>
      <c r="AFO66"/>
      <c r="AFP66"/>
      <c r="AFQ66"/>
      <c r="AFR66"/>
      <c r="AFS66"/>
      <c r="AFT66"/>
      <c r="AFU66"/>
      <c r="AFV66"/>
      <c r="AFW66"/>
      <c r="AFX66"/>
      <c r="AFY66"/>
      <c r="AFZ66"/>
      <c r="AGA66"/>
      <c r="AGB66"/>
      <c r="AGC66"/>
      <c r="AGD66"/>
      <c r="AGE66"/>
      <c r="AGF66"/>
      <c r="AGG66"/>
      <c r="AGH66"/>
      <c r="AGI66"/>
      <c r="AGJ66"/>
      <c r="AGK66"/>
      <c r="AGL66"/>
      <c r="AGM66"/>
      <c r="AGN66"/>
      <c r="AGO66"/>
      <c r="AGP66"/>
      <c r="AGQ66"/>
      <c r="AGR66"/>
      <c r="AGS66"/>
      <c r="AGT66"/>
      <c r="AGU66"/>
      <c r="AGV66"/>
      <c r="AGW66"/>
      <c r="AGX66"/>
      <c r="AGY66"/>
      <c r="AGZ66"/>
      <c r="AHA66"/>
      <c r="AHB66"/>
      <c r="AHC66"/>
      <c r="AHD66"/>
      <c r="AHE66"/>
      <c r="AHF66"/>
      <c r="AHG66"/>
      <c r="AHH66"/>
      <c r="AHI66"/>
      <c r="AHJ66"/>
      <c r="AHK66"/>
      <c r="AHL66"/>
      <c r="AHM66"/>
      <c r="AHN66"/>
      <c r="AHO66"/>
      <c r="AHP66"/>
      <c r="AHQ66"/>
      <c r="AHR66"/>
      <c r="AHS66"/>
      <c r="AHT66"/>
      <c r="AHU66"/>
      <c r="AHV66"/>
      <c r="AHW66"/>
      <c r="AHX66"/>
      <c r="AHY66"/>
      <c r="AHZ66"/>
      <c r="AIA66"/>
      <c r="AIB66"/>
      <c r="AIC66"/>
      <c r="AID66"/>
      <c r="AIE66"/>
      <c r="AIF66"/>
      <c r="AIG66"/>
      <c r="AIH66"/>
      <c r="AII66"/>
      <c r="AIJ66"/>
      <c r="AIK66"/>
      <c r="AIL66"/>
      <c r="AIM66"/>
      <c r="AIN66"/>
      <c r="AIO66"/>
      <c r="AIP66"/>
      <c r="AIQ66"/>
      <c r="AIR66"/>
      <c r="AIS66"/>
      <c r="AIT66"/>
      <c r="AIU66"/>
      <c r="AIV66"/>
      <c r="AIW66"/>
      <c r="AIX66"/>
      <c r="AIY66"/>
      <c r="AIZ66"/>
      <c r="AJA66"/>
      <c r="AJB66"/>
      <c r="AJC66"/>
      <c r="AJD66"/>
      <c r="AJE66"/>
      <c r="AJF66"/>
      <c r="AJG66"/>
      <c r="AJH66"/>
      <c r="AJI66"/>
      <c r="AJJ66"/>
      <c r="AJK66"/>
      <c r="AJL66"/>
      <c r="AJM66"/>
      <c r="AJN66"/>
      <c r="AJO66"/>
      <c r="AJP66"/>
      <c r="AJQ66"/>
      <c r="AJR66"/>
      <c r="AJS66"/>
      <c r="AJT66"/>
      <c r="AJU66"/>
      <c r="AJV66"/>
      <c r="AJW66"/>
      <c r="AJX66"/>
      <c r="AJY66"/>
      <c r="AJZ66"/>
      <c r="AKA66"/>
      <c r="AKB66"/>
      <c r="AKC66"/>
      <c r="AKD66"/>
      <c r="AKE66"/>
      <c r="AKF66"/>
      <c r="AKG66"/>
      <c r="AKH66"/>
      <c r="AKI66"/>
      <c r="AKJ66"/>
      <c r="AKK66"/>
      <c r="AKL66"/>
      <c r="AKM66"/>
      <c r="AKN66"/>
      <c r="AKO66"/>
      <c r="AKP66"/>
      <c r="AKQ66"/>
      <c r="AKR66"/>
      <c r="AKS66"/>
      <c r="AKT66"/>
      <c r="AKU66"/>
      <c r="AKV66"/>
      <c r="AKW66"/>
      <c r="AKX66"/>
      <c r="AKY66"/>
      <c r="AKZ66"/>
      <c r="ALA66"/>
      <c r="ALB66"/>
      <c r="ALC66"/>
      <c r="ALD66"/>
      <c r="ALE66"/>
      <c r="ALF66"/>
      <c r="ALG66"/>
      <c r="ALH66"/>
      <c r="ALI66"/>
      <c r="ALJ66"/>
      <c r="ALK66"/>
      <c r="ALL66"/>
      <c r="ALM66"/>
      <c r="ALN66"/>
      <c r="ALO66"/>
      <c r="ALP66"/>
      <c r="ALQ66"/>
      <c r="ALR66"/>
      <c r="ALS66"/>
      <c r="ALT66"/>
      <c r="ALU66"/>
      <c r="ALV66"/>
      <c r="ALW66"/>
      <c r="ALX66"/>
      <c r="ALY66"/>
      <c r="ALZ66"/>
      <c r="AMA66"/>
      <c r="AMB66"/>
      <c r="AMC66"/>
      <c r="AMD66"/>
      <c r="AME66"/>
      <c r="AMF66"/>
      <c r="AMG66"/>
      <c r="AMH66"/>
      <c r="AMI66"/>
      <c r="AMJ66"/>
    </row>
    <row r="67" spans="1:1024" s="182" customFormat="1" ht="59.25" hidden="1" customHeight="1">
      <c r="A67" s="103" t="s">
        <v>105</v>
      </c>
      <c r="B67" s="103"/>
      <c r="C67" s="103"/>
      <c r="D67" s="196"/>
      <c r="E67" s="196"/>
      <c r="F67" s="196"/>
      <c r="G67" s="196"/>
      <c r="H67" s="196"/>
      <c r="I67" s="196"/>
      <c r="J67" s="196"/>
      <c r="K67" s="196"/>
      <c r="L67" s="196"/>
      <c r="M67" s="197"/>
      <c r="N67" s="196"/>
      <c r="O67" s="196"/>
      <c r="P67" s="196"/>
      <c r="Q67" s="196"/>
      <c r="R67" s="196"/>
      <c r="S67" s="196"/>
      <c r="T67" s="196"/>
      <c r="W67" s="187"/>
      <c r="X67" s="188"/>
      <c r="Y67" s="187"/>
      <c r="Z67" s="189"/>
      <c r="AA67" s="189"/>
      <c r="AC67" s="89"/>
      <c r="AD67" s="72"/>
    </row>
    <row r="68" spans="1:1024" s="192" customFormat="1" ht="59.25" hidden="1" customHeight="1">
      <c r="A68" s="103" t="s">
        <v>105</v>
      </c>
      <c r="B68" s="103"/>
      <c r="C68" s="103"/>
      <c r="D68" s="126" t="s">
        <v>232</v>
      </c>
      <c r="E68" s="55"/>
      <c r="F68" s="55"/>
      <c r="G68" s="55"/>
      <c r="H68" s="55"/>
      <c r="I68" s="55"/>
      <c r="J68" s="55"/>
      <c r="K68" s="55"/>
      <c r="L68" s="55"/>
      <c r="M68" s="55"/>
      <c r="N68" s="56"/>
      <c r="O68" s="56"/>
      <c r="P68" s="55"/>
      <c r="Q68" s="55"/>
      <c r="R68" s="55"/>
      <c r="S68" s="55"/>
      <c r="T68" s="57"/>
      <c r="W68" s="193"/>
      <c r="X68" s="188"/>
      <c r="Y68" s="193"/>
      <c r="Z68" s="194"/>
      <c r="AA68" s="194"/>
      <c r="AC68" s="89"/>
      <c r="AD68" s="72"/>
    </row>
    <row r="69" spans="1:1024" ht="59.25" hidden="1" customHeight="1">
      <c r="A69" s="103" t="s">
        <v>105</v>
      </c>
      <c r="B69" s="103"/>
      <c r="C69" s="103"/>
      <c r="D69" s="325" t="s">
        <v>59</v>
      </c>
      <c r="E69" s="320" t="s">
        <v>60</v>
      </c>
      <c r="F69" s="326" t="s">
        <v>61</v>
      </c>
      <c r="G69" s="320"/>
      <c r="H69" s="320"/>
      <c r="I69" s="318"/>
      <c r="J69" s="319" t="s">
        <v>54</v>
      </c>
      <c r="K69" s="319"/>
      <c r="L69" s="319"/>
      <c r="M69" s="320" t="s">
        <v>230</v>
      </c>
      <c r="N69" s="321"/>
      <c r="O69" s="321"/>
      <c r="P69" s="320"/>
      <c r="Q69" s="320"/>
      <c r="R69" s="320"/>
      <c r="S69" s="320"/>
      <c r="T69" s="324"/>
      <c r="U69"/>
      <c r="V69"/>
      <c r="W69" s="193"/>
      <c r="X69" s="188"/>
      <c r="Y69" s="193"/>
      <c r="Z69" s="194"/>
      <c r="AA69" s="194"/>
      <c r="AB69"/>
      <c r="AC69" s="89"/>
      <c r="AD69" s="72"/>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c r="SG69"/>
      <c r="SH69"/>
      <c r="SI69"/>
      <c r="SJ69"/>
      <c r="SK69"/>
      <c r="SL69"/>
      <c r="SM69"/>
      <c r="SN69"/>
      <c r="SO69"/>
      <c r="SP69"/>
      <c r="SQ69"/>
      <c r="SR69"/>
      <c r="SS69"/>
      <c r="ST69"/>
      <c r="SU69"/>
      <c r="SV69"/>
      <c r="SW69"/>
      <c r="SX69"/>
      <c r="SY69"/>
      <c r="SZ69"/>
      <c r="TA69"/>
      <c r="TB69"/>
      <c r="TC69"/>
      <c r="TD69"/>
      <c r="TE69"/>
      <c r="TF69"/>
      <c r="TG69"/>
      <c r="TH69"/>
      <c r="TI69"/>
      <c r="TJ69"/>
      <c r="TK69"/>
      <c r="TL69"/>
      <c r="TM69"/>
      <c r="TN69"/>
      <c r="TO69"/>
      <c r="TP69"/>
      <c r="TQ69"/>
      <c r="TR69"/>
      <c r="TS69"/>
      <c r="TT69"/>
      <c r="TU69"/>
      <c r="TV69"/>
      <c r="TW69"/>
      <c r="TX69"/>
      <c r="TY69"/>
      <c r="TZ69"/>
      <c r="UA69"/>
      <c r="UB69"/>
      <c r="UC69"/>
      <c r="UD69"/>
      <c r="UE69"/>
      <c r="UF69"/>
      <c r="UG69"/>
      <c r="UH69"/>
      <c r="UI69"/>
      <c r="UJ69"/>
      <c r="UK69"/>
      <c r="UL69"/>
      <c r="UM69"/>
      <c r="UN69"/>
      <c r="UO69"/>
      <c r="UP69"/>
      <c r="UQ69"/>
      <c r="UR69"/>
      <c r="US69"/>
      <c r="UT69"/>
      <c r="UU69"/>
      <c r="UV69"/>
      <c r="UW69"/>
      <c r="UX69"/>
      <c r="UY69"/>
      <c r="UZ69"/>
      <c r="VA69"/>
      <c r="VB69"/>
      <c r="VC69"/>
      <c r="VD69"/>
      <c r="VE69"/>
      <c r="VF69"/>
      <c r="VG69"/>
      <c r="VH69"/>
      <c r="VI69"/>
      <c r="VJ69"/>
      <c r="VK69"/>
      <c r="VL69"/>
      <c r="VM69"/>
      <c r="VN69"/>
      <c r="VO69"/>
      <c r="VP69"/>
      <c r="VQ69"/>
      <c r="VR69"/>
      <c r="VS69"/>
      <c r="VT69"/>
      <c r="VU69"/>
      <c r="VV69"/>
      <c r="VW69"/>
      <c r="VX69"/>
      <c r="VY69"/>
      <c r="VZ69"/>
      <c r="WA69"/>
      <c r="WB69"/>
      <c r="WC69"/>
      <c r="WD69"/>
      <c r="WE69"/>
      <c r="WF69"/>
      <c r="WG69"/>
      <c r="WH69"/>
      <c r="WI69"/>
      <c r="WJ69"/>
      <c r="WK69"/>
      <c r="WL69"/>
      <c r="WM69"/>
      <c r="WN69"/>
      <c r="WO69"/>
      <c r="WP69"/>
      <c r="WQ69"/>
      <c r="WR69"/>
      <c r="WS69"/>
      <c r="WT69"/>
      <c r="WU69"/>
      <c r="WV69"/>
      <c r="WW69"/>
      <c r="WX69"/>
      <c r="WY69"/>
      <c r="WZ69"/>
      <c r="XA69"/>
      <c r="XB69"/>
      <c r="XC69"/>
      <c r="XD69"/>
      <c r="XE69"/>
      <c r="XF69"/>
      <c r="XG69"/>
      <c r="XH69"/>
      <c r="XI69"/>
      <c r="XJ69"/>
      <c r="XK69"/>
      <c r="XL69"/>
      <c r="XM69"/>
      <c r="XN69"/>
      <c r="XO69"/>
      <c r="XP69"/>
      <c r="XQ69"/>
      <c r="XR69"/>
      <c r="XS69"/>
      <c r="XT69"/>
      <c r="XU69"/>
      <c r="XV69"/>
      <c r="XW69"/>
      <c r="XX69"/>
      <c r="XY69"/>
      <c r="XZ69"/>
      <c r="YA69"/>
      <c r="YB69"/>
      <c r="YC69"/>
      <c r="YD69"/>
      <c r="YE69"/>
      <c r="YF69"/>
      <c r="YG69"/>
      <c r="YH69"/>
      <c r="YI69"/>
      <c r="YJ69"/>
      <c r="YK69"/>
      <c r="YL69"/>
      <c r="YM69"/>
      <c r="YN69"/>
      <c r="YO69"/>
      <c r="YP69"/>
      <c r="YQ69"/>
      <c r="YR69"/>
      <c r="YS69"/>
      <c r="YT69"/>
      <c r="YU69"/>
      <c r="YV69"/>
      <c r="YW69"/>
      <c r="YX69"/>
      <c r="YY69"/>
      <c r="YZ69"/>
      <c r="ZA69"/>
      <c r="ZB69"/>
      <c r="ZC69"/>
      <c r="ZD69"/>
      <c r="ZE69"/>
      <c r="ZF69"/>
      <c r="ZG69"/>
      <c r="ZH69"/>
      <c r="ZI69"/>
      <c r="ZJ69"/>
      <c r="ZK69"/>
      <c r="ZL69"/>
      <c r="ZM69"/>
      <c r="ZN69"/>
      <c r="ZO69"/>
      <c r="ZP69"/>
      <c r="ZQ69"/>
      <c r="ZR69"/>
      <c r="ZS69"/>
      <c r="ZT69"/>
      <c r="ZU69"/>
      <c r="ZV69"/>
      <c r="ZW69"/>
      <c r="ZX69"/>
      <c r="ZY69"/>
      <c r="ZZ69"/>
      <c r="AAA69"/>
      <c r="AAB69"/>
      <c r="AAC69"/>
      <c r="AAD69"/>
      <c r="AAE69"/>
      <c r="AAF69"/>
      <c r="AAG69"/>
      <c r="AAH69"/>
      <c r="AAI69"/>
      <c r="AAJ69"/>
      <c r="AAK69"/>
      <c r="AAL69"/>
      <c r="AAM69"/>
      <c r="AAN69"/>
      <c r="AAO69"/>
      <c r="AAP69"/>
      <c r="AAQ69"/>
      <c r="AAR69"/>
      <c r="AAS69"/>
      <c r="AAT69"/>
      <c r="AAU69"/>
      <c r="AAV69"/>
      <c r="AAW69"/>
      <c r="AAX69"/>
      <c r="AAY69"/>
      <c r="AAZ69"/>
      <c r="ABA69"/>
      <c r="ABB69"/>
      <c r="ABC69"/>
      <c r="ABD69"/>
      <c r="ABE69"/>
      <c r="ABF69"/>
      <c r="ABG69"/>
      <c r="ABH69"/>
      <c r="ABI69"/>
      <c r="ABJ69"/>
      <c r="ABK69"/>
      <c r="ABL69"/>
      <c r="ABM69"/>
      <c r="ABN69"/>
      <c r="ABO69"/>
      <c r="ABP69"/>
      <c r="ABQ69"/>
      <c r="ABR69"/>
      <c r="ABS69"/>
      <c r="ABT69"/>
      <c r="ABU69"/>
      <c r="ABV69"/>
      <c r="ABW69"/>
      <c r="ABX69"/>
      <c r="ABY69"/>
      <c r="ABZ69"/>
      <c r="ACA69"/>
      <c r="ACB69"/>
      <c r="ACC69"/>
      <c r="ACD69"/>
      <c r="ACE69"/>
      <c r="ACF69"/>
      <c r="ACG69"/>
      <c r="ACH69"/>
      <c r="ACI69"/>
      <c r="ACJ69"/>
      <c r="ACK69"/>
      <c r="ACL69"/>
      <c r="ACM69"/>
      <c r="ACN69"/>
      <c r="ACO69"/>
      <c r="ACP69"/>
      <c r="ACQ69"/>
      <c r="ACR69"/>
      <c r="ACS69"/>
      <c r="ACT69"/>
      <c r="ACU69"/>
      <c r="ACV69"/>
      <c r="ACW69"/>
      <c r="ACX69"/>
      <c r="ACY69"/>
      <c r="ACZ69"/>
      <c r="ADA69"/>
      <c r="ADB69"/>
      <c r="ADC69"/>
      <c r="ADD69"/>
      <c r="ADE69"/>
      <c r="ADF69"/>
      <c r="ADG69"/>
      <c r="ADH69"/>
      <c r="ADI69"/>
      <c r="ADJ69"/>
      <c r="ADK69"/>
      <c r="ADL69"/>
      <c r="ADM69"/>
      <c r="ADN69"/>
      <c r="ADO69"/>
      <c r="ADP69"/>
      <c r="ADQ69"/>
      <c r="ADR69"/>
      <c r="ADS69"/>
      <c r="ADT69"/>
      <c r="ADU69"/>
      <c r="ADV69"/>
      <c r="ADW69"/>
      <c r="ADX69"/>
      <c r="ADY69"/>
      <c r="ADZ69"/>
      <c r="AEA69"/>
      <c r="AEB69"/>
      <c r="AEC69"/>
      <c r="AED69"/>
      <c r="AEE69"/>
      <c r="AEF69"/>
      <c r="AEG69"/>
      <c r="AEH69"/>
      <c r="AEI69"/>
      <c r="AEJ69"/>
      <c r="AEK69"/>
      <c r="AEL69"/>
      <c r="AEM69"/>
      <c r="AEN69"/>
      <c r="AEO69"/>
      <c r="AEP69"/>
      <c r="AEQ69"/>
      <c r="AER69"/>
      <c r="AES69"/>
      <c r="AET69"/>
      <c r="AEU69"/>
      <c r="AEV69"/>
      <c r="AEW69"/>
      <c r="AEX69"/>
      <c r="AEY69"/>
      <c r="AEZ69"/>
      <c r="AFA69"/>
      <c r="AFB69"/>
      <c r="AFC69"/>
      <c r="AFD69"/>
      <c r="AFE69"/>
      <c r="AFF69"/>
      <c r="AFG69"/>
      <c r="AFH69"/>
      <c r="AFI69"/>
      <c r="AFJ69"/>
      <c r="AFK69"/>
      <c r="AFL69"/>
      <c r="AFM69"/>
      <c r="AFN69"/>
      <c r="AFO69"/>
      <c r="AFP69"/>
      <c r="AFQ69"/>
      <c r="AFR69"/>
      <c r="AFS69"/>
      <c r="AFT69"/>
      <c r="AFU69"/>
      <c r="AFV69"/>
      <c r="AFW69"/>
      <c r="AFX69"/>
      <c r="AFY69"/>
      <c r="AFZ69"/>
      <c r="AGA69"/>
      <c r="AGB69"/>
      <c r="AGC69"/>
      <c r="AGD69"/>
      <c r="AGE69"/>
      <c r="AGF69"/>
      <c r="AGG69"/>
      <c r="AGH69"/>
      <c r="AGI69"/>
      <c r="AGJ69"/>
      <c r="AGK69"/>
      <c r="AGL69"/>
      <c r="AGM69"/>
      <c r="AGN69"/>
      <c r="AGO69"/>
      <c r="AGP69"/>
      <c r="AGQ69"/>
      <c r="AGR69"/>
      <c r="AGS69"/>
      <c r="AGT69"/>
      <c r="AGU69"/>
      <c r="AGV69"/>
      <c r="AGW69"/>
      <c r="AGX69"/>
      <c r="AGY69"/>
      <c r="AGZ69"/>
      <c r="AHA69"/>
      <c r="AHB69"/>
      <c r="AHC69"/>
      <c r="AHD69"/>
      <c r="AHE69"/>
      <c r="AHF69"/>
      <c r="AHG69"/>
      <c r="AHH69"/>
      <c r="AHI69"/>
      <c r="AHJ69"/>
      <c r="AHK69"/>
      <c r="AHL69"/>
      <c r="AHM69"/>
      <c r="AHN69"/>
      <c r="AHO69"/>
      <c r="AHP69"/>
      <c r="AHQ69"/>
      <c r="AHR69"/>
      <c r="AHS69"/>
      <c r="AHT69"/>
      <c r="AHU69"/>
      <c r="AHV69"/>
      <c r="AHW69"/>
      <c r="AHX69"/>
      <c r="AHY69"/>
      <c r="AHZ69"/>
      <c r="AIA69"/>
      <c r="AIB69"/>
      <c r="AIC69"/>
      <c r="AID69"/>
      <c r="AIE69"/>
      <c r="AIF69"/>
      <c r="AIG69"/>
      <c r="AIH69"/>
      <c r="AII69"/>
      <c r="AIJ69"/>
      <c r="AIK69"/>
      <c r="AIL69"/>
      <c r="AIM69"/>
      <c r="AIN69"/>
      <c r="AIO69"/>
      <c r="AIP69"/>
      <c r="AIQ69"/>
      <c r="AIR69"/>
      <c r="AIS69"/>
      <c r="AIT69"/>
      <c r="AIU69"/>
      <c r="AIV69"/>
      <c r="AIW69"/>
      <c r="AIX69"/>
      <c r="AIY69"/>
      <c r="AIZ69"/>
      <c r="AJA69"/>
      <c r="AJB69"/>
      <c r="AJC69"/>
      <c r="AJD69"/>
      <c r="AJE69"/>
      <c r="AJF69"/>
      <c r="AJG69"/>
      <c r="AJH69"/>
      <c r="AJI69"/>
      <c r="AJJ69"/>
      <c r="AJK69"/>
      <c r="AJL69"/>
      <c r="AJM69"/>
      <c r="AJN69"/>
      <c r="AJO69"/>
      <c r="AJP69"/>
      <c r="AJQ69"/>
      <c r="AJR69"/>
      <c r="AJS69"/>
      <c r="AJT69"/>
      <c r="AJU69"/>
      <c r="AJV69"/>
      <c r="AJW69"/>
      <c r="AJX69"/>
      <c r="AJY69"/>
      <c r="AJZ69"/>
      <c r="AKA69"/>
      <c r="AKB69"/>
      <c r="AKC69"/>
      <c r="AKD69"/>
      <c r="AKE69"/>
      <c r="AKF69"/>
      <c r="AKG69"/>
      <c r="AKH69"/>
      <c r="AKI69"/>
      <c r="AKJ69"/>
      <c r="AKK69"/>
      <c r="AKL69"/>
      <c r="AKM69"/>
      <c r="AKN69"/>
      <c r="AKO69"/>
      <c r="AKP69"/>
      <c r="AKQ69"/>
      <c r="AKR69"/>
      <c r="AKS69"/>
      <c r="AKT69"/>
      <c r="AKU69"/>
      <c r="AKV69"/>
      <c r="AKW69"/>
      <c r="AKX69"/>
      <c r="AKY69"/>
      <c r="AKZ69"/>
      <c r="ALA69"/>
      <c r="ALB69"/>
      <c r="ALC69"/>
      <c r="ALD69"/>
      <c r="ALE69"/>
      <c r="ALF69"/>
      <c r="ALG69"/>
      <c r="ALH69"/>
      <c r="ALI69"/>
      <c r="ALJ69"/>
      <c r="ALK69"/>
      <c r="ALL69"/>
      <c r="ALM69"/>
      <c r="ALN69"/>
      <c r="ALO69"/>
      <c r="ALP69"/>
      <c r="ALQ69"/>
      <c r="ALR69"/>
      <c r="ALS69"/>
      <c r="ALT69"/>
      <c r="ALU69"/>
      <c r="ALV69"/>
      <c r="ALW69"/>
      <c r="ALX69"/>
      <c r="ALY69"/>
      <c r="ALZ69"/>
      <c r="AMA69"/>
      <c r="AMB69"/>
      <c r="AMC69"/>
      <c r="AMD69"/>
      <c r="AME69"/>
      <c r="AMF69"/>
      <c r="AMG69"/>
      <c r="AMH69"/>
      <c r="AMI69"/>
      <c r="AMJ69"/>
    </row>
    <row r="70" spans="1:1024" ht="59.25" hidden="1" customHeight="1">
      <c r="A70" s="103" t="s">
        <v>105</v>
      </c>
      <c r="B70" s="103"/>
      <c r="C70" s="103"/>
      <c r="D70" s="325"/>
      <c r="E70" s="320"/>
      <c r="F70" s="326"/>
      <c r="G70" s="320"/>
      <c r="H70" s="320"/>
      <c r="I70" s="318"/>
      <c r="J70" s="174" t="s">
        <v>65</v>
      </c>
      <c r="K70" s="175" t="s">
        <v>66</v>
      </c>
      <c r="L70" s="176" t="s">
        <v>67</v>
      </c>
      <c r="M70" s="320"/>
      <c r="N70" s="168"/>
      <c r="O70" s="168"/>
      <c r="P70" s="320"/>
      <c r="Q70" s="320"/>
      <c r="R70" s="320"/>
      <c r="S70" s="320"/>
      <c r="T70" s="324"/>
      <c r="U70"/>
      <c r="V70"/>
      <c r="W70" s="193"/>
      <c r="X70" s="188"/>
      <c r="Y70" s="193"/>
      <c r="Z70" s="194"/>
      <c r="AA70" s="194"/>
      <c r="AB70"/>
      <c r="AC70" s="89"/>
      <c r="AD70" s="72"/>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c r="MS70"/>
      <c r="MT70"/>
      <c r="MU70"/>
      <c r="MV70"/>
      <c r="MW70"/>
      <c r="MX70"/>
      <c r="MY70"/>
      <c r="MZ70"/>
      <c r="NA70"/>
      <c r="NB70"/>
      <c r="NC70"/>
      <c r="ND70"/>
      <c r="NE70"/>
      <c r="NF70"/>
      <c r="NG70"/>
      <c r="NH70"/>
      <c r="NI70"/>
      <c r="NJ70"/>
      <c r="NK70"/>
      <c r="NL70"/>
      <c r="NM70"/>
      <c r="NN70"/>
      <c r="NO70"/>
      <c r="NP70"/>
      <c r="NQ70"/>
      <c r="NR70"/>
      <c r="NS70"/>
      <c r="NT70"/>
      <c r="NU70"/>
      <c r="NV70"/>
      <c r="NW70"/>
      <c r="NX70"/>
      <c r="NY70"/>
      <c r="NZ70"/>
      <c r="OA70"/>
      <c r="OB70"/>
      <c r="OC70"/>
      <c r="OD70"/>
      <c r="OE70"/>
      <c r="OF70"/>
      <c r="OG70"/>
      <c r="OH70"/>
      <c r="OI70"/>
      <c r="OJ70"/>
      <c r="OK70"/>
      <c r="OL70"/>
      <c r="OM70"/>
      <c r="ON70"/>
      <c r="OO70"/>
      <c r="OP70"/>
      <c r="OQ70"/>
      <c r="OR70"/>
      <c r="OS70"/>
      <c r="OT70"/>
      <c r="OU70"/>
      <c r="OV70"/>
      <c r="OW70"/>
      <c r="OX70"/>
      <c r="OY70"/>
      <c r="OZ70"/>
      <c r="PA70"/>
      <c r="PB70"/>
      <c r="PC70"/>
      <c r="PD70"/>
      <c r="PE70"/>
      <c r="PF70"/>
      <c r="PG70"/>
      <c r="PH70"/>
      <c r="PI70"/>
      <c r="PJ70"/>
      <c r="PK70"/>
      <c r="PL70"/>
      <c r="PM70"/>
      <c r="PN70"/>
      <c r="PO70"/>
      <c r="PP70"/>
      <c r="PQ70"/>
      <c r="PR70"/>
      <c r="PS70"/>
      <c r="PT70"/>
      <c r="PU70"/>
      <c r="PV70"/>
      <c r="PW70"/>
      <c r="PX70"/>
      <c r="PY70"/>
      <c r="PZ70"/>
      <c r="QA70"/>
      <c r="QB70"/>
      <c r="QC70"/>
      <c r="QD70"/>
      <c r="QE70"/>
      <c r="QF70"/>
      <c r="QG70"/>
      <c r="QH70"/>
      <c r="QI70"/>
      <c r="QJ70"/>
      <c r="QK70"/>
      <c r="QL70"/>
      <c r="QM70"/>
      <c r="QN70"/>
      <c r="QO70"/>
      <c r="QP70"/>
      <c r="QQ70"/>
      <c r="QR70"/>
      <c r="QS70"/>
      <c r="QT70"/>
      <c r="QU70"/>
      <c r="QV70"/>
      <c r="QW70"/>
      <c r="QX70"/>
      <c r="QY70"/>
      <c r="QZ70"/>
      <c r="RA70"/>
      <c r="RB70"/>
      <c r="RC70"/>
      <c r="RD70"/>
      <c r="RE70"/>
      <c r="RF70"/>
      <c r="RG70"/>
      <c r="RH70"/>
      <c r="RI70"/>
      <c r="RJ70"/>
      <c r="RK70"/>
      <c r="RL70"/>
      <c r="RM70"/>
      <c r="RN70"/>
      <c r="RO70"/>
      <c r="RP70"/>
      <c r="RQ70"/>
      <c r="RR70"/>
      <c r="RS70"/>
      <c r="RT70"/>
      <c r="RU70"/>
      <c r="RV70"/>
      <c r="RW70"/>
      <c r="RX70"/>
      <c r="RY70"/>
      <c r="RZ70"/>
      <c r="SA70"/>
      <c r="SB70"/>
      <c r="SC70"/>
      <c r="SD70"/>
      <c r="SE70"/>
      <c r="SF70"/>
      <c r="SG70"/>
      <c r="SH70"/>
      <c r="SI70"/>
      <c r="SJ70"/>
      <c r="SK70"/>
      <c r="SL70"/>
      <c r="SM70"/>
      <c r="SN70"/>
      <c r="SO70"/>
      <c r="SP70"/>
      <c r="SQ70"/>
      <c r="SR70"/>
      <c r="SS70"/>
      <c r="ST70"/>
      <c r="SU70"/>
      <c r="SV70"/>
      <c r="SW70"/>
      <c r="SX70"/>
      <c r="SY70"/>
      <c r="SZ70"/>
      <c r="TA70"/>
      <c r="TB70"/>
      <c r="TC70"/>
      <c r="TD70"/>
      <c r="TE70"/>
      <c r="TF70"/>
      <c r="TG70"/>
      <c r="TH70"/>
      <c r="TI70"/>
      <c r="TJ70"/>
      <c r="TK70"/>
      <c r="TL70"/>
      <c r="TM70"/>
      <c r="TN70"/>
      <c r="TO70"/>
      <c r="TP70"/>
      <c r="TQ70"/>
      <c r="TR70"/>
      <c r="TS70"/>
      <c r="TT70"/>
      <c r="TU70"/>
      <c r="TV70"/>
      <c r="TW70"/>
      <c r="TX70"/>
      <c r="TY70"/>
      <c r="TZ70"/>
      <c r="UA70"/>
      <c r="UB70"/>
      <c r="UC70"/>
      <c r="UD70"/>
      <c r="UE70"/>
      <c r="UF70"/>
      <c r="UG70"/>
      <c r="UH70"/>
      <c r="UI70"/>
      <c r="UJ70"/>
      <c r="UK70"/>
      <c r="UL70"/>
      <c r="UM70"/>
      <c r="UN70"/>
      <c r="UO70"/>
      <c r="UP70"/>
      <c r="UQ70"/>
      <c r="UR70"/>
      <c r="US70"/>
      <c r="UT70"/>
      <c r="UU70"/>
      <c r="UV70"/>
      <c r="UW70"/>
      <c r="UX70"/>
      <c r="UY70"/>
      <c r="UZ70"/>
      <c r="VA70"/>
      <c r="VB70"/>
      <c r="VC70"/>
      <c r="VD70"/>
      <c r="VE70"/>
      <c r="VF70"/>
      <c r="VG70"/>
      <c r="VH70"/>
      <c r="VI70"/>
      <c r="VJ70"/>
      <c r="VK70"/>
      <c r="VL70"/>
      <c r="VM70"/>
      <c r="VN70"/>
      <c r="VO70"/>
      <c r="VP70"/>
      <c r="VQ70"/>
      <c r="VR70"/>
      <c r="VS70"/>
      <c r="VT70"/>
      <c r="VU70"/>
      <c r="VV70"/>
      <c r="VW70"/>
      <c r="VX70"/>
      <c r="VY70"/>
      <c r="VZ70"/>
      <c r="WA70"/>
      <c r="WB70"/>
      <c r="WC70"/>
      <c r="WD70"/>
      <c r="WE70"/>
      <c r="WF70"/>
      <c r="WG70"/>
      <c r="WH70"/>
      <c r="WI70"/>
      <c r="WJ70"/>
      <c r="WK70"/>
      <c r="WL70"/>
      <c r="WM70"/>
      <c r="WN70"/>
      <c r="WO70"/>
      <c r="WP70"/>
      <c r="WQ70"/>
      <c r="WR70"/>
      <c r="WS70"/>
      <c r="WT70"/>
      <c r="WU70"/>
      <c r="WV70"/>
      <c r="WW70"/>
      <c r="WX70"/>
      <c r="WY70"/>
      <c r="WZ70"/>
      <c r="XA70"/>
      <c r="XB70"/>
      <c r="XC70"/>
      <c r="XD70"/>
      <c r="XE70"/>
      <c r="XF70"/>
      <c r="XG70"/>
      <c r="XH70"/>
      <c r="XI70"/>
      <c r="XJ70"/>
      <c r="XK70"/>
      <c r="XL70"/>
      <c r="XM70"/>
      <c r="XN70"/>
      <c r="XO70"/>
      <c r="XP70"/>
      <c r="XQ70"/>
      <c r="XR70"/>
      <c r="XS70"/>
      <c r="XT70"/>
      <c r="XU70"/>
      <c r="XV70"/>
      <c r="XW70"/>
      <c r="XX70"/>
      <c r="XY70"/>
      <c r="XZ70"/>
      <c r="YA70"/>
      <c r="YB70"/>
      <c r="YC70"/>
      <c r="YD70"/>
      <c r="YE70"/>
      <c r="YF70"/>
      <c r="YG70"/>
      <c r="YH70"/>
      <c r="YI70"/>
      <c r="YJ70"/>
      <c r="YK70"/>
      <c r="YL70"/>
      <c r="YM70"/>
      <c r="YN70"/>
      <c r="YO70"/>
      <c r="YP70"/>
      <c r="YQ70"/>
      <c r="YR70"/>
      <c r="YS70"/>
      <c r="YT70"/>
      <c r="YU70"/>
      <c r="YV70"/>
      <c r="YW70"/>
      <c r="YX70"/>
      <c r="YY70"/>
      <c r="YZ70"/>
      <c r="ZA70"/>
      <c r="ZB70"/>
      <c r="ZC70"/>
      <c r="ZD70"/>
      <c r="ZE70"/>
      <c r="ZF70"/>
      <c r="ZG70"/>
      <c r="ZH70"/>
      <c r="ZI70"/>
      <c r="ZJ70"/>
      <c r="ZK70"/>
      <c r="ZL70"/>
      <c r="ZM70"/>
      <c r="ZN70"/>
      <c r="ZO70"/>
      <c r="ZP70"/>
      <c r="ZQ70"/>
      <c r="ZR70"/>
      <c r="ZS70"/>
      <c r="ZT70"/>
      <c r="ZU70"/>
      <c r="ZV70"/>
      <c r="ZW70"/>
      <c r="ZX70"/>
      <c r="ZY70"/>
      <c r="ZZ70"/>
      <c r="AAA70"/>
      <c r="AAB70"/>
      <c r="AAC70"/>
      <c r="AAD70"/>
      <c r="AAE70"/>
      <c r="AAF70"/>
      <c r="AAG70"/>
      <c r="AAH70"/>
      <c r="AAI70"/>
      <c r="AAJ70"/>
      <c r="AAK70"/>
      <c r="AAL70"/>
      <c r="AAM70"/>
      <c r="AAN70"/>
      <c r="AAO70"/>
      <c r="AAP70"/>
      <c r="AAQ70"/>
      <c r="AAR70"/>
      <c r="AAS70"/>
      <c r="AAT70"/>
      <c r="AAU70"/>
      <c r="AAV70"/>
      <c r="AAW70"/>
      <c r="AAX70"/>
      <c r="AAY70"/>
      <c r="AAZ70"/>
      <c r="ABA70"/>
      <c r="ABB70"/>
      <c r="ABC70"/>
      <c r="ABD70"/>
      <c r="ABE70"/>
      <c r="ABF70"/>
      <c r="ABG70"/>
      <c r="ABH70"/>
      <c r="ABI70"/>
      <c r="ABJ70"/>
      <c r="ABK70"/>
      <c r="ABL70"/>
      <c r="ABM70"/>
      <c r="ABN70"/>
      <c r="ABO70"/>
      <c r="ABP70"/>
      <c r="ABQ70"/>
      <c r="ABR70"/>
      <c r="ABS70"/>
      <c r="ABT70"/>
      <c r="ABU70"/>
      <c r="ABV70"/>
      <c r="ABW70"/>
      <c r="ABX70"/>
      <c r="ABY70"/>
      <c r="ABZ70"/>
      <c r="ACA70"/>
      <c r="ACB70"/>
      <c r="ACC70"/>
      <c r="ACD70"/>
      <c r="ACE70"/>
      <c r="ACF70"/>
      <c r="ACG70"/>
      <c r="ACH70"/>
      <c r="ACI70"/>
      <c r="ACJ70"/>
      <c r="ACK70"/>
      <c r="ACL70"/>
      <c r="ACM70"/>
      <c r="ACN70"/>
      <c r="ACO70"/>
      <c r="ACP70"/>
      <c r="ACQ70"/>
      <c r="ACR70"/>
      <c r="ACS70"/>
      <c r="ACT70"/>
      <c r="ACU70"/>
      <c r="ACV70"/>
      <c r="ACW70"/>
      <c r="ACX70"/>
      <c r="ACY70"/>
      <c r="ACZ70"/>
      <c r="ADA70"/>
      <c r="ADB70"/>
      <c r="ADC70"/>
      <c r="ADD70"/>
      <c r="ADE70"/>
      <c r="ADF70"/>
      <c r="ADG70"/>
      <c r="ADH70"/>
      <c r="ADI70"/>
      <c r="ADJ70"/>
      <c r="ADK70"/>
      <c r="ADL70"/>
      <c r="ADM70"/>
      <c r="ADN70"/>
      <c r="ADO70"/>
      <c r="ADP70"/>
      <c r="ADQ70"/>
      <c r="ADR70"/>
      <c r="ADS70"/>
      <c r="ADT70"/>
      <c r="ADU70"/>
      <c r="ADV70"/>
      <c r="ADW70"/>
      <c r="ADX70"/>
      <c r="ADY70"/>
      <c r="ADZ70"/>
      <c r="AEA70"/>
      <c r="AEB70"/>
      <c r="AEC70"/>
      <c r="AED70"/>
      <c r="AEE70"/>
      <c r="AEF70"/>
      <c r="AEG70"/>
      <c r="AEH70"/>
      <c r="AEI70"/>
      <c r="AEJ70"/>
      <c r="AEK70"/>
      <c r="AEL70"/>
      <c r="AEM70"/>
      <c r="AEN70"/>
      <c r="AEO70"/>
      <c r="AEP70"/>
      <c r="AEQ70"/>
      <c r="AER70"/>
      <c r="AES70"/>
      <c r="AET70"/>
      <c r="AEU70"/>
      <c r="AEV70"/>
      <c r="AEW70"/>
      <c r="AEX70"/>
      <c r="AEY70"/>
      <c r="AEZ70"/>
      <c r="AFA70"/>
      <c r="AFB70"/>
      <c r="AFC70"/>
      <c r="AFD70"/>
      <c r="AFE70"/>
      <c r="AFF70"/>
      <c r="AFG70"/>
      <c r="AFH70"/>
      <c r="AFI70"/>
      <c r="AFJ70"/>
      <c r="AFK70"/>
      <c r="AFL70"/>
      <c r="AFM70"/>
      <c r="AFN70"/>
      <c r="AFO70"/>
      <c r="AFP70"/>
      <c r="AFQ70"/>
      <c r="AFR70"/>
      <c r="AFS70"/>
      <c r="AFT70"/>
      <c r="AFU70"/>
      <c r="AFV70"/>
      <c r="AFW70"/>
      <c r="AFX70"/>
      <c r="AFY70"/>
      <c r="AFZ70"/>
      <c r="AGA70"/>
      <c r="AGB70"/>
      <c r="AGC70"/>
      <c r="AGD70"/>
      <c r="AGE70"/>
      <c r="AGF70"/>
      <c r="AGG70"/>
      <c r="AGH70"/>
      <c r="AGI70"/>
      <c r="AGJ70"/>
      <c r="AGK70"/>
      <c r="AGL70"/>
      <c r="AGM70"/>
      <c r="AGN70"/>
      <c r="AGO70"/>
      <c r="AGP70"/>
      <c r="AGQ70"/>
      <c r="AGR70"/>
      <c r="AGS70"/>
      <c r="AGT70"/>
      <c r="AGU70"/>
      <c r="AGV70"/>
      <c r="AGW70"/>
      <c r="AGX70"/>
      <c r="AGY70"/>
      <c r="AGZ70"/>
      <c r="AHA70"/>
      <c r="AHB70"/>
      <c r="AHC70"/>
      <c r="AHD70"/>
      <c r="AHE70"/>
      <c r="AHF70"/>
      <c r="AHG70"/>
      <c r="AHH70"/>
      <c r="AHI70"/>
      <c r="AHJ70"/>
      <c r="AHK70"/>
      <c r="AHL70"/>
      <c r="AHM70"/>
      <c r="AHN70"/>
      <c r="AHO70"/>
      <c r="AHP70"/>
      <c r="AHQ70"/>
      <c r="AHR70"/>
      <c r="AHS70"/>
      <c r="AHT70"/>
      <c r="AHU70"/>
      <c r="AHV70"/>
      <c r="AHW70"/>
      <c r="AHX70"/>
      <c r="AHY70"/>
      <c r="AHZ70"/>
      <c r="AIA70"/>
      <c r="AIB70"/>
      <c r="AIC70"/>
      <c r="AID70"/>
      <c r="AIE70"/>
      <c r="AIF70"/>
      <c r="AIG70"/>
      <c r="AIH70"/>
      <c r="AII70"/>
      <c r="AIJ70"/>
      <c r="AIK70"/>
      <c r="AIL70"/>
      <c r="AIM70"/>
      <c r="AIN70"/>
      <c r="AIO70"/>
      <c r="AIP70"/>
      <c r="AIQ70"/>
      <c r="AIR70"/>
      <c r="AIS70"/>
      <c r="AIT70"/>
      <c r="AIU70"/>
      <c r="AIV70"/>
      <c r="AIW70"/>
      <c r="AIX70"/>
      <c r="AIY70"/>
      <c r="AIZ70"/>
      <c r="AJA70"/>
      <c r="AJB70"/>
      <c r="AJC70"/>
      <c r="AJD70"/>
      <c r="AJE70"/>
      <c r="AJF70"/>
      <c r="AJG70"/>
      <c r="AJH70"/>
      <c r="AJI70"/>
      <c r="AJJ70"/>
      <c r="AJK70"/>
      <c r="AJL70"/>
      <c r="AJM70"/>
      <c r="AJN70"/>
      <c r="AJO70"/>
      <c r="AJP70"/>
      <c r="AJQ70"/>
      <c r="AJR70"/>
      <c r="AJS70"/>
      <c r="AJT70"/>
      <c r="AJU70"/>
      <c r="AJV70"/>
      <c r="AJW70"/>
      <c r="AJX70"/>
      <c r="AJY70"/>
      <c r="AJZ70"/>
      <c r="AKA70"/>
      <c r="AKB70"/>
      <c r="AKC70"/>
      <c r="AKD70"/>
      <c r="AKE70"/>
      <c r="AKF70"/>
      <c r="AKG70"/>
      <c r="AKH70"/>
      <c r="AKI70"/>
      <c r="AKJ70"/>
      <c r="AKK70"/>
      <c r="AKL70"/>
      <c r="AKM70"/>
      <c r="AKN70"/>
      <c r="AKO70"/>
      <c r="AKP70"/>
      <c r="AKQ70"/>
      <c r="AKR70"/>
      <c r="AKS70"/>
      <c r="AKT70"/>
      <c r="AKU70"/>
      <c r="AKV70"/>
      <c r="AKW70"/>
      <c r="AKX70"/>
      <c r="AKY70"/>
      <c r="AKZ70"/>
      <c r="ALA70"/>
      <c r="ALB70"/>
      <c r="ALC70"/>
      <c r="ALD70"/>
      <c r="ALE70"/>
      <c r="ALF70"/>
      <c r="ALG70"/>
      <c r="ALH70"/>
      <c r="ALI70"/>
      <c r="ALJ70"/>
      <c r="ALK70"/>
      <c r="ALL70"/>
      <c r="ALM70"/>
      <c r="ALN70"/>
      <c r="ALO70"/>
      <c r="ALP70"/>
      <c r="ALQ70"/>
      <c r="ALR70"/>
      <c r="ALS70"/>
      <c r="ALT70"/>
      <c r="ALU70"/>
      <c r="ALV70"/>
      <c r="ALW70"/>
      <c r="ALX70"/>
      <c r="ALY70"/>
      <c r="ALZ70"/>
      <c r="AMA70"/>
      <c r="AMB70"/>
      <c r="AMC70"/>
      <c r="AMD70"/>
      <c r="AME70"/>
      <c r="AMF70"/>
      <c r="AMG70"/>
      <c r="AMH70"/>
      <c r="AMI70"/>
      <c r="AMJ70"/>
    </row>
    <row r="71" spans="1:1024" ht="59.25" hidden="1" customHeight="1">
      <c r="A71" s="103" t="s">
        <v>233</v>
      </c>
      <c r="B71" s="103" t="s">
        <v>234</v>
      </c>
      <c r="C71" s="103"/>
      <c r="D71" s="80" t="s">
        <v>100</v>
      </c>
      <c r="E71" s="80" t="s">
        <v>235</v>
      </c>
      <c r="F71" s="80" t="s">
        <v>236</v>
      </c>
      <c r="G71" s="80"/>
      <c r="H71" s="80"/>
      <c r="I71" s="80"/>
      <c r="J71" s="80">
        <f>+AC71</f>
        <v>126650000</v>
      </c>
      <c r="K71" s="86">
        <v>0.62566469210585296</v>
      </c>
      <c r="L71" s="80">
        <f>1-K71</f>
        <v>0.37433530789414704</v>
      </c>
      <c r="M71" s="327">
        <v>1</v>
      </c>
      <c r="N71" s="327"/>
      <c r="O71" s="327"/>
      <c r="P71" s="327"/>
      <c r="Q71" s="327"/>
      <c r="R71" s="327"/>
      <c r="S71" s="327"/>
      <c r="T71" s="327"/>
      <c r="U71" s="86"/>
      <c r="V71"/>
      <c r="W71" s="86">
        <f>J71</f>
        <v>126650000</v>
      </c>
      <c r="X71" s="87">
        <f>K71</f>
        <v>0.62566469210585296</v>
      </c>
      <c r="Y71" s="86">
        <f>W71*X71</f>
        <v>79240433.255206272</v>
      </c>
      <c r="Z71" s="86">
        <v>75770762.109999999</v>
      </c>
      <c r="AA71" s="88">
        <f>++IF(A71&lt;&gt;"x",Z71-Y71,0)</f>
        <v>-3469671.1452062726</v>
      </c>
      <c r="AC71" s="89">
        <v>126650000</v>
      </c>
      <c r="AD71" s="72">
        <v>0.59826894675171005</v>
      </c>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c r="SG71"/>
      <c r="SH71"/>
      <c r="SI71"/>
      <c r="SJ71"/>
      <c r="SK71"/>
      <c r="SL71"/>
      <c r="SM71"/>
      <c r="SN71"/>
      <c r="SO71"/>
      <c r="SP71"/>
      <c r="SQ71"/>
      <c r="SR71"/>
      <c r="SS71"/>
      <c r="ST71"/>
      <c r="SU71"/>
      <c r="SV71"/>
      <c r="SW71"/>
      <c r="SX71"/>
      <c r="SY71"/>
      <c r="SZ71"/>
      <c r="TA71"/>
      <c r="TB71"/>
      <c r="TC71"/>
      <c r="TD71"/>
      <c r="TE71"/>
      <c r="TF71"/>
      <c r="TG71"/>
      <c r="TH71"/>
      <c r="TI71"/>
      <c r="TJ71"/>
      <c r="TK71"/>
      <c r="TL71"/>
      <c r="TM71"/>
      <c r="TN71"/>
      <c r="TO71"/>
      <c r="TP71"/>
      <c r="TQ71"/>
      <c r="TR71"/>
      <c r="TS71"/>
      <c r="TT71"/>
      <c r="TU71"/>
      <c r="TV71"/>
      <c r="TW71"/>
      <c r="TX71"/>
      <c r="TY71"/>
      <c r="TZ71"/>
      <c r="UA71"/>
      <c r="UB71"/>
      <c r="UC71"/>
      <c r="UD71"/>
      <c r="UE71"/>
      <c r="UF71"/>
      <c r="UG71"/>
      <c r="UH71"/>
      <c r="UI71"/>
      <c r="UJ71"/>
      <c r="UK71"/>
      <c r="UL71"/>
      <c r="UM71"/>
      <c r="UN71"/>
      <c r="UO71"/>
      <c r="UP71"/>
      <c r="UQ71"/>
      <c r="UR71"/>
      <c r="US71"/>
      <c r="UT71"/>
      <c r="UU71"/>
      <c r="UV71"/>
      <c r="UW71"/>
      <c r="UX71"/>
      <c r="UY71"/>
      <c r="UZ71"/>
      <c r="VA71"/>
      <c r="VB71"/>
      <c r="VC71"/>
      <c r="VD71"/>
      <c r="VE71"/>
      <c r="VF71"/>
      <c r="VG71"/>
      <c r="VH71"/>
      <c r="VI71"/>
      <c r="VJ71"/>
      <c r="VK71"/>
      <c r="VL71"/>
      <c r="VM71"/>
      <c r="VN71"/>
      <c r="VO71"/>
      <c r="VP71"/>
      <c r="VQ71"/>
      <c r="VR71"/>
      <c r="VS71"/>
      <c r="VT71"/>
      <c r="VU71"/>
      <c r="VV71"/>
      <c r="VW71"/>
      <c r="VX71"/>
      <c r="VY71"/>
      <c r="VZ71"/>
      <c r="WA71"/>
      <c r="WB71"/>
      <c r="WC71"/>
      <c r="WD71"/>
      <c r="WE71"/>
      <c r="WF71"/>
      <c r="WG71"/>
      <c r="WH71"/>
      <c r="WI71"/>
      <c r="WJ71"/>
      <c r="WK71"/>
      <c r="WL71"/>
      <c r="WM71"/>
      <c r="WN71"/>
      <c r="WO71"/>
      <c r="WP71"/>
      <c r="WQ71"/>
      <c r="WR71"/>
      <c r="WS71"/>
      <c r="WT71"/>
      <c r="WU71"/>
      <c r="WV71"/>
      <c r="WW71"/>
      <c r="WX71"/>
      <c r="WY71"/>
      <c r="WZ71"/>
      <c r="XA71"/>
      <c r="XB71"/>
      <c r="XC71"/>
      <c r="XD71"/>
      <c r="XE71"/>
      <c r="XF71"/>
      <c r="XG71"/>
      <c r="XH71"/>
      <c r="XI71"/>
      <c r="XJ71"/>
      <c r="XK71"/>
      <c r="XL71"/>
      <c r="XM71"/>
      <c r="XN71"/>
      <c r="XO71"/>
      <c r="XP71"/>
      <c r="XQ71"/>
      <c r="XR71"/>
      <c r="XS71"/>
      <c r="XT71"/>
      <c r="XU71"/>
      <c r="XV71"/>
      <c r="XW71"/>
      <c r="XX71"/>
      <c r="XY71"/>
      <c r="XZ71"/>
      <c r="YA71"/>
      <c r="YB71"/>
      <c r="YC71"/>
      <c r="YD71"/>
      <c r="YE71"/>
      <c r="YF71"/>
      <c r="YG71"/>
      <c r="YH71"/>
      <c r="YI71"/>
      <c r="YJ71"/>
      <c r="YK71"/>
      <c r="YL71"/>
      <c r="YM71"/>
      <c r="YN71"/>
      <c r="YO71"/>
      <c r="YP71"/>
      <c r="YQ71"/>
      <c r="YR71"/>
      <c r="YS71"/>
      <c r="YT71"/>
      <c r="YU71"/>
      <c r="YV71"/>
      <c r="YW71"/>
      <c r="YX71"/>
      <c r="YY71"/>
      <c r="YZ71"/>
      <c r="ZA71"/>
      <c r="ZB71"/>
      <c r="ZC71"/>
      <c r="ZD71"/>
      <c r="ZE71"/>
      <c r="ZF71"/>
      <c r="ZG71"/>
      <c r="ZH71"/>
      <c r="ZI71"/>
      <c r="ZJ71"/>
      <c r="ZK71"/>
      <c r="ZL71"/>
      <c r="ZM71"/>
      <c r="ZN71"/>
      <c r="ZO71"/>
      <c r="ZP71"/>
      <c r="ZQ71"/>
      <c r="ZR71"/>
      <c r="ZS71"/>
      <c r="ZT71"/>
      <c r="ZU71"/>
      <c r="ZV71"/>
      <c r="ZW71"/>
      <c r="ZX71"/>
      <c r="ZY71"/>
      <c r="ZZ71"/>
      <c r="AAA71"/>
      <c r="AAB71"/>
      <c r="AAC71"/>
      <c r="AAD71"/>
      <c r="AAE71"/>
      <c r="AAF71"/>
      <c r="AAG71"/>
      <c r="AAH71"/>
      <c r="AAI71"/>
      <c r="AAJ71"/>
      <c r="AAK71"/>
      <c r="AAL71"/>
      <c r="AAM71"/>
      <c r="AAN71"/>
      <c r="AAO71"/>
      <c r="AAP71"/>
      <c r="AAQ71"/>
      <c r="AAR71"/>
      <c r="AAS71"/>
      <c r="AAT71"/>
      <c r="AAU71"/>
      <c r="AAV71"/>
      <c r="AAW71"/>
      <c r="AAX71"/>
      <c r="AAY71"/>
      <c r="AAZ71"/>
      <c r="ABA71"/>
      <c r="ABB71"/>
      <c r="ABC71"/>
      <c r="ABD71"/>
      <c r="ABE71"/>
      <c r="ABF71"/>
      <c r="ABG71"/>
      <c r="ABH71"/>
      <c r="ABI71"/>
      <c r="ABJ71"/>
      <c r="ABK71"/>
      <c r="ABL71"/>
      <c r="ABM71"/>
      <c r="ABN71"/>
      <c r="ABO71"/>
      <c r="ABP71"/>
      <c r="ABQ71"/>
      <c r="ABR71"/>
      <c r="ABS71"/>
      <c r="ABT71"/>
      <c r="ABU71"/>
      <c r="ABV71"/>
      <c r="ABW71"/>
      <c r="ABX71"/>
      <c r="ABY71"/>
      <c r="ABZ71"/>
      <c r="ACA71"/>
      <c r="ACB71"/>
      <c r="ACC71"/>
      <c r="ACD71"/>
      <c r="ACE71"/>
      <c r="ACF71"/>
      <c r="ACG71"/>
      <c r="ACH71"/>
      <c r="ACI71"/>
      <c r="ACJ71"/>
      <c r="ACK71"/>
      <c r="ACL71"/>
      <c r="ACM71"/>
      <c r="ACN71"/>
      <c r="ACO71"/>
      <c r="ACP71"/>
      <c r="ACQ71"/>
      <c r="ACR71"/>
      <c r="ACS71"/>
      <c r="ACT71"/>
      <c r="ACU71"/>
      <c r="ACV71"/>
      <c r="ACW71"/>
      <c r="ACX71"/>
      <c r="ACY71"/>
      <c r="ACZ71"/>
      <c r="ADA71"/>
      <c r="ADB71"/>
      <c r="ADC71"/>
      <c r="ADD71"/>
      <c r="ADE71"/>
      <c r="ADF71"/>
      <c r="ADG71"/>
      <c r="ADH71"/>
      <c r="ADI71"/>
      <c r="ADJ71"/>
      <c r="ADK71"/>
      <c r="ADL71"/>
      <c r="ADM71"/>
      <c r="ADN71"/>
      <c r="ADO71"/>
      <c r="ADP71"/>
      <c r="ADQ71"/>
      <c r="ADR71"/>
      <c r="ADS71"/>
      <c r="ADT71"/>
      <c r="ADU71"/>
      <c r="ADV71"/>
      <c r="ADW71"/>
      <c r="ADX71"/>
      <c r="ADY71"/>
      <c r="ADZ71"/>
      <c r="AEA71"/>
      <c r="AEB71"/>
      <c r="AEC71"/>
      <c r="AED71"/>
      <c r="AEE71"/>
      <c r="AEF71"/>
      <c r="AEG71"/>
      <c r="AEH71"/>
      <c r="AEI71"/>
      <c r="AEJ71"/>
      <c r="AEK71"/>
      <c r="AEL71"/>
      <c r="AEM71"/>
      <c r="AEN71"/>
      <c r="AEO71"/>
      <c r="AEP71"/>
      <c r="AEQ71"/>
      <c r="AER71"/>
      <c r="AES71"/>
      <c r="AET71"/>
      <c r="AEU71"/>
      <c r="AEV71"/>
      <c r="AEW71"/>
      <c r="AEX71"/>
      <c r="AEY71"/>
      <c r="AEZ71"/>
      <c r="AFA71"/>
      <c r="AFB71"/>
      <c r="AFC71"/>
      <c r="AFD71"/>
      <c r="AFE71"/>
      <c r="AFF71"/>
      <c r="AFG71"/>
      <c r="AFH71"/>
      <c r="AFI71"/>
      <c r="AFJ71"/>
      <c r="AFK71"/>
      <c r="AFL71"/>
      <c r="AFM71"/>
      <c r="AFN71"/>
      <c r="AFO71"/>
      <c r="AFP71"/>
      <c r="AFQ71"/>
      <c r="AFR71"/>
      <c r="AFS71"/>
      <c r="AFT71"/>
      <c r="AFU71"/>
      <c r="AFV71"/>
      <c r="AFW71"/>
      <c r="AFX71"/>
      <c r="AFY71"/>
      <c r="AFZ71"/>
      <c r="AGA71"/>
      <c r="AGB71"/>
      <c r="AGC71"/>
      <c r="AGD71"/>
      <c r="AGE71"/>
      <c r="AGF71"/>
      <c r="AGG71"/>
      <c r="AGH71"/>
      <c r="AGI71"/>
      <c r="AGJ71"/>
      <c r="AGK71"/>
      <c r="AGL71"/>
      <c r="AGM71"/>
      <c r="AGN71"/>
      <c r="AGO71"/>
      <c r="AGP71"/>
      <c r="AGQ71"/>
      <c r="AGR71"/>
      <c r="AGS71"/>
      <c r="AGT71"/>
      <c r="AGU71"/>
      <c r="AGV71"/>
      <c r="AGW71"/>
      <c r="AGX71"/>
      <c r="AGY71"/>
      <c r="AGZ71"/>
      <c r="AHA71"/>
      <c r="AHB71"/>
      <c r="AHC71"/>
      <c r="AHD71"/>
      <c r="AHE71"/>
      <c r="AHF71"/>
      <c r="AHG71"/>
      <c r="AHH71"/>
      <c r="AHI71"/>
      <c r="AHJ71"/>
      <c r="AHK71"/>
      <c r="AHL71"/>
      <c r="AHM71"/>
      <c r="AHN71"/>
      <c r="AHO71"/>
      <c r="AHP71"/>
      <c r="AHQ71"/>
      <c r="AHR71"/>
      <c r="AHS71"/>
      <c r="AHT71"/>
      <c r="AHU71"/>
      <c r="AHV71"/>
      <c r="AHW71"/>
      <c r="AHX71"/>
      <c r="AHY71"/>
      <c r="AHZ71"/>
      <c r="AIA71"/>
      <c r="AIB71"/>
      <c r="AIC71"/>
      <c r="AID71"/>
      <c r="AIE71"/>
      <c r="AIF71"/>
      <c r="AIG71"/>
      <c r="AIH71"/>
      <c r="AII71"/>
      <c r="AIJ71"/>
      <c r="AIK71"/>
      <c r="AIL71"/>
      <c r="AIM71"/>
      <c r="AIN71"/>
      <c r="AIO71"/>
      <c r="AIP71"/>
      <c r="AIQ71"/>
      <c r="AIR71"/>
      <c r="AIS71"/>
      <c r="AIT71"/>
      <c r="AIU71"/>
      <c r="AIV71"/>
      <c r="AIW71"/>
      <c r="AIX71"/>
      <c r="AIY71"/>
      <c r="AIZ71"/>
      <c r="AJA71"/>
      <c r="AJB71"/>
      <c r="AJC71"/>
      <c r="AJD71"/>
      <c r="AJE71"/>
      <c r="AJF71"/>
      <c r="AJG71"/>
      <c r="AJH71"/>
      <c r="AJI71"/>
      <c r="AJJ71"/>
      <c r="AJK71"/>
      <c r="AJL71"/>
      <c r="AJM71"/>
      <c r="AJN71"/>
      <c r="AJO71"/>
      <c r="AJP71"/>
      <c r="AJQ71"/>
      <c r="AJR71"/>
      <c r="AJS71"/>
      <c r="AJT71"/>
      <c r="AJU71"/>
      <c r="AJV71"/>
      <c r="AJW71"/>
      <c r="AJX71"/>
      <c r="AJY71"/>
      <c r="AJZ71"/>
      <c r="AKA71"/>
      <c r="AKB71"/>
      <c r="AKC71"/>
      <c r="AKD71"/>
      <c r="AKE71"/>
      <c r="AKF71"/>
      <c r="AKG71"/>
      <c r="AKH71"/>
      <c r="AKI71"/>
      <c r="AKJ71"/>
      <c r="AKK71"/>
      <c r="AKL71"/>
      <c r="AKM71"/>
      <c r="AKN71"/>
      <c r="AKO71"/>
      <c r="AKP71"/>
      <c r="AKQ71"/>
      <c r="AKR71"/>
      <c r="AKS71"/>
      <c r="AKT71"/>
      <c r="AKU71"/>
      <c r="AKV71"/>
      <c r="AKW71"/>
      <c r="AKX71"/>
      <c r="AKY71"/>
      <c r="AKZ71"/>
      <c r="ALA71"/>
      <c r="ALB71"/>
      <c r="ALC71"/>
      <c r="ALD71"/>
      <c r="ALE71"/>
      <c r="ALF71"/>
      <c r="ALG71"/>
      <c r="ALH71"/>
      <c r="ALI71"/>
      <c r="ALJ71"/>
      <c r="ALK71"/>
      <c r="ALL71"/>
      <c r="ALM71"/>
      <c r="ALN71"/>
      <c r="ALO71"/>
      <c r="ALP71"/>
      <c r="ALQ71"/>
      <c r="ALR71"/>
      <c r="ALS71"/>
      <c r="ALT71"/>
      <c r="ALU71"/>
      <c r="ALV71"/>
      <c r="ALW71"/>
      <c r="ALX71"/>
      <c r="ALY71"/>
      <c r="ALZ71"/>
      <c r="AMA71"/>
      <c r="AMB71"/>
      <c r="AMC71"/>
      <c r="AMD71"/>
      <c r="AME71"/>
      <c r="AMF71"/>
      <c r="AMG71"/>
      <c r="AMH71"/>
      <c r="AMI71"/>
      <c r="AMJ71"/>
    </row>
    <row r="72" spans="1:1024" ht="59.25" hidden="1" customHeight="1">
      <c r="A72" s="103" t="s">
        <v>233</v>
      </c>
      <c r="B72" s="103" t="s">
        <v>234</v>
      </c>
      <c r="C72" s="103"/>
      <c r="D72" s="80" t="s">
        <v>100</v>
      </c>
      <c r="E72" s="80" t="s">
        <v>235</v>
      </c>
      <c r="F72" s="80" t="s">
        <v>237</v>
      </c>
      <c r="G72" s="80"/>
      <c r="H72" s="80"/>
      <c r="I72" s="80"/>
      <c r="J72" s="80">
        <f>+AC72</f>
        <v>33505097.965433199</v>
      </c>
      <c r="K72" s="80">
        <v>0</v>
      </c>
      <c r="L72" s="80">
        <f>1-K72</f>
        <v>1</v>
      </c>
      <c r="M72" s="327"/>
      <c r="N72" s="327"/>
      <c r="O72" s="327"/>
      <c r="P72" s="327"/>
      <c r="Q72" s="327"/>
      <c r="R72" s="327"/>
      <c r="S72" s="327"/>
      <c r="T72" s="327"/>
      <c r="U72"/>
      <c r="V72"/>
      <c r="W72" s="86">
        <v>33505097.965433199</v>
      </c>
      <c r="X72" s="87">
        <f>+IF(A72&lt;&gt;"x",K72,0)</f>
        <v>0</v>
      </c>
      <c r="Y72" s="86">
        <f>+IF(A72&lt;&gt;"x",SUM(J72)*SUM(K72),0)</f>
        <v>0</v>
      </c>
      <c r="Z72" s="86">
        <v>0</v>
      </c>
      <c r="AA72" s="88">
        <f>++IF(A72&lt;&gt;"x",Z72-Y72,0)</f>
        <v>0</v>
      </c>
      <c r="AC72" s="89">
        <v>33505097.965433199</v>
      </c>
      <c r="AD72" s="72">
        <v>1</v>
      </c>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c r="MS72"/>
      <c r="MT72"/>
      <c r="MU72"/>
      <c r="MV72"/>
      <c r="MW72"/>
      <c r="MX72"/>
      <c r="MY72"/>
      <c r="MZ72"/>
      <c r="NA72"/>
      <c r="NB72"/>
      <c r="NC72"/>
      <c r="ND72"/>
      <c r="NE72"/>
      <c r="NF72"/>
      <c r="NG72"/>
      <c r="NH72"/>
      <c r="NI72"/>
      <c r="NJ72"/>
      <c r="NK72"/>
      <c r="NL72"/>
      <c r="NM72"/>
      <c r="NN72"/>
      <c r="NO72"/>
      <c r="NP72"/>
      <c r="NQ72"/>
      <c r="NR72"/>
      <c r="NS72"/>
      <c r="NT72"/>
      <c r="NU72"/>
      <c r="NV72"/>
      <c r="NW72"/>
      <c r="NX72"/>
      <c r="NY72"/>
      <c r="NZ72"/>
      <c r="OA72"/>
      <c r="OB72"/>
      <c r="OC72"/>
      <c r="OD72"/>
      <c r="OE72"/>
      <c r="OF72"/>
      <c r="OG72"/>
      <c r="OH72"/>
      <c r="OI72"/>
      <c r="OJ72"/>
      <c r="OK72"/>
      <c r="OL72"/>
      <c r="OM72"/>
      <c r="ON72"/>
      <c r="OO72"/>
      <c r="OP72"/>
      <c r="OQ72"/>
      <c r="OR72"/>
      <c r="OS72"/>
      <c r="OT72"/>
      <c r="OU72"/>
      <c r="OV72"/>
      <c r="OW72"/>
      <c r="OX72"/>
      <c r="OY72"/>
      <c r="OZ72"/>
      <c r="PA72"/>
      <c r="PB72"/>
      <c r="PC72"/>
      <c r="PD72"/>
      <c r="PE72"/>
      <c r="PF72"/>
      <c r="PG72"/>
      <c r="PH72"/>
      <c r="PI72"/>
      <c r="PJ72"/>
      <c r="PK72"/>
      <c r="PL72"/>
      <c r="PM72"/>
      <c r="PN72"/>
      <c r="PO72"/>
      <c r="PP72"/>
      <c r="PQ72"/>
      <c r="PR72"/>
      <c r="PS72"/>
      <c r="PT72"/>
      <c r="PU72"/>
      <c r="PV72"/>
      <c r="PW72"/>
      <c r="PX72"/>
      <c r="PY72"/>
      <c r="PZ72"/>
      <c r="QA72"/>
      <c r="QB72"/>
      <c r="QC72"/>
      <c r="QD72"/>
      <c r="QE72"/>
      <c r="QF72"/>
      <c r="QG72"/>
      <c r="QH72"/>
      <c r="QI72"/>
      <c r="QJ72"/>
      <c r="QK72"/>
      <c r="QL72"/>
      <c r="QM72"/>
      <c r="QN72"/>
      <c r="QO72"/>
      <c r="QP72"/>
      <c r="QQ72"/>
      <c r="QR72"/>
      <c r="QS72"/>
      <c r="QT72"/>
      <c r="QU72"/>
      <c r="QV72"/>
      <c r="QW72"/>
      <c r="QX72"/>
      <c r="QY72"/>
      <c r="QZ72"/>
      <c r="RA72"/>
      <c r="RB72"/>
      <c r="RC72"/>
      <c r="RD72"/>
      <c r="RE72"/>
      <c r="RF72"/>
      <c r="RG72"/>
      <c r="RH72"/>
      <c r="RI72"/>
      <c r="RJ72"/>
      <c r="RK72"/>
      <c r="RL72"/>
      <c r="RM72"/>
      <c r="RN72"/>
      <c r="RO72"/>
      <c r="RP72"/>
      <c r="RQ72"/>
      <c r="RR72"/>
      <c r="RS72"/>
      <c r="RT72"/>
      <c r="RU72"/>
      <c r="RV72"/>
      <c r="RW72"/>
      <c r="RX72"/>
      <c r="RY72"/>
      <c r="RZ72"/>
      <c r="SA72"/>
      <c r="SB72"/>
      <c r="SC72"/>
      <c r="SD72"/>
      <c r="SE72"/>
      <c r="SF72"/>
      <c r="SG72"/>
      <c r="SH72"/>
      <c r="SI72"/>
      <c r="SJ72"/>
      <c r="SK72"/>
      <c r="SL72"/>
      <c r="SM72"/>
      <c r="SN72"/>
      <c r="SO72"/>
      <c r="SP72"/>
      <c r="SQ72"/>
      <c r="SR72"/>
      <c r="SS72"/>
      <c r="ST72"/>
      <c r="SU72"/>
      <c r="SV72"/>
      <c r="SW72"/>
      <c r="SX72"/>
      <c r="SY72"/>
      <c r="SZ72"/>
      <c r="TA72"/>
      <c r="TB72"/>
      <c r="TC72"/>
      <c r="TD72"/>
      <c r="TE72"/>
      <c r="TF72"/>
      <c r="TG72"/>
      <c r="TH72"/>
      <c r="TI72"/>
      <c r="TJ72"/>
      <c r="TK72"/>
      <c r="TL72"/>
      <c r="TM72"/>
      <c r="TN72"/>
      <c r="TO72"/>
      <c r="TP72"/>
      <c r="TQ72"/>
      <c r="TR72"/>
      <c r="TS72"/>
      <c r="TT72"/>
      <c r="TU72"/>
      <c r="TV72"/>
      <c r="TW72"/>
      <c r="TX72"/>
      <c r="TY72"/>
      <c r="TZ72"/>
      <c r="UA72"/>
      <c r="UB72"/>
      <c r="UC72"/>
      <c r="UD72"/>
      <c r="UE72"/>
      <c r="UF72"/>
      <c r="UG72"/>
      <c r="UH72"/>
      <c r="UI72"/>
      <c r="UJ72"/>
      <c r="UK72"/>
      <c r="UL72"/>
      <c r="UM72"/>
      <c r="UN72"/>
      <c r="UO72"/>
      <c r="UP72"/>
      <c r="UQ72"/>
      <c r="UR72"/>
      <c r="US72"/>
      <c r="UT72"/>
      <c r="UU72"/>
      <c r="UV72"/>
      <c r="UW72"/>
      <c r="UX72"/>
      <c r="UY72"/>
      <c r="UZ72"/>
      <c r="VA72"/>
      <c r="VB72"/>
      <c r="VC72"/>
      <c r="VD72"/>
      <c r="VE72"/>
      <c r="VF72"/>
      <c r="VG72"/>
      <c r="VH72"/>
      <c r="VI72"/>
      <c r="VJ72"/>
      <c r="VK72"/>
      <c r="VL72"/>
      <c r="VM72"/>
      <c r="VN72"/>
      <c r="VO72"/>
      <c r="VP72"/>
      <c r="VQ72"/>
      <c r="VR72"/>
      <c r="VS72"/>
      <c r="VT72"/>
      <c r="VU72"/>
      <c r="VV72"/>
      <c r="VW72"/>
      <c r="VX72"/>
      <c r="VY72"/>
      <c r="VZ72"/>
      <c r="WA72"/>
      <c r="WB72"/>
      <c r="WC72"/>
      <c r="WD72"/>
      <c r="WE72"/>
      <c r="WF72"/>
      <c r="WG72"/>
      <c r="WH72"/>
      <c r="WI72"/>
      <c r="WJ72"/>
      <c r="WK72"/>
      <c r="WL72"/>
      <c r="WM72"/>
      <c r="WN72"/>
      <c r="WO72"/>
      <c r="WP72"/>
      <c r="WQ72"/>
      <c r="WR72"/>
      <c r="WS72"/>
      <c r="WT72"/>
      <c r="WU72"/>
      <c r="WV72"/>
      <c r="WW72"/>
      <c r="WX72"/>
      <c r="WY72"/>
      <c r="WZ72"/>
      <c r="XA72"/>
      <c r="XB72"/>
      <c r="XC72"/>
      <c r="XD72"/>
      <c r="XE72"/>
      <c r="XF72"/>
      <c r="XG72"/>
      <c r="XH72"/>
      <c r="XI72"/>
      <c r="XJ72"/>
      <c r="XK72"/>
      <c r="XL72"/>
      <c r="XM72"/>
      <c r="XN72"/>
      <c r="XO72"/>
      <c r="XP72"/>
      <c r="XQ72"/>
      <c r="XR72"/>
      <c r="XS72"/>
      <c r="XT72"/>
      <c r="XU72"/>
      <c r="XV72"/>
      <c r="XW72"/>
      <c r="XX72"/>
      <c r="XY72"/>
      <c r="XZ72"/>
      <c r="YA72"/>
      <c r="YB72"/>
      <c r="YC72"/>
      <c r="YD72"/>
      <c r="YE72"/>
      <c r="YF72"/>
      <c r="YG72"/>
      <c r="YH72"/>
      <c r="YI72"/>
      <c r="YJ72"/>
      <c r="YK72"/>
      <c r="YL72"/>
      <c r="YM72"/>
      <c r="YN72"/>
      <c r="YO72"/>
      <c r="YP72"/>
      <c r="YQ72"/>
      <c r="YR72"/>
      <c r="YS72"/>
      <c r="YT72"/>
      <c r="YU72"/>
      <c r="YV72"/>
      <c r="YW72"/>
      <c r="YX72"/>
      <c r="YY72"/>
      <c r="YZ72"/>
      <c r="ZA72"/>
      <c r="ZB72"/>
      <c r="ZC72"/>
      <c r="ZD72"/>
      <c r="ZE72"/>
      <c r="ZF72"/>
      <c r="ZG72"/>
      <c r="ZH72"/>
      <c r="ZI72"/>
      <c r="ZJ72"/>
      <c r="ZK72"/>
      <c r="ZL72"/>
      <c r="ZM72"/>
      <c r="ZN72"/>
      <c r="ZO72"/>
      <c r="ZP72"/>
      <c r="ZQ72"/>
      <c r="ZR72"/>
      <c r="ZS72"/>
      <c r="ZT72"/>
      <c r="ZU72"/>
      <c r="ZV72"/>
      <c r="ZW72"/>
      <c r="ZX72"/>
      <c r="ZY72"/>
      <c r="ZZ72"/>
      <c r="AAA72"/>
      <c r="AAB72"/>
      <c r="AAC72"/>
      <c r="AAD72"/>
      <c r="AAE72"/>
      <c r="AAF72"/>
      <c r="AAG72"/>
      <c r="AAH72"/>
      <c r="AAI72"/>
      <c r="AAJ72"/>
      <c r="AAK72"/>
      <c r="AAL72"/>
      <c r="AAM72"/>
      <c r="AAN72"/>
      <c r="AAO72"/>
      <c r="AAP72"/>
      <c r="AAQ72"/>
      <c r="AAR72"/>
      <c r="AAS72"/>
      <c r="AAT72"/>
      <c r="AAU72"/>
      <c r="AAV72"/>
      <c r="AAW72"/>
      <c r="AAX72"/>
      <c r="AAY72"/>
      <c r="AAZ72"/>
      <c r="ABA72"/>
      <c r="ABB72"/>
      <c r="ABC72"/>
      <c r="ABD72"/>
      <c r="ABE72"/>
      <c r="ABF72"/>
      <c r="ABG72"/>
      <c r="ABH72"/>
      <c r="ABI72"/>
      <c r="ABJ72"/>
      <c r="ABK72"/>
      <c r="ABL72"/>
      <c r="ABM72"/>
      <c r="ABN72"/>
      <c r="ABO72"/>
      <c r="ABP72"/>
      <c r="ABQ72"/>
      <c r="ABR72"/>
      <c r="ABS72"/>
      <c r="ABT72"/>
      <c r="ABU72"/>
      <c r="ABV72"/>
      <c r="ABW72"/>
      <c r="ABX72"/>
      <c r="ABY72"/>
      <c r="ABZ72"/>
      <c r="ACA72"/>
      <c r="ACB72"/>
      <c r="ACC72"/>
      <c r="ACD72"/>
      <c r="ACE72"/>
      <c r="ACF72"/>
      <c r="ACG72"/>
      <c r="ACH72"/>
      <c r="ACI72"/>
      <c r="ACJ72"/>
      <c r="ACK72"/>
      <c r="ACL72"/>
      <c r="ACM72"/>
      <c r="ACN72"/>
      <c r="ACO72"/>
      <c r="ACP72"/>
      <c r="ACQ72"/>
      <c r="ACR72"/>
      <c r="ACS72"/>
      <c r="ACT72"/>
      <c r="ACU72"/>
      <c r="ACV72"/>
      <c r="ACW72"/>
      <c r="ACX72"/>
      <c r="ACY72"/>
      <c r="ACZ72"/>
      <c r="ADA72"/>
      <c r="ADB72"/>
      <c r="ADC72"/>
      <c r="ADD72"/>
      <c r="ADE72"/>
      <c r="ADF72"/>
      <c r="ADG72"/>
      <c r="ADH72"/>
      <c r="ADI72"/>
      <c r="ADJ72"/>
      <c r="ADK72"/>
      <c r="ADL72"/>
      <c r="ADM72"/>
      <c r="ADN72"/>
      <c r="ADO72"/>
      <c r="ADP72"/>
      <c r="ADQ72"/>
      <c r="ADR72"/>
      <c r="ADS72"/>
      <c r="ADT72"/>
      <c r="ADU72"/>
      <c r="ADV72"/>
      <c r="ADW72"/>
      <c r="ADX72"/>
      <c r="ADY72"/>
      <c r="ADZ72"/>
      <c r="AEA72"/>
      <c r="AEB72"/>
      <c r="AEC72"/>
      <c r="AED72"/>
      <c r="AEE72"/>
      <c r="AEF72"/>
      <c r="AEG72"/>
      <c r="AEH72"/>
      <c r="AEI72"/>
      <c r="AEJ72"/>
      <c r="AEK72"/>
      <c r="AEL72"/>
      <c r="AEM72"/>
      <c r="AEN72"/>
      <c r="AEO72"/>
      <c r="AEP72"/>
      <c r="AEQ72"/>
      <c r="AER72"/>
      <c r="AES72"/>
      <c r="AET72"/>
      <c r="AEU72"/>
      <c r="AEV72"/>
      <c r="AEW72"/>
      <c r="AEX72"/>
      <c r="AEY72"/>
      <c r="AEZ72"/>
      <c r="AFA72"/>
      <c r="AFB72"/>
      <c r="AFC72"/>
      <c r="AFD72"/>
      <c r="AFE72"/>
      <c r="AFF72"/>
      <c r="AFG72"/>
      <c r="AFH72"/>
      <c r="AFI72"/>
      <c r="AFJ72"/>
      <c r="AFK72"/>
      <c r="AFL72"/>
      <c r="AFM72"/>
      <c r="AFN72"/>
      <c r="AFO72"/>
      <c r="AFP72"/>
      <c r="AFQ72"/>
      <c r="AFR72"/>
      <c r="AFS72"/>
      <c r="AFT72"/>
      <c r="AFU72"/>
      <c r="AFV72"/>
      <c r="AFW72"/>
      <c r="AFX72"/>
      <c r="AFY72"/>
      <c r="AFZ72"/>
      <c r="AGA72"/>
      <c r="AGB72"/>
      <c r="AGC72"/>
      <c r="AGD72"/>
      <c r="AGE72"/>
      <c r="AGF72"/>
      <c r="AGG72"/>
      <c r="AGH72"/>
      <c r="AGI72"/>
      <c r="AGJ72"/>
      <c r="AGK72"/>
      <c r="AGL72"/>
      <c r="AGM72"/>
      <c r="AGN72"/>
      <c r="AGO72"/>
      <c r="AGP72"/>
      <c r="AGQ72"/>
      <c r="AGR72"/>
      <c r="AGS72"/>
      <c r="AGT72"/>
      <c r="AGU72"/>
      <c r="AGV72"/>
      <c r="AGW72"/>
      <c r="AGX72"/>
      <c r="AGY72"/>
      <c r="AGZ72"/>
      <c r="AHA72"/>
      <c r="AHB72"/>
      <c r="AHC72"/>
      <c r="AHD72"/>
      <c r="AHE72"/>
      <c r="AHF72"/>
      <c r="AHG72"/>
      <c r="AHH72"/>
      <c r="AHI72"/>
      <c r="AHJ72"/>
      <c r="AHK72"/>
      <c r="AHL72"/>
      <c r="AHM72"/>
      <c r="AHN72"/>
      <c r="AHO72"/>
      <c r="AHP72"/>
      <c r="AHQ72"/>
      <c r="AHR72"/>
      <c r="AHS72"/>
      <c r="AHT72"/>
      <c r="AHU72"/>
      <c r="AHV72"/>
      <c r="AHW72"/>
      <c r="AHX72"/>
      <c r="AHY72"/>
      <c r="AHZ72"/>
      <c r="AIA72"/>
      <c r="AIB72"/>
      <c r="AIC72"/>
      <c r="AID72"/>
      <c r="AIE72"/>
      <c r="AIF72"/>
      <c r="AIG72"/>
      <c r="AIH72"/>
      <c r="AII72"/>
      <c r="AIJ72"/>
      <c r="AIK72"/>
      <c r="AIL72"/>
      <c r="AIM72"/>
      <c r="AIN72"/>
      <c r="AIO72"/>
      <c r="AIP72"/>
      <c r="AIQ72"/>
      <c r="AIR72"/>
      <c r="AIS72"/>
      <c r="AIT72"/>
      <c r="AIU72"/>
      <c r="AIV72"/>
      <c r="AIW72"/>
      <c r="AIX72"/>
      <c r="AIY72"/>
      <c r="AIZ72"/>
      <c r="AJA72"/>
      <c r="AJB72"/>
      <c r="AJC72"/>
      <c r="AJD72"/>
      <c r="AJE72"/>
      <c r="AJF72"/>
      <c r="AJG72"/>
      <c r="AJH72"/>
      <c r="AJI72"/>
      <c r="AJJ72"/>
      <c r="AJK72"/>
      <c r="AJL72"/>
      <c r="AJM72"/>
      <c r="AJN72"/>
      <c r="AJO72"/>
      <c r="AJP72"/>
      <c r="AJQ72"/>
      <c r="AJR72"/>
      <c r="AJS72"/>
      <c r="AJT72"/>
      <c r="AJU72"/>
      <c r="AJV72"/>
      <c r="AJW72"/>
      <c r="AJX72"/>
      <c r="AJY72"/>
      <c r="AJZ72"/>
      <c r="AKA72"/>
      <c r="AKB72"/>
      <c r="AKC72"/>
      <c r="AKD72"/>
      <c r="AKE72"/>
      <c r="AKF72"/>
      <c r="AKG72"/>
      <c r="AKH72"/>
      <c r="AKI72"/>
      <c r="AKJ72"/>
      <c r="AKK72"/>
      <c r="AKL72"/>
      <c r="AKM72"/>
      <c r="AKN72"/>
      <c r="AKO72"/>
      <c r="AKP72"/>
      <c r="AKQ72"/>
      <c r="AKR72"/>
      <c r="AKS72"/>
      <c r="AKT72"/>
      <c r="AKU72"/>
      <c r="AKV72"/>
      <c r="AKW72"/>
      <c r="AKX72"/>
      <c r="AKY72"/>
      <c r="AKZ72"/>
      <c r="ALA72"/>
      <c r="ALB72"/>
      <c r="ALC72"/>
      <c r="ALD72"/>
      <c r="ALE72"/>
      <c r="ALF72"/>
      <c r="ALG72"/>
      <c r="ALH72"/>
      <c r="ALI72"/>
      <c r="ALJ72"/>
      <c r="ALK72"/>
      <c r="ALL72"/>
      <c r="ALM72"/>
      <c r="ALN72"/>
      <c r="ALO72"/>
      <c r="ALP72"/>
      <c r="ALQ72"/>
      <c r="ALR72"/>
      <c r="ALS72"/>
      <c r="ALT72"/>
      <c r="ALU72"/>
      <c r="ALV72"/>
      <c r="ALW72"/>
      <c r="ALX72"/>
      <c r="ALY72"/>
      <c r="ALZ72"/>
      <c r="AMA72"/>
      <c r="AMB72"/>
      <c r="AMC72"/>
      <c r="AMD72"/>
      <c r="AME72"/>
      <c r="AMF72"/>
      <c r="AMG72"/>
      <c r="AMH72"/>
      <c r="AMI72"/>
      <c r="AMJ72"/>
    </row>
    <row r="73" spans="1:1024" ht="59.25" hidden="1" customHeight="1">
      <c r="A73" s="103" t="s">
        <v>233</v>
      </c>
      <c r="B73" s="103" t="s">
        <v>234</v>
      </c>
      <c r="C73" s="103"/>
      <c r="D73" s="80" t="s">
        <v>100</v>
      </c>
      <c r="E73" s="80" t="s">
        <v>235</v>
      </c>
      <c r="F73" s="80" t="s">
        <v>238</v>
      </c>
      <c r="G73" s="80"/>
      <c r="H73" s="80"/>
      <c r="I73" s="80"/>
      <c r="J73" s="80">
        <f>+AC73</f>
        <v>24543866.3172752</v>
      </c>
      <c r="K73" s="80">
        <v>0</v>
      </c>
      <c r="L73" s="80">
        <f>1-K73</f>
        <v>1</v>
      </c>
      <c r="M73" s="327"/>
      <c r="N73" s="327"/>
      <c r="O73" s="327"/>
      <c r="P73" s="327"/>
      <c r="Q73" s="327"/>
      <c r="R73" s="327"/>
      <c r="S73" s="327"/>
      <c r="T73" s="327"/>
      <c r="U73"/>
      <c r="V73"/>
      <c r="W73" s="86">
        <v>24543866.3172752</v>
      </c>
      <c r="X73" s="87">
        <v>0</v>
      </c>
      <c r="Y73" s="86">
        <f>+IF(A73&lt;&gt;"x",SUM(J73)*SUM(K73),0)</f>
        <v>0</v>
      </c>
      <c r="Z73" s="86">
        <v>0</v>
      </c>
      <c r="AA73" s="88">
        <f>++IF(A73&lt;&gt;"x",Z73-Y73,0)</f>
        <v>0</v>
      </c>
      <c r="AC73" s="89">
        <v>24543866.3172752</v>
      </c>
      <c r="AD73" s="72">
        <v>0</v>
      </c>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c r="SG73"/>
      <c r="SH73"/>
      <c r="SI73"/>
      <c r="SJ73"/>
      <c r="SK73"/>
      <c r="SL73"/>
      <c r="SM73"/>
      <c r="SN73"/>
      <c r="SO73"/>
      <c r="SP73"/>
      <c r="SQ73"/>
      <c r="SR73"/>
      <c r="SS73"/>
      <c r="ST73"/>
      <c r="SU73"/>
      <c r="SV73"/>
      <c r="SW73"/>
      <c r="SX73"/>
      <c r="SY73"/>
      <c r="SZ73"/>
      <c r="TA73"/>
      <c r="TB73"/>
      <c r="TC73"/>
      <c r="TD73"/>
      <c r="TE73"/>
      <c r="TF73"/>
      <c r="TG73"/>
      <c r="TH73"/>
      <c r="TI73"/>
      <c r="TJ73"/>
      <c r="TK73"/>
      <c r="TL73"/>
      <c r="TM73"/>
      <c r="TN73"/>
      <c r="TO73"/>
      <c r="TP73"/>
      <c r="TQ73"/>
      <c r="TR73"/>
      <c r="TS73"/>
      <c r="TT73"/>
      <c r="TU73"/>
      <c r="TV73"/>
      <c r="TW73"/>
      <c r="TX73"/>
      <c r="TY73"/>
      <c r="TZ73"/>
      <c r="UA73"/>
      <c r="UB73"/>
      <c r="UC73"/>
      <c r="UD73"/>
      <c r="UE73"/>
      <c r="UF73"/>
      <c r="UG73"/>
      <c r="UH73"/>
      <c r="UI73"/>
      <c r="UJ73"/>
      <c r="UK73"/>
      <c r="UL73"/>
      <c r="UM73"/>
      <c r="UN73"/>
      <c r="UO73"/>
      <c r="UP73"/>
      <c r="UQ73"/>
      <c r="UR73"/>
      <c r="US73"/>
      <c r="UT73"/>
      <c r="UU73"/>
      <c r="UV73"/>
      <c r="UW73"/>
      <c r="UX73"/>
      <c r="UY73"/>
      <c r="UZ73"/>
      <c r="VA73"/>
      <c r="VB73"/>
      <c r="VC73"/>
      <c r="VD73"/>
      <c r="VE73"/>
      <c r="VF73"/>
      <c r="VG73"/>
      <c r="VH73"/>
      <c r="VI73"/>
      <c r="VJ73"/>
      <c r="VK73"/>
      <c r="VL73"/>
      <c r="VM73"/>
      <c r="VN73"/>
      <c r="VO73"/>
      <c r="VP73"/>
      <c r="VQ73"/>
      <c r="VR73"/>
      <c r="VS73"/>
      <c r="VT73"/>
      <c r="VU73"/>
      <c r="VV73"/>
      <c r="VW73"/>
      <c r="VX73"/>
      <c r="VY73"/>
      <c r="VZ73"/>
      <c r="WA73"/>
      <c r="WB73"/>
      <c r="WC73"/>
      <c r="WD73"/>
      <c r="WE73"/>
      <c r="WF73"/>
      <c r="WG73"/>
      <c r="WH73"/>
      <c r="WI73"/>
      <c r="WJ73"/>
      <c r="WK73"/>
      <c r="WL73"/>
      <c r="WM73"/>
      <c r="WN73"/>
      <c r="WO73"/>
      <c r="WP73"/>
      <c r="WQ73"/>
      <c r="WR73"/>
      <c r="WS73"/>
      <c r="WT73"/>
      <c r="WU73"/>
      <c r="WV73"/>
      <c r="WW73"/>
      <c r="WX73"/>
      <c r="WY73"/>
      <c r="WZ73"/>
      <c r="XA73"/>
      <c r="XB73"/>
      <c r="XC73"/>
      <c r="XD73"/>
      <c r="XE73"/>
      <c r="XF73"/>
      <c r="XG73"/>
      <c r="XH73"/>
      <c r="XI73"/>
      <c r="XJ73"/>
      <c r="XK73"/>
      <c r="XL73"/>
      <c r="XM73"/>
      <c r="XN73"/>
      <c r="XO73"/>
      <c r="XP73"/>
      <c r="XQ73"/>
      <c r="XR73"/>
      <c r="XS73"/>
      <c r="XT73"/>
      <c r="XU73"/>
      <c r="XV73"/>
      <c r="XW73"/>
      <c r="XX73"/>
      <c r="XY73"/>
      <c r="XZ73"/>
      <c r="YA73"/>
      <c r="YB73"/>
      <c r="YC73"/>
      <c r="YD73"/>
      <c r="YE73"/>
      <c r="YF73"/>
      <c r="YG73"/>
      <c r="YH73"/>
      <c r="YI73"/>
      <c r="YJ73"/>
      <c r="YK73"/>
      <c r="YL73"/>
      <c r="YM73"/>
      <c r="YN73"/>
      <c r="YO73"/>
      <c r="YP73"/>
      <c r="YQ73"/>
      <c r="YR73"/>
      <c r="YS73"/>
      <c r="YT73"/>
      <c r="YU73"/>
      <c r="YV73"/>
      <c r="YW73"/>
      <c r="YX73"/>
      <c r="YY73"/>
      <c r="YZ73"/>
      <c r="ZA73"/>
      <c r="ZB73"/>
      <c r="ZC73"/>
      <c r="ZD73"/>
      <c r="ZE73"/>
      <c r="ZF73"/>
      <c r="ZG73"/>
      <c r="ZH73"/>
      <c r="ZI73"/>
      <c r="ZJ73"/>
      <c r="ZK73"/>
      <c r="ZL73"/>
      <c r="ZM73"/>
      <c r="ZN73"/>
      <c r="ZO73"/>
      <c r="ZP73"/>
      <c r="ZQ73"/>
      <c r="ZR73"/>
      <c r="ZS73"/>
      <c r="ZT73"/>
      <c r="ZU73"/>
      <c r="ZV73"/>
      <c r="ZW73"/>
      <c r="ZX73"/>
      <c r="ZY73"/>
      <c r="ZZ73"/>
      <c r="AAA73"/>
      <c r="AAB73"/>
      <c r="AAC73"/>
      <c r="AAD73"/>
      <c r="AAE73"/>
      <c r="AAF73"/>
      <c r="AAG73"/>
      <c r="AAH73"/>
      <c r="AAI73"/>
      <c r="AAJ73"/>
      <c r="AAK73"/>
      <c r="AAL73"/>
      <c r="AAM73"/>
      <c r="AAN73"/>
      <c r="AAO73"/>
      <c r="AAP73"/>
      <c r="AAQ73"/>
      <c r="AAR73"/>
      <c r="AAS73"/>
      <c r="AAT73"/>
      <c r="AAU73"/>
      <c r="AAV73"/>
      <c r="AAW73"/>
      <c r="AAX73"/>
      <c r="AAY73"/>
      <c r="AAZ73"/>
      <c r="ABA73"/>
      <c r="ABB73"/>
      <c r="ABC73"/>
      <c r="ABD73"/>
      <c r="ABE73"/>
      <c r="ABF73"/>
      <c r="ABG73"/>
      <c r="ABH73"/>
      <c r="ABI73"/>
      <c r="ABJ73"/>
      <c r="ABK73"/>
      <c r="ABL73"/>
      <c r="ABM73"/>
      <c r="ABN73"/>
      <c r="ABO73"/>
      <c r="ABP73"/>
      <c r="ABQ73"/>
      <c r="ABR73"/>
      <c r="ABS73"/>
      <c r="ABT73"/>
      <c r="ABU73"/>
      <c r="ABV73"/>
      <c r="ABW73"/>
      <c r="ABX73"/>
      <c r="ABY73"/>
      <c r="ABZ73"/>
      <c r="ACA73"/>
      <c r="ACB73"/>
      <c r="ACC73"/>
      <c r="ACD73"/>
      <c r="ACE73"/>
      <c r="ACF73"/>
      <c r="ACG73"/>
      <c r="ACH73"/>
      <c r="ACI73"/>
      <c r="ACJ73"/>
      <c r="ACK73"/>
      <c r="ACL73"/>
      <c r="ACM73"/>
      <c r="ACN73"/>
      <c r="ACO73"/>
      <c r="ACP73"/>
      <c r="ACQ73"/>
      <c r="ACR73"/>
      <c r="ACS73"/>
      <c r="ACT73"/>
      <c r="ACU73"/>
      <c r="ACV73"/>
      <c r="ACW73"/>
      <c r="ACX73"/>
      <c r="ACY73"/>
      <c r="ACZ73"/>
      <c r="ADA73"/>
      <c r="ADB73"/>
      <c r="ADC73"/>
      <c r="ADD73"/>
      <c r="ADE73"/>
      <c r="ADF73"/>
      <c r="ADG73"/>
      <c r="ADH73"/>
      <c r="ADI73"/>
      <c r="ADJ73"/>
      <c r="ADK73"/>
      <c r="ADL73"/>
      <c r="ADM73"/>
      <c r="ADN73"/>
      <c r="ADO73"/>
      <c r="ADP73"/>
      <c r="ADQ73"/>
      <c r="ADR73"/>
      <c r="ADS73"/>
      <c r="ADT73"/>
      <c r="ADU73"/>
      <c r="ADV73"/>
      <c r="ADW73"/>
      <c r="ADX73"/>
      <c r="ADY73"/>
      <c r="ADZ73"/>
      <c r="AEA73"/>
      <c r="AEB73"/>
      <c r="AEC73"/>
      <c r="AED73"/>
      <c r="AEE73"/>
      <c r="AEF73"/>
      <c r="AEG73"/>
      <c r="AEH73"/>
      <c r="AEI73"/>
      <c r="AEJ73"/>
      <c r="AEK73"/>
      <c r="AEL73"/>
      <c r="AEM73"/>
      <c r="AEN73"/>
      <c r="AEO73"/>
      <c r="AEP73"/>
      <c r="AEQ73"/>
      <c r="AER73"/>
      <c r="AES73"/>
      <c r="AET73"/>
      <c r="AEU73"/>
      <c r="AEV73"/>
      <c r="AEW73"/>
      <c r="AEX73"/>
      <c r="AEY73"/>
      <c r="AEZ73"/>
      <c r="AFA73"/>
      <c r="AFB73"/>
      <c r="AFC73"/>
      <c r="AFD73"/>
      <c r="AFE73"/>
      <c r="AFF73"/>
      <c r="AFG73"/>
      <c r="AFH73"/>
      <c r="AFI73"/>
      <c r="AFJ73"/>
      <c r="AFK73"/>
      <c r="AFL73"/>
      <c r="AFM73"/>
      <c r="AFN73"/>
      <c r="AFO73"/>
      <c r="AFP73"/>
      <c r="AFQ73"/>
      <c r="AFR73"/>
      <c r="AFS73"/>
      <c r="AFT73"/>
      <c r="AFU73"/>
      <c r="AFV73"/>
      <c r="AFW73"/>
      <c r="AFX73"/>
      <c r="AFY73"/>
      <c r="AFZ73"/>
      <c r="AGA73"/>
      <c r="AGB73"/>
      <c r="AGC73"/>
      <c r="AGD73"/>
      <c r="AGE73"/>
      <c r="AGF73"/>
      <c r="AGG73"/>
      <c r="AGH73"/>
      <c r="AGI73"/>
      <c r="AGJ73"/>
      <c r="AGK73"/>
      <c r="AGL73"/>
      <c r="AGM73"/>
      <c r="AGN73"/>
      <c r="AGO73"/>
      <c r="AGP73"/>
      <c r="AGQ73"/>
      <c r="AGR73"/>
      <c r="AGS73"/>
      <c r="AGT73"/>
      <c r="AGU73"/>
      <c r="AGV73"/>
      <c r="AGW73"/>
      <c r="AGX73"/>
      <c r="AGY73"/>
      <c r="AGZ73"/>
      <c r="AHA73"/>
      <c r="AHB73"/>
      <c r="AHC73"/>
      <c r="AHD73"/>
      <c r="AHE73"/>
      <c r="AHF73"/>
      <c r="AHG73"/>
      <c r="AHH73"/>
      <c r="AHI73"/>
      <c r="AHJ73"/>
      <c r="AHK73"/>
      <c r="AHL73"/>
      <c r="AHM73"/>
      <c r="AHN73"/>
      <c r="AHO73"/>
      <c r="AHP73"/>
      <c r="AHQ73"/>
      <c r="AHR73"/>
      <c r="AHS73"/>
      <c r="AHT73"/>
      <c r="AHU73"/>
      <c r="AHV73"/>
      <c r="AHW73"/>
      <c r="AHX73"/>
      <c r="AHY73"/>
      <c r="AHZ73"/>
      <c r="AIA73"/>
      <c r="AIB73"/>
      <c r="AIC73"/>
      <c r="AID73"/>
      <c r="AIE73"/>
      <c r="AIF73"/>
      <c r="AIG73"/>
      <c r="AIH73"/>
      <c r="AII73"/>
      <c r="AIJ73"/>
      <c r="AIK73"/>
      <c r="AIL73"/>
      <c r="AIM73"/>
      <c r="AIN73"/>
      <c r="AIO73"/>
      <c r="AIP73"/>
      <c r="AIQ73"/>
      <c r="AIR73"/>
      <c r="AIS73"/>
      <c r="AIT73"/>
      <c r="AIU73"/>
      <c r="AIV73"/>
      <c r="AIW73"/>
      <c r="AIX73"/>
      <c r="AIY73"/>
      <c r="AIZ73"/>
      <c r="AJA73"/>
      <c r="AJB73"/>
      <c r="AJC73"/>
      <c r="AJD73"/>
      <c r="AJE73"/>
      <c r="AJF73"/>
      <c r="AJG73"/>
      <c r="AJH73"/>
      <c r="AJI73"/>
      <c r="AJJ73"/>
      <c r="AJK73"/>
      <c r="AJL73"/>
      <c r="AJM73"/>
      <c r="AJN73"/>
      <c r="AJO73"/>
      <c r="AJP73"/>
      <c r="AJQ73"/>
      <c r="AJR73"/>
      <c r="AJS73"/>
      <c r="AJT73"/>
      <c r="AJU73"/>
      <c r="AJV73"/>
      <c r="AJW73"/>
      <c r="AJX73"/>
      <c r="AJY73"/>
      <c r="AJZ73"/>
      <c r="AKA73"/>
      <c r="AKB73"/>
      <c r="AKC73"/>
      <c r="AKD73"/>
      <c r="AKE73"/>
      <c r="AKF73"/>
      <c r="AKG73"/>
      <c r="AKH73"/>
      <c r="AKI73"/>
      <c r="AKJ73"/>
      <c r="AKK73"/>
      <c r="AKL73"/>
      <c r="AKM73"/>
      <c r="AKN73"/>
      <c r="AKO73"/>
      <c r="AKP73"/>
      <c r="AKQ73"/>
      <c r="AKR73"/>
      <c r="AKS73"/>
      <c r="AKT73"/>
      <c r="AKU73"/>
      <c r="AKV73"/>
      <c r="AKW73"/>
      <c r="AKX73"/>
      <c r="AKY73"/>
      <c r="AKZ73"/>
      <c r="ALA73"/>
      <c r="ALB73"/>
      <c r="ALC73"/>
      <c r="ALD73"/>
      <c r="ALE73"/>
      <c r="ALF73"/>
      <c r="ALG73"/>
      <c r="ALH73"/>
      <c r="ALI73"/>
      <c r="ALJ73"/>
      <c r="ALK73"/>
      <c r="ALL73"/>
      <c r="ALM73"/>
      <c r="ALN73"/>
      <c r="ALO73"/>
      <c r="ALP73"/>
      <c r="ALQ73"/>
      <c r="ALR73"/>
      <c r="ALS73"/>
      <c r="ALT73"/>
      <c r="ALU73"/>
      <c r="ALV73"/>
      <c r="ALW73"/>
      <c r="ALX73"/>
      <c r="ALY73"/>
      <c r="ALZ73"/>
      <c r="AMA73"/>
      <c r="AMB73"/>
      <c r="AMC73"/>
      <c r="AMD73"/>
      <c r="AME73"/>
      <c r="AMF73"/>
      <c r="AMG73"/>
      <c r="AMH73"/>
      <c r="AMI73"/>
      <c r="AMJ73"/>
    </row>
    <row r="74" spans="1:1024" ht="59.25" hidden="1" customHeight="1">
      <c r="A74" s="103" t="s">
        <v>233</v>
      </c>
      <c r="B74" s="103" t="s">
        <v>234</v>
      </c>
      <c r="C74" s="103"/>
      <c r="D74" s="80" t="s">
        <v>100</v>
      </c>
      <c r="E74" s="80" t="s">
        <v>235</v>
      </c>
      <c r="F74" s="80" t="s">
        <v>239</v>
      </c>
      <c r="G74" s="80"/>
      <c r="H74" s="80"/>
      <c r="I74" s="80"/>
      <c r="J74" s="80">
        <f>-AC74</f>
        <v>40304135.624891996</v>
      </c>
      <c r="K74" s="80">
        <v>0</v>
      </c>
      <c r="L74" s="80">
        <f>1-K74</f>
        <v>1</v>
      </c>
      <c r="M74" s="327"/>
      <c r="N74" s="327"/>
      <c r="O74" s="327"/>
      <c r="P74" s="327"/>
      <c r="Q74" s="327"/>
      <c r="R74" s="327"/>
      <c r="S74" s="327"/>
      <c r="T74" s="327"/>
      <c r="U74"/>
      <c r="V74"/>
      <c r="W74" s="86">
        <v>-40304135.624891996</v>
      </c>
      <c r="X74" s="87">
        <v>0</v>
      </c>
      <c r="Y74" s="86">
        <f>+IF(A74&lt;&gt;"x",SUM(J74)*SUM(K74),0)</f>
        <v>0</v>
      </c>
      <c r="Z74" s="86">
        <v>0</v>
      </c>
      <c r="AA74" s="88">
        <f>++IF(A74&lt;&gt;"x",Z74-Y74,0)</f>
        <v>0</v>
      </c>
      <c r="AC74" s="89">
        <v>-40304135.624891996</v>
      </c>
      <c r="AD74" s="72">
        <v>0</v>
      </c>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c r="SG74"/>
      <c r="SH74"/>
      <c r="SI74"/>
      <c r="SJ74"/>
      <c r="SK74"/>
      <c r="SL74"/>
      <c r="SM74"/>
      <c r="SN74"/>
      <c r="SO74"/>
      <c r="SP74"/>
      <c r="SQ74"/>
      <c r="SR74"/>
      <c r="SS74"/>
      <c r="ST74"/>
      <c r="SU74"/>
      <c r="SV74"/>
      <c r="SW74"/>
      <c r="SX74"/>
      <c r="SY74"/>
      <c r="SZ74"/>
      <c r="TA74"/>
      <c r="TB74"/>
      <c r="TC74"/>
      <c r="TD74"/>
      <c r="TE74"/>
      <c r="TF74"/>
      <c r="TG74"/>
      <c r="TH74"/>
      <c r="TI74"/>
      <c r="TJ74"/>
      <c r="TK74"/>
      <c r="TL74"/>
      <c r="TM74"/>
      <c r="TN74"/>
      <c r="TO74"/>
      <c r="TP74"/>
      <c r="TQ74"/>
      <c r="TR74"/>
      <c r="TS74"/>
      <c r="TT74"/>
      <c r="TU74"/>
      <c r="TV74"/>
      <c r="TW74"/>
      <c r="TX74"/>
      <c r="TY74"/>
      <c r="TZ74"/>
      <c r="UA74"/>
      <c r="UB74"/>
      <c r="UC74"/>
      <c r="UD74"/>
      <c r="UE74"/>
      <c r="UF74"/>
      <c r="UG74"/>
      <c r="UH74"/>
      <c r="UI74"/>
      <c r="UJ74"/>
      <c r="UK74"/>
      <c r="UL74"/>
      <c r="UM74"/>
      <c r="UN74"/>
      <c r="UO74"/>
      <c r="UP74"/>
      <c r="UQ74"/>
      <c r="UR74"/>
      <c r="US74"/>
      <c r="UT74"/>
      <c r="UU74"/>
      <c r="UV74"/>
      <c r="UW74"/>
      <c r="UX74"/>
      <c r="UY74"/>
      <c r="UZ74"/>
      <c r="VA74"/>
      <c r="VB74"/>
      <c r="VC74"/>
      <c r="VD74"/>
      <c r="VE74"/>
      <c r="VF74"/>
      <c r="VG74"/>
      <c r="VH74"/>
      <c r="VI74"/>
      <c r="VJ74"/>
      <c r="VK74"/>
      <c r="VL74"/>
      <c r="VM74"/>
      <c r="VN74"/>
      <c r="VO74"/>
      <c r="VP74"/>
      <c r="VQ74"/>
      <c r="VR74"/>
      <c r="VS74"/>
      <c r="VT74"/>
      <c r="VU74"/>
      <c r="VV74"/>
      <c r="VW74"/>
      <c r="VX74"/>
      <c r="VY74"/>
      <c r="VZ74"/>
      <c r="WA74"/>
      <c r="WB74"/>
      <c r="WC74"/>
      <c r="WD74"/>
      <c r="WE74"/>
      <c r="WF74"/>
      <c r="WG74"/>
      <c r="WH74"/>
      <c r="WI74"/>
      <c r="WJ74"/>
      <c r="WK74"/>
      <c r="WL74"/>
      <c r="WM74"/>
      <c r="WN74"/>
      <c r="WO74"/>
      <c r="WP74"/>
      <c r="WQ74"/>
      <c r="WR74"/>
      <c r="WS74"/>
      <c r="WT74"/>
      <c r="WU74"/>
      <c r="WV74"/>
      <c r="WW74"/>
      <c r="WX74"/>
      <c r="WY74"/>
      <c r="WZ74"/>
      <c r="XA74"/>
      <c r="XB74"/>
      <c r="XC74"/>
      <c r="XD74"/>
      <c r="XE74"/>
      <c r="XF74"/>
      <c r="XG74"/>
      <c r="XH74"/>
      <c r="XI74"/>
      <c r="XJ74"/>
      <c r="XK74"/>
      <c r="XL74"/>
      <c r="XM74"/>
      <c r="XN74"/>
      <c r="XO74"/>
      <c r="XP74"/>
      <c r="XQ74"/>
      <c r="XR74"/>
      <c r="XS74"/>
      <c r="XT74"/>
      <c r="XU74"/>
      <c r="XV74"/>
      <c r="XW74"/>
      <c r="XX74"/>
      <c r="XY74"/>
      <c r="XZ74"/>
      <c r="YA74"/>
      <c r="YB74"/>
      <c r="YC74"/>
      <c r="YD74"/>
      <c r="YE74"/>
      <c r="YF74"/>
      <c r="YG74"/>
      <c r="YH74"/>
      <c r="YI74"/>
      <c r="YJ74"/>
      <c r="YK74"/>
      <c r="YL74"/>
      <c r="YM74"/>
      <c r="YN74"/>
      <c r="YO74"/>
      <c r="YP74"/>
      <c r="YQ74"/>
      <c r="YR74"/>
      <c r="YS74"/>
      <c r="YT74"/>
      <c r="YU74"/>
      <c r="YV74"/>
      <c r="YW74"/>
      <c r="YX74"/>
      <c r="YY74"/>
      <c r="YZ74"/>
      <c r="ZA74"/>
      <c r="ZB74"/>
      <c r="ZC74"/>
      <c r="ZD74"/>
      <c r="ZE74"/>
      <c r="ZF74"/>
      <c r="ZG74"/>
      <c r="ZH74"/>
      <c r="ZI74"/>
      <c r="ZJ74"/>
      <c r="ZK74"/>
      <c r="ZL74"/>
      <c r="ZM74"/>
      <c r="ZN74"/>
      <c r="ZO74"/>
      <c r="ZP74"/>
      <c r="ZQ74"/>
      <c r="ZR74"/>
      <c r="ZS74"/>
      <c r="ZT74"/>
      <c r="ZU74"/>
      <c r="ZV74"/>
      <c r="ZW74"/>
      <c r="ZX74"/>
      <c r="ZY74"/>
      <c r="ZZ74"/>
      <c r="AAA74"/>
      <c r="AAB74"/>
      <c r="AAC74"/>
      <c r="AAD74"/>
      <c r="AAE74"/>
      <c r="AAF74"/>
      <c r="AAG74"/>
      <c r="AAH74"/>
      <c r="AAI74"/>
      <c r="AAJ74"/>
      <c r="AAK74"/>
      <c r="AAL74"/>
      <c r="AAM74"/>
      <c r="AAN74"/>
      <c r="AAO74"/>
      <c r="AAP74"/>
      <c r="AAQ74"/>
      <c r="AAR74"/>
      <c r="AAS74"/>
      <c r="AAT74"/>
      <c r="AAU74"/>
      <c r="AAV74"/>
      <c r="AAW74"/>
      <c r="AAX74"/>
      <c r="AAY74"/>
      <c r="AAZ74"/>
      <c r="ABA74"/>
      <c r="ABB74"/>
      <c r="ABC74"/>
      <c r="ABD74"/>
      <c r="ABE74"/>
      <c r="ABF74"/>
      <c r="ABG74"/>
      <c r="ABH74"/>
      <c r="ABI74"/>
      <c r="ABJ74"/>
      <c r="ABK74"/>
      <c r="ABL74"/>
      <c r="ABM74"/>
      <c r="ABN74"/>
      <c r="ABO74"/>
      <c r="ABP74"/>
      <c r="ABQ74"/>
      <c r="ABR74"/>
      <c r="ABS74"/>
      <c r="ABT74"/>
      <c r="ABU74"/>
      <c r="ABV74"/>
      <c r="ABW74"/>
      <c r="ABX74"/>
      <c r="ABY74"/>
      <c r="ABZ74"/>
      <c r="ACA74"/>
      <c r="ACB74"/>
      <c r="ACC74"/>
      <c r="ACD74"/>
      <c r="ACE74"/>
      <c r="ACF74"/>
      <c r="ACG74"/>
      <c r="ACH74"/>
      <c r="ACI74"/>
      <c r="ACJ74"/>
      <c r="ACK74"/>
      <c r="ACL74"/>
      <c r="ACM74"/>
      <c r="ACN74"/>
      <c r="ACO74"/>
      <c r="ACP74"/>
      <c r="ACQ74"/>
      <c r="ACR74"/>
      <c r="ACS74"/>
      <c r="ACT74"/>
      <c r="ACU74"/>
      <c r="ACV74"/>
      <c r="ACW74"/>
      <c r="ACX74"/>
      <c r="ACY74"/>
      <c r="ACZ74"/>
      <c r="ADA74"/>
      <c r="ADB74"/>
      <c r="ADC74"/>
      <c r="ADD74"/>
      <c r="ADE74"/>
      <c r="ADF74"/>
      <c r="ADG74"/>
      <c r="ADH74"/>
      <c r="ADI74"/>
      <c r="ADJ74"/>
      <c r="ADK74"/>
      <c r="ADL74"/>
      <c r="ADM74"/>
      <c r="ADN74"/>
      <c r="ADO74"/>
      <c r="ADP74"/>
      <c r="ADQ74"/>
      <c r="ADR74"/>
      <c r="ADS74"/>
      <c r="ADT74"/>
      <c r="ADU74"/>
      <c r="ADV74"/>
      <c r="ADW74"/>
      <c r="ADX74"/>
      <c r="ADY74"/>
      <c r="ADZ74"/>
      <c r="AEA74"/>
      <c r="AEB74"/>
      <c r="AEC74"/>
      <c r="AED74"/>
      <c r="AEE74"/>
      <c r="AEF74"/>
      <c r="AEG74"/>
      <c r="AEH74"/>
      <c r="AEI74"/>
      <c r="AEJ74"/>
      <c r="AEK74"/>
      <c r="AEL74"/>
      <c r="AEM74"/>
      <c r="AEN74"/>
      <c r="AEO74"/>
      <c r="AEP74"/>
      <c r="AEQ74"/>
      <c r="AER74"/>
      <c r="AES74"/>
      <c r="AET74"/>
      <c r="AEU74"/>
      <c r="AEV74"/>
      <c r="AEW74"/>
      <c r="AEX74"/>
      <c r="AEY74"/>
      <c r="AEZ74"/>
      <c r="AFA74"/>
      <c r="AFB74"/>
      <c r="AFC74"/>
      <c r="AFD74"/>
      <c r="AFE74"/>
      <c r="AFF74"/>
      <c r="AFG74"/>
      <c r="AFH74"/>
      <c r="AFI74"/>
      <c r="AFJ74"/>
      <c r="AFK74"/>
      <c r="AFL74"/>
      <c r="AFM74"/>
      <c r="AFN74"/>
      <c r="AFO74"/>
      <c r="AFP74"/>
      <c r="AFQ74"/>
      <c r="AFR74"/>
      <c r="AFS74"/>
      <c r="AFT74"/>
      <c r="AFU74"/>
      <c r="AFV74"/>
      <c r="AFW74"/>
      <c r="AFX74"/>
      <c r="AFY74"/>
      <c r="AFZ74"/>
      <c r="AGA74"/>
      <c r="AGB74"/>
      <c r="AGC74"/>
      <c r="AGD74"/>
      <c r="AGE74"/>
      <c r="AGF74"/>
      <c r="AGG74"/>
      <c r="AGH74"/>
      <c r="AGI74"/>
      <c r="AGJ74"/>
      <c r="AGK74"/>
      <c r="AGL74"/>
      <c r="AGM74"/>
      <c r="AGN74"/>
      <c r="AGO74"/>
      <c r="AGP74"/>
      <c r="AGQ74"/>
      <c r="AGR74"/>
      <c r="AGS74"/>
      <c r="AGT74"/>
      <c r="AGU74"/>
      <c r="AGV74"/>
      <c r="AGW74"/>
      <c r="AGX74"/>
      <c r="AGY74"/>
      <c r="AGZ74"/>
      <c r="AHA74"/>
      <c r="AHB74"/>
      <c r="AHC74"/>
      <c r="AHD74"/>
      <c r="AHE74"/>
      <c r="AHF74"/>
      <c r="AHG74"/>
      <c r="AHH74"/>
      <c r="AHI74"/>
      <c r="AHJ74"/>
      <c r="AHK74"/>
      <c r="AHL74"/>
      <c r="AHM74"/>
      <c r="AHN74"/>
      <c r="AHO74"/>
      <c r="AHP74"/>
      <c r="AHQ74"/>
      <c r="AHR74"/>
      <c r="AHS74"/>
      <c r="AHT74"/>
      <c r="AHU74"/>
      <c r="AHV74"/>
      <c r="AHW74"/>
      <c r="AHX74"/>
      <c r="AHY74"/>
      <c r="AHZ74"/>
      <c r="AIA74"/>
      <c r="AIB74"/>
      <c r="AIC74"/>
      <c r="AID74"/>
      <c r="AIE74"/>
      <c r="AIF74"/>
      <c r="AIG74"/>
      <c r="AIH74"/>
      <c r="AII74"/>
      <c r="AIJ74"/>
      <c r="AIK74"/>
      <c r="AIL74"/>
      <c r="AIM74"/>
      <c r="AIN74"/>
      <c r="AIO74"/>
      <c r="AIP74"/>
      <c r="AIQ74"/>
      <c r="AIR74"/>
      <c r="AIS74"/>
      <c r="AIT74"/>
      <c r="AIU74"/>
      <c r="AIV74"/>
      <c r="AIW74"/>
      <c r="AIX74"/>
      <c r="AIY74"/>
      <c r="AIZ74"/>
      <c r="AJA74"/>
      <c r="AJB74"/>
      <c r="AJC74"/>
      <c r="AJD74"/>
      <c r="AJE74"/>
      <c r="AJF74"/>
      <c r="AJG74"/>
      <c r="AJH74"/>
      <c r="AJI74"/>
      <c r="AJJ74"/>
      <c r="AJK74"/>
      <c r="AJL74"/>
      <c r="AJM74"/>
      <c r="AJN74"/>
      <c r="AJO74"/>
      <c r="AJP74"/>
      <c r="AJQ74"/>
      <c r="AJR74"/>
      <c r="AJS74"/>
      <c r="AJT74"/>
      <c r="AJU74"/>
      <c r="AJV74"/>
      <c r="AJW74"/>
      <c r="AJX74"/>
      <c r="AJY74"/>
      <c r="AJZ74"/>
      <c r="AKA74"/>
      <c r="AKB74"/>
      <c r="AKC74"/>
      <c r="AKD74"/>
      <c r="AKE74"/>
      <c r="AKF74"/>
      <c r="AKG74"/>
      <c r="AKH74"/>
      <c r="AKI74"/>
      <c r="AKJ74"/>
      <c r="AKK74"/>
      <c r="AKL74"/>
      <c r="AKM74"/>
      <c r="AKN74"/>
      <c r="AKO74"/>
      <c r="AKP74"/>
      <c r="AKQ74"/>
      <c r="AKR74"/>
      <c r="AKS74"/>
      <c r="AKT74"/>
      <c r="AKU74"/>
      <c r="AKV74"/>
      <c r="AKW74"/>
      <c r="AKX74"/>
      <c r="AKY74"/>
      <c r="AKZ74"/>
      <c r="ALA74"/>
      <c r="ALB74"/>
      <c r="ALC74"/>
      <c r="ALD74"/>
      <c r="ALE74"/>
      <c r="ALF74"/>
      <c r="ALG74"/>
      <c r="ALH74"/>
      <c r="ALI74"/>
      <c r="ALJ74"/>
      <c r="ALK74"/>
      <c r="ALL74"/>
      <c r="ALM74"/>
      <c r="ALN74"/>
      <c r="ALO74"/>
      <c r="ALP74"/>
      <c r="ALQ74"/>
      <c r="ALR74"/>
      <c r="ALS74"/>
      <c r="ALT74"/>
      <c r="ALU74"/>
      <c r="ALV74"/>
      <c r="ALW74"/>
      <c r="ALX74"/>
      <c r="ALY74"/>
      <c r="ALZ74"/>
      <c r="AMA74"/>
      <c r="AMB74"/>
      <c r="AMC74"/>
      <c r="AMD74"/>
      <c r="AME74"/>
      <c r="AMF74"/>
      <c r="AMG74"/>
      <c r="AMH74"/>
      <c r="AMI74"/>
      <c r="AMJ74"/>
    </row>
    <row r="75" spans="1:1024" s="182" customFormat="1" ht="59.25" hidden="1" customHeight="1">
      <c r="A75" s="103" t="s">
        <v>105</v>
      </c>
      <c r="B75" s="103"/>
      <c r="C75" s="103"/>
      <c r="D75" s="196"/>
      <c r="E75" s="196"/>
      <c r="F75" s="196"/>
      <c r="G75" s="196"/>
      <c r="H75" s="196"/>
      <c r="I75" s="196"/>
      <c r="J75" s="198">
        <f>SUM(J71:J74)</f>
        <v>225003099.9076004</v>
      </c>
      <c r="K75" s="196"/>
      <c r="L75" s="196"/>
      <c r="M75" s="196"/>
      <c r="N75" s="196"/>
      <c r="O75" s="196"/>
      <c r="P75" s="196"/>
      <c r="Q75" s="196"/>
      <c r="R75" s="196"/>
      <c r="S75" s="196"/>
      <c r="T75" s="196"/>
      <c r="W75" s="187"/>
      <c r="X75" s="188"/>
      <c r="Y75" s="187"/>
      <c r="Z75" s="187"/>
      <c r="AA75" s="187"/>
      <c r="AC75" s="89"/>
      <c r="AD75" s="72"/>
    </row>
    <row r="76" spans="1:1024" s="192" customFormat="1" ht="59.25" hidden="1" customHeight="1">
      <c r="A76" s="103" t="s">
        <v>105</v>
      </c>
      <c r="B76" s="103"/>
      <c r="C76" s="103"/>
      <c r="D76" s="126" t="s">
        <v>240</v>
      </c>
      <c r="E76" s="55"/>
      <c r="F76" s="55"/>
      <c r="G76" s="55"/>
      <c r="H76" s="55"/>
      <c r="I76" s="55"/>
      <c r="J76" s="55"/>
      <c r="K76" s="55"/>
      <c r="L76" s="55"/>
      <c r="M76" s="55"/>
      <c r="N76" s="56"/>
      <c r="O76" s="56"/>
      <c r="P76" s="55"/>
      <c r="Q76" s="55"/>
      <c r="R76" s="55"/>
      <c r="S76" s="55"/>
      <c r="T76" s="57"/>
      <c r="W76" s="193"/>
      <c r="X76" s="188"/>
      <c r="Y76" s="193"/>
      <c r="Z76" s="193"/>
      <c r="AA76" s="193"/>
      <c r="AC76" s="89"/>
      <c r="AD76" s="72"/>
    </row>
    <row r="77" spans="1:1024" ht="59.25" hidden="1" customHeight="1">
      <c r="A77" s="103" t="s">
        <v>105</v>
      </c>
      <c r="B77" s="103"/>
      <c r="C77" s="103"/>
      <c r="D77" s="325" t="s">
        <v>59</v>
      </c>
      <c r="E77" s="320" t="s">
        <v>60</v>
      </c>
      <c r="F77" s="326" t="s">
        <v>61</v>
      </c>
      <c r="G77" s="320"/>
      <c r="H77" s="320"/>
      <c r="I77" s="318"/>
      <c r="J77" s="319" t="s">
        <v>54</v>
      </c>
      <c r="K77" s="319"/>
      <c r="L77" s="319"/>
      <c r="M77" s="320" t="s">
        <v>230</v>
      </c>
      <c r="N77" s="321"/>
      <c r="O77" s="321"/>
      <c r="P77" s="320"/>
      <c r="Q77" s="320"/>
      <c r="R77" s="320"/>
      <c r="S77" s="320"/>
      <c r="T77" s="324"/>
      <c r="W77" s="193"/>
      <c r="X77" s="188"/>
      <c r="Y77" s="193"/>
      <c r="Z77" s="193"/>
      <c r="AA77" s="193"/>
      <c r="AB77"/>
      <c r="AC77" s="89"/>
      <c r="AD77" s="72"/>
      <c r="AE77"/>
      <c r="AF77"/>
      <c r="AG77"/>
      <c r="AH77"/>
      <c r="AI77"/>
      <c r="AJ77"/>
    </row>
    <row r="78" spans="1:1024" ht="59.25" hidden="1" customHeight="1">
      <c r="A78" s="103" t="s">
        <v>105</v>
      </c>
      <c r="B78" s="103"/>
      <c r="C78" s="103"/>
      <c r="D78" s="325"/>
      <c r="E78" s="320"/>
      <c r="F78" s="326"/>
      <c r="G78" s="320"/>
      <c r="H78" s="320"/>
      <c r="I78" s="318"/>
      <c r="J78" s="174" t="s">
        <v>65</v>
      </c>
      <c r="K78" s="175" t="s">
        <v>66</v>
      </c>
      <c r="L78" s="176" t="s">
        <v>67</v>
      </c>
      <c r="M78" s="320"/>
      <c r="N78" s="168"/>
      <c r="O78" s="168"/>
      <c r="P78" s="320"/>
      <c r="Q78" s="320"/>
      <c r="R78" s="320"/>
      <c r="S78" s="320"/>
      <c r="T78" s="324"/>
      <c r="W78" s="193"/>
      <c r="X78" s="188"/>
      <c r="Y78" s="193"/>
      <c r="Z78" s="193"/>
      <c r="AA78" s="193"/>
      <c r="AB78"/>
      <c r="AC78" s="89"/>
      <c r="AD78" s="72"/>
      <c r="AE78"/>
      <c r="AF78"/>
      <c r="AG78"/>
      <c r="AH78"/>
      <c r="AI78"/>
      <c r="AJ78"/>
    </row>
    <row r="79" spans="1:1024" ht="59.25" hidden="1" customHeight="1">
      <c r="A79" s="103" t="s">
        <v>241</v>
      </c>
      <c r="B79" s="103" t="s">
        <v>242</v>
      </c>
      <c r="C79" s="103"/>
      <c r="D79" s="80" t="s">
        <v>100</v>
      </c>
      <c r="E79" s="80" t="s">
        <v>243</v>
      </c>
      <c r="F79" s="80" t="s">
        <v>244</v>
      </c>
      <c r="G79" s="80"/>
      <c r="H79" s="80"/>
      <c r="I79" s="80"/>
      <c r="J79" s="150">
        <f>+AC79</f>
        <v>126820657.62419499</v>
      </c>
      <c r="K79" s="80">
        <f>+AD79</f>
        <v>0</v>
      </c>
      <c r="L79" s="199"/>
      <c r="M79" s="327" t="s">
        <v>231</v>
      </c>
      <c r="N79" s="327"/>
      <c r="O79" s="327"/>
      <c r="P79" s="327"/>
      <c r="Q79" s="327"/>
      <c r="R79" s="327"/>
      <c r="S79" s="327"/>
      <c r="T79" s="327"/>
      <c r="W79" s="86">
        <f>J79</f>
        <v>126820657.62419499</v>
      </c>
      <c r="X79" s="87">
        <f>K79</f>
        <v>0</v>
      </c>
      <c r="Y79" s="86">
        <f>W79*X79</f>
        <v>0</v>
      </c>
      <c r="Z79" s="86">
        <v>0</v>
      </c>
      <c r="AA79" s="88">
        <f>++IF(A79&lt;&gt;"x",Z79-Y79,0)</f>
        <v>0</v>
      </c>
      <c r="AC79" s="89">
        <v>126820657.62419499</v>
      </c>
      <c r="AD79" s="72">
        <v>0</v>
      </c>
      <c r="AE79"/>
      <c r="AF79"/>
      <c r="AG79"/>
      <c r="AH79"/>
      <c r="AI79"/>
      <c r="AJ79"/>
    </row>
    <row r="80" spans="1:1024" ht="59.25" customHeight="1">
      <c r="A80" s="62"/>
      <c r="B80" s="62"/>
      <c r="C80" s="62"/>
      <c r="I80" s="27"/>
      <c r="J80" s="200"/>
      <c r="K80" s="201"/>
      <c r="L80" s="201"/>
      <c r="AC80" s="71"/>
      <c r="AD80" s="72"/>
      <c r="AE80"/>
      <c r="AF80"/>
      <c r="AG80"/>
      <c r="AH80" s="36"/>
      <c r="AI80"/>
      <c r="AJ80"/>
    </row>
    <row r="81" spans="1:36" ht="15">
      <c r="A81" s="62"/>
      <c r="B81" s="62"/>
      <c r="C81" s="62"/>
      <c r="I81" s="27"/>
      <c r="J81"/>
      <c r="K81" s="201"/>
      <c r="L81" s="201"/>
      <c r="AC81" s="71"/>
      <c r="AD81" s="72"/>
      <c r="AE81"/>
      <c r="AF81" s="112">
        <f>SUM(AF62,AF55,AF36,AF30,AF18)</f>
        <v>954498426.09786534</v>
      </c>
      <c r="AG81"/>
      <c r="AH81" s="112">
        <f>SUM(AH62,AH55,AH36,AH30,AH18)</f>
        <v>420759566.74479371</v>
      </c>
      <c r="AI81"/>
      <c r="AJ81" s="112">
        <f>SUM(AJ62,AJ55,AJ36,AJ30,AJ18)</f>
        <v>533738859.35307175</v>
      </c>
    </row>
    <row r="82" spans="1:36" ht="15">
      <c r="A82" s="62"/>
      <c r="B82" s="62"/>
      <c r="C82" s="62"/>
      <c r="I82" s="27"/>
      <c r="J82" s="202"/>
      <c r="K82" s="201"/>
      <c r="L82" s="201"/>
      <c r="AC82" s="71"/>
      <c r="AD82" s="72"/>
      <c r="AE82"/>
      <c r="AF82"/>
      <c r="AG82"/>
      <c r="AH82"/>
      <c r="AI82"/>
      <c r="AJ82"/>
    </row>
    <row r="83" spans="1:36" ht="15">
      <c r="A83" s="62"/>
      <c r="B83" s="62"/>
      <c r="C83" s="62"/>
      <c r="I83" s="27"/>
      <c r="J83" s="27"/>
      <c r="K83" s="201"/>
      <c r="L83" s="201"/>
      <c r="AE83"/>
      <c r="AF83"/>
      <c r="AG83"/>
      <c r="AH83"/>
      <c r="AI83"/>
      <c r="AJ83"/>
    </row>
    <row r="84" spans="1:36" ht="15">
      <c r="I84" s="27"/>
      <c r="J84" s="27"/>
      <c r="K84" s="201"/>
      <c r="L84" s="201"/>
      <c r="AE84"/>
      <c r="AF84"/>
      <c r="AG84"/>
      <c r="AH84" s="36"/>
      <c r="AI84"/>
      <c r="AJ84"/>
    </row>
    <row r="85" spans="1:36" ht="15">
      <c r="I85" s="27"/>
      <c r="J85" s="203"/>
      <c r="K85" s="201"/>
      <c r="L85" s="201"/>
      <c r="AE85" s="204" t="s">
        <v>245</v>
      </c>
      <c r="AF85" s="204">
        <f>AF59+AF41+AF42+AF44</f>
        <v>125887752.12399998</v>
      </c>
      <c r="AG85" s="205"/>
      <c r="AH85" s="206">
        <f>AH59+AH41+AH42+AH44</f>
        <v>71807321.883999988</v>
      </c>
      <c r="AI85" s="205"/>
      <c r="AJ85" s="204">
        <f>AJ59+AJ41+AJ42+AJ44</f>
        <v>54080430.239999995</v>
      </c>
    </row>
    <row r="86" spans="1:36" ht="15">
      <c r="I86" s="27"/>
      <c r="J86" s="207"/>
      <c r="K86" s="201"/>
      <c r="L86" s="201"/>
      <c r="AE86" s="204" t="s">
        <v>246</v>
      </c>
      <c r="AF86" s="204">
        <f>AF61+AF60+AF51+AF50+AF49+AF48+AF47+AF46+AF45</f>
        <v>6115797.8866031757</v>
      </c>
      <c r="AG86" s="205"/>
      <c r="AH86" s="204">
        <f>AH61+AH60+AH51+AH50+AH49+AH48+AH47+AH46+AH45</f>
        <v>220000</v>
      </c>
      <c r="AI86" s="205"/>
      <c r="AJ86" s="204">
        <f>AJ61+AJ60+AJ51+AJ50+AJ49+AJ48+AJ47+AJ46+AJ45</f>
        <v>5895797.8866031757</v>
      </c>
    </row>
    <row r="87" spans="1:36" ht="15">
      <c r="I87" s="27"/>
      <c r="J87" s="203"/>
      <c r="K87" s="201"/>
      <c r="L87" s="201"/>
      <c r="AE87" s="208" t="s">
        <v>247</v>
      </c>
      <c r="AF87" s="209">
        <f>SUM(AF85:AF86)</f>
        <v>132003550.01060316</v>
      </c>
      <c r="AG87" s="210"/>
      <c r="AH87" s="209">
        <f>SUM(AH85:AH86)</f>
        <v>72027321.883999988</v>
      </c>
      <c r="AI87" s="210"/>
      <c r="AJ87" s="209">
        <f>SUM(AJ85:AJ86)</f>
        <v>59976228.126603171</v>
      </c>
    </row>
    <row r="88" spans="1:36" ht="15">
      <c r="I88" s="27"/>
      <c r="J88" s="203"/>
      <c r="K88" s="201"/>
      <c r="L88" s="201"/>
      <c r="AE88"/>
      <c r="AF88"/>
      <c r="AG88"/>
      <c r="AH88"/>
      <c r="AI88"/>
      <c r="AJ88"/>
    </row>
    <row r="89" spans="1:36" ht="15">
      <c r="I89" s="27"/>
      <c r="J89" s="203"/>
      <c r="K89" s="201"/>
      <c r="L89" s="201"/>
      <c r="AE89" s="204" t="s">
        <v>248</v>
      </c>
      <c r="AF89" s="204">
        <f>AF22</f>
        <v>474642084.6079365</v>
      </c>
      <c r="AG89" s="205"/>
      <c r="AH89" s="204">
        <f>AH22</f>
        <v>341695097.46079367</v>
      </c>
      <c r="AI89" s="211"/>
      <c r="AJ89" s="204">
        <f>AJ22</f>
        <v>132946987.14714281</v>
      </c>
    </row>
    <row r="90" spans="1:36" ht="15">
      <c r="I90" s="27"/>
      <c r="J90" s="203"/>
      <c r="K90" s="201"/>
      <c r="L90" s="201"/>
      <c r="AE90" s="204" t="s">
        <v>249</v>
      </c>
      <c r="AF90" s="204">
        <f>AF23</f>
        <v>236314595.717421</v>
      </c>
      <c r="AG90" s="205"/>
      <c r="AH90" s="204">
        <f>AH23</f>
        <v>0</v>
      </c>
      <c r="AI90" s="205"/>
      <c r="AJ90" s="204">
        <f>AJ23</f>
        <v>236314595.717421</v>
      </c>
    </row>
    <row r="91" spans="1:36" ht="15">
      <c r="I91" s="27"/>
      <c r="J91" s="203"/>
      <c r="K91" s="201"/>
      <c r="L91" s="201"/>
      <c r="AE91" s="204" t="s">
        <v>250</v>
      </c>
      <c r="AF91" s="204">
        <f>AF24+AF25</f>
        <v>95000000</v>
      </c>
      <c r="AG91" s="205"/>
      <c r="AH91" s="204">
        <f>AH24+AH25</f>
        <v>0</v>
      </c>
      <c r="AI91" s="205"/>
      <c r="AJ91" s="204">
        <f>AJ24+AJ25</f>
        <v>95000000</v>
      </c>
    </row>
    <row r="92" spans="1:36" ht="15">
      <c r="K92" s="201"/>
      <c r="L92" s="201"/>
      <c r="AE92" s="204" t="s">
        <v>251</v>
      </c>
      <c r="AF92" s="204">
        <f>AF54+AF53+AF52+AF35+AF29+AF28+AF27+AF26+AF17+AF16+AF15</f>
        <v>16538195.761904761</v>
      </c>
      <c r="AG92" s="205"/>
      <c r="AH92" s="206">
        <f>AH54+AH53+AH52+AH35+AH29+AH28+AH27+AH26+AH17+AH16+AH15</f>
        <v>7037147.4000000004</v>
      </c>
      <c r="AI92" s="205"/>
      <c r="AJ92" s="204">
        <f>AJ54+AJ53+AJ52+AJ35+AJ29+AJ28+AJ27+AJ26+AJ17+AJ16+AJ15</f>
        <v>9501048.3619047627</v>
      </c>
    </row>
    <row r="93" spans="1:36" ht="15">
      <c r="AE93" s="208" t="s">
        <v>252</v>
      </c>
      <c r="AF93" s="209">
        <f>SUM(AF89:AF92)</f>
        <v>822494876.08726215</v>
      </c>
      <c r="AG93" s="210"/>
      <c r="AH93" s="209">
        <f>SUM(AH89:AH92)</f>
        <v>348732244.86079365</v>
      </c>
      <c r="AI93" s="210"/>
      <c r="AJ93" s="209">
        <f>SUM(AJ89:AJ92)</f>
        <v>473762631.22646856</v>
      </c>
    </row>
    <row r="94" spans="1:36">
      <c r="AE94"/>
      <c r="AF94"/>
      <c r="AG94"/>
      <c r="AH94"/>
      <c r="AI94"/>
      <c r="AJ94"/>
    </row>
    <row r="95" spans="1:36" ht="15">
      <c r="AE95" s="212" t="s">
        <v>253</v>
      </c>
      <c r="AF95" s="213">
        <f>AF87+AF93</f>
        <v>954498426.09786534</v>
      </c>
      <c r="AG95" s="214"/>
      <c r="AH95" s="213">
        <f>AH87+AH93</f>
        <v>420759566.74479365</v>
      </c>
      <c r="AI95" s="214"/>
      <c r="AJ95" s="213">
        <f>AJ87+AJ93</f>
        <v>533738859.35307175</v>
      </c>
    </row>
    <row r="96" spans="1:36">
      <c r="AE96"/>
      <c r="AF96"/>
      <c r="AG96"/>
      <c r="AH96"/>
      <c r="AI96"/>
      <c r="AJ96"/>
    </row>
    <row r="97" spans="31:36" ht="15">
      <c r="AE97" s="208" t="s">
        <v>37</v>
      </c>
      <c r="AF97" s="209">
        <f>SUM(AH97:AJ97)</f>
        <v>46049000</v>
      </c>
      <c r="AG97" s="210"/>
      <c r="AH97" s="209">
        <v>0</v>
      </c>
      <c r="AI97" s="210"/>
      <c r="AJ97" s="209">
        <v>46049000</v>
      </c>
    </row>
    <row r="98" spans="31:36" ht="15">
      <c r="AE98" s="208" t="s">
        <v>254</v>
      </c>
      <c r="AF98" s="209">
        <f>SUM(AH98:AJ98)</f>
        <v>126650000</v>
      </c>
      <c r="AG98" s="210"/>
      <c r="AH98" s="209">
        <v>75770000</v>
      </c>
      <c r="AI98" s="210"/>
      <c r="AJ98" s="209">
        <v>50880000</v>
      </c>
    </row>
    <row r="99" spans="31:36" ht="15">
      <c r="AE99" s="208" t="s">
        <v>244</v>
      </c>
      <c r="AF99" s="209">
        <f>SUM(AH99:AJ99)</f>
        <v>126830000</v>
      </c>
      <c r="AG99" s="210"/>
      <c r="AH99" s="209">
        <v>0</v>
      </c>
      <c r="AI99" s="210"/>
      <c r="AJ99" s="209">
        <v>126830000</v>
      </c>
    </row>
    <row r="100" spans="31:36">
      <c r="AE100"/>
      <c r="AF100"/>
      <c r="AG100"/>
      <c r="AH100"/>
      <c r="AI100"/>
      <c r="AJ100"/>
    </row>
    <row r="101" spans="31:36" ht="15">
      <c r="AE101" s="212" t="s">
        <v>255</v>
      </c>
      <c r="AF101" s="213">
        <f>AF95+AF97+AF98+AF99</f>
        <v>1254027426.0978653</v>
      </c>
      <c r="AG101" s="214"/>
      <c r="AH101" s="215">
        <f>AH95+AH97+AH98+AH99</f>
        <v>496529566.74479365</v>
      </c>
      <c r="AI101" s="214"/>
      <c r="AJ101" s="213">
        <f>AJ95+AJ97+AJ98+AJ99</f>
        <v>757497859.35307169</v>
      </c>
    </row>
  </sheetData>
  <mergeCells count="135">
    <mergeCell ref="M79:T79"/>
    <mergeCell ref="M71:T74"/>
    <mergeCell ref="D77:D78"/>
    <mergeCell ref="E77:E78"/>
    <mergeCell ref="F77:F78"/>
    <mergeCell ref="G77:G78"/>
    <mergeCell ref="H77:H78"/>
    <mergeCell ref="I77:I78"/>
    <mergeCell ref="J77:L77"/>
    <mergeCell ref="M77:M78"/>
    <mergeCell ref="N77:O77"/>
    <mergeCell ref="P77:P78"/>
    <mergeCell ref="Q77:Q78"/>
    <mergeCell ref="R77:R78"/>
    <mergeCell ref="S77:S78"/>
    <mergeCell ref="T77:T78"/>
    <mergeCell ref="M66:T66"/>
    <mergeCell ref="D69:D70"/>
    <mergeCell ref="E69:E70"/>
    <mergeCell ref="F69:F70"/>
    <mergeCell ref="G69:G70"/>
    <mergeCell ref="H69:H70"/>
    <mergeCell ref="I69:I70"/>
    <mergeCell ref="J69:L69"/>
    <mergeCell ref="M69:M70"/>
    <mergeCell ref="N69:O69"/>
    <mergeCell ref="P69:P70"/>
    <mergeCell ref="Q69:Q70"/>
    <mergeCell ref="R69:R70"/>
    <mergeCell ref="S69:S70"/>
    <mergeCell ref="T69:T70"/>
    <mergeCell ref="P57:P58"/>
    <mergeCell ref="Q57:Q58"/>
    <mergeCell ref="R57:R58"/>
    <mergeCell ref="S57:S58"/>
    <mergeCell ref="T57:T58"/>
    <mergeCell ref="D64:D65"/>
    <mergeCell ref="E64:E65"/>
    <mergeCell ref="F64:F65"/>
    <mergeCell ref="G64:G65"/>
    <mergeCell ref="H64:H65"/>
    <mergeCell ref="I64:I65"/>
    <mergeCell ref="J64:L64"/>
    <mergeCell ref="M64:M65"/>
    <mergeCell ref="N64:O64"/>
    <mergeCell ref="P64:P65"/>
    <mergeCell ref="Q64:Q65"/>
    <mergeCell ref="R64:R65"/>
    <mergeCell ref="S64:S65"/>
    <mergeCell ref="T64:T65"/>
    <mergeCell ref="D57:D58"/>
    <mergeCell ref="E57:E58"/>
    <mergeCell ref="F57:F58"/>
    <mergeCell ref="G57:G58"/>
    <mergeCell ref="H57:H58"/>
    <mergeCell ref="H45:I45"/>
    <mergeCell ref="I57:I58"/>
    <mergeCell ref="J57:L57"/>
    <mergeCell ref="M57:M58"/>
    <mergeCell ref="N57:O57"/>
    <mergeCell ref="H46:I46"/>
    <mergeCell ref="H47:I47"/>
    <mergeCell ref="H48:I48"/>
    <mergeCell ref="H49:I49"/>
    <mergeCell ref="H50:I50"/>
    <mergeCell ref="H51:I51"/>
    <mergeCell ref="H52:I52"/>
    <mergeCell ref="H53:I53"/>
    <mergeCell ref="H54:I54"/>
    <mergeCell ref="L42:L43"/>
    <mergeCell ref="M42:M43"/>
    <mergeCell ref="N42:N43"/>
    <mergeCell ref="O42:O43"/>
    <mergeCell ref="Q42:Q43"/>
    <mergeCell ref="R42:R43"/>
    <mergeCell ref="S42:S43"/>
    <mergeCell ref="T42:T43"/>
    <mergeCell ref="H44:I44"/>
    <mergeCell ref="H33:H34"/>
    <mergeCell ref="H41:I41"/>
    <mergeCell ref="D42:D43"/>
    <mergeCell ref="E42:E43"/>
    <mergeCell ref="F42:F43"/>
    <mergeCell ref="G42:G43"/>
    <mergeCell ref="H42:I43"/>
    <mergeCell ref="J42:J43"/>
    <mergeCell ref="K42:K43"/>
    <mergeCell ref="S20:S21"/>
    <mergeCell ref="P33:P34"/>
    <mergeCell ref="Q33:Q34"/>
    <mergeCell ref="R33:R34"/>
    <mergeCell ref="S33:S34"/>
    <mergeCell ref="T33:T34"/>
    <mergeCell ref="D39:D40"/>
    <mergeCell ref="E39:E40"/>
    <mergeCell ref="F39:F40"/>
    <mergeCell ref="G39:G40"/>
    <mergeCell ref="H39:I39"/>
    <mergeCell ref="J39:L39"/>
    <mergeCell ref="M39:M40"/>
    <mergeCell ref="N39:O39"/>
    <mergeCell ref="P39:P40"/>
    <mergeCell ref="Q39:Q40"/>
    <mergeCell ref="R39:R40"/>
    <mergeCell ref="S39:S40"/>
    <mergeCell ref="T39:T40"/>
    <mergeCell ref="H40:I40"/>
    <mergeCell ref="D33:D34"/>
    <mergeCell ref="E33:E34"/>
    <mergeCell ref="F33:F34"/>
    <mergeCell ref="G33:G34"/>
    <mergeCell ref="T20:T21"/>
    <mergeCell ref="I33:I34"/>
    <mergeCell ref="J33:L33"/>
    <mergeCell ref="M33:M34"/>
    <mergeCell ref="N33:O33"/>
    <mergeCell ref="D2:T4"/>
    <mergeCell ref="D5:T5"/>
    <mergeCell ref="D6:T6"/>
    <mergeCell ref="D7:T8"/>
    <mergeCell ref="J13:L13"/>
    <mergeCell ref="M13:M14"/>
    <mergeCell ref="N13:O13"/>
    <mergeCell ref="D20:D21"/>
    <mergeCell ref="E20:E21"/>
    <mergeCell ref="F20:F21"/>
    <mergeCell ref="G20:G21"/>
    <mergeCell ref="H20:H21"/>
    <mergeCell ref="I20:I21"/>
    <mergeCell ref="J20:L20"/>
    <mergeCell ref="M20:M21"/>
    <mergeCell ref="N20:O20"/>
    <mergeCell ref="P20:P21"/>
    <mergeCell ref="Q20:Q21"/>
    <mergeCell ref="R20:R21"/>
  </mergeCells>
  <dataValidations count="1">
    <dataValidation type="list" allowBlank="1" showErrorMessage="1" sqref="G6:G10 M6:M10">
      <formula1>"#REF!"</formula1>
      <formula2>0</formula2>
    </dataValidation>
  </dataValidations>
  <printOptions horizontalCentered="1"/>
  <pageMargins left="0.31527777777777799" right="0.31527777777777799" top="0.31527777777777799" bottom="0.27569444444444402" header="0.51180555555555496" footer="0.51180555555555496"/>
  <pageSetup paperSize="0" scale="0" firstPageNumber="0" fitToHeight="0" orientation="portrait" usePrinterDefaults="0" horizontalDpi="0" verticalDpi="0" copies="0"/>
  <rowBreaks count="4" manualBreakCount="4">
    <brk id="18" max="16383" man="1"/>
    <brk id="30" max="16383" man="1"/>
    <brk id="37" max="16383" man="1"/>
    <brk id="55" max="16383" man="1"/>
  </rowBreaks>
  <drawing r:id="rId1"/>
</worksheet>
</file>

<file path=xl/worksheets/sheet4.xml><?xml version="1.0" encoding="utf-8"?>
<worksheet xmlns="http://schemas.openxmlformats.org/spreadsheetml/2006/main" xmlns:r="http://schemas.openxmlformats.org/officeDocument/2006/relationships">
  <sheetPr>
    <tabColor rgb="FFFFFFFF"/>
  </sheetPr>
  <dimension ref="A1:AMK37"/>
  <sheetViews>
    <sheetView topLeftCell="A18" zoomScale="75" zoomScaleNormal="75" workbookViewId="0">
      <selection activeCell="D16" sqref="D16"/>
    </sheetView>
  </sheetViews>
  <sheetFormatPr baseColWidth="10" defaultColWidth="9.140625" defaultRowHeight="12.75"/>
  <cols>
    <col min="1" max="1" width="52.7109375" style="216"/>
    <col min="2" max="2" width="9.140625" style="216"/>
    <col min="3" max="3" width="8.85546875" style="216"/>
    <col min="4" max="4" width="8.5703125" style="216"/>
    <col min="5" max="5" width="9.85546875" style="216"/>
    <col min="6" max="6" width="12.42578125" style="216"/>
    <col min="7" max="7" width="11.7109375" style="216"/>
    <col min="8" max="8" width="53.7109375" style="216"/>
    <col min="9" max="9" width="13.42578125" style="216"/>
    <col min="10" max="10" width="15.140625" style="216"/>
    <col min="11" max="1025" width="9.140625" style="216"/>
  </cols>
  <sheetData>
    <row r="1" spans="1:21" ht="27.75" customHeight="1">
      <c r="A1" s="329" t="s">
        <v>256</v>
      </c>
      <c r="B1" s="329"/>
      <c r="C1" s="329"/>
      <c r="D1" s="329"/>
      <c r="E1" s="329"/>
      <c r="F1" s="329"/>
      <c r="G1" s="329"/>
      <c r="H1" s="329"/>
      <c r="I1" s="217"/>
      <c r="J1" s="217"/>
      <c r="K1" s="217"/>
      <c r="L1" s="217"/>
      <c r="M1" s="217"/>
      <c r="N1" s="217"/>
      <c r="O1" s="217"/>
      <c r="P1" s="217"/>
      <c r="Q1" s="217"/>
      <c r="R1" s="218"/>
      <c r="S1" s="218"/>
      <c r="T1" s="218"/>
      <c r="U1" s="218"/>
    </row>
    <row r="2" spans="1:21" ht="11.25" customHeight="1">
      <c r="A2"/>
      <c r="B2"/>
      <c r="C2"/>
      <c r="D2"/>
      <c r="E2"/>
      <c r="F2"/>
      <c r="G2"/>
      <c r="H2"/>
      <c r="I2"/>
      <c r="J2"/>
      <c r="K2"/>
      <c r="L2"/>
      <c r="M2"/>
      <c r="N2"/>
      <c r="O2"/>
      <c r="P2"/>
      <c r="Q2"/>
      <c r="R2" s="218"/>
      <c r="S2" s="218"/>
      <c r="T2" s="218"/>
      <c r="U2" s="218"/>
    </row>
    <row r="3" spans="1:21" ht="33.75" customHeight="1">
      <c r="A3" s="330" t="s">
        <v>257</v>
      </c>
      <c r="B3" s="330"/>
      <c r="C3" s="330"/>
      <c r="D3" s="330"/>
      <c r="E3" s="330"/>
      <c r="F3" s="330"/>
      <c r="G3" s="330"/>
      <c r="H3" s="330"/>
      <c r="I3" s="219"/>
      <c r="J3" s="219"/>
      <c r="K3" s="219"/>
      <c r="L3" s="219"/>
      <c r="M3" s="219"/>
      <c r="N3" s="219"/>
      <c r="O3" s="219"/>
      <c r="P3" s="219"/>
      <c r="Q3" s="219"/>
      <c r="R3" s="218"/>
      <c r="S3" s="218"/>
      <c r="T3" s="218"/>
      <c r="U3" s="218"/>
    </row>
    <row r="4" spans="1:21" ht="22.5" customHeight="1">
      <c r="A4" s="329" t="s">
        <v>258</v>
      </c>
      <c r="B4" s="329"/>
      <c r="C4" s="329"/>
      <c r="D4" s="329"/>
      <c r="E4" s="329"/>
      <c r="F4" s="329"/>
      <c r="G4" s="329"/>
      <c r="H4" s="329"/>
      <c r="I4" s="219"/>
      <c r="J4" s="219"/>
      <c r="K4" s="219"/>
      <c r="L4" s="219"/>
      <c r="M4" s="219"/>
      <c r="N4" s="219"/>
      <c r="O4" s="219"/>
      <c r="P4" s="219"/>
      <c r="Q4" s="219"/>
      <c r="R4" s="218"/>
      <c r="S4" s="218"/>
      <c r="T4" s="218"/>
      <c r="U4" s="218"/>
    </row>
    <row r="5" spans="1:21" ht="23.25" customHeight="1">
      <c r="A5" s="331" t="s">
        <v>259</v>
      </c>
      <c r="B5" s="331"/>
      <c r="C5" s="331"/>
      <c r="D5" s="331"/>
      <c r="E5" s="331"/>
      <c r="F5" s="331"/>
      <c r="G5" s="331"/>
      <c r="H5" s="331"/>
      <c r="I5" s="219"/>
      <c r="J5" s="219"/>
      <c r="K5" s="219"/>
      <c r="L5" s="219"/>
      <c r="M5" s="219"/>
      <c r="N5" s="219"/>
      <c r="O5" s="219"/>
      <c r="P5" s="219"/>
      <c r="Q5" s="219"/>
      <c r="R5" s="218"/>
      <c r="S5" s="218"/>
      <c r="T5" s="218"/>
      <c r="U5" s="218"/>
    </row>
    <row r="6" spans="1:21">
      <c r="A6"/>
      <c r="B6"/>
      <c r="C6"/>
      <c r="D6"/>
      <c r="E6"/>
      <c r="F6"/>
      <c r="G6"/>
      <c r="H6"/>
      <c r="I6"/>
      <c r="J6"/>
      <c r="K6"/>
      <c r="L6"/>
      <c r="M6"/>
    </row>
    <row r="7" spans="1:21" ht="23.85" customHeight="1">
      <c r="A7" s="332" t="s">
        <v>260</v>
      </c>
      <c r="B7" s="332"/>
      <c r="C7" s="332"/>
      <c r="D7" s="332"/>
      <c r="E7" s="332"/>
      <c r="F7" s="332"/>
      <c r="G7" s="332"/>
      <c r="H7" s="332"/>
      <c r="I7"/>
      <c r="J7"/>
      <c r="K7"/>
      <c r="L7"/>
      <c r="M7"/>
    </row>
    <row r="8" spans="1:21">
      <c r="A8"/>
      <c r="B8"/>
      <c r="C8"/>
      <c r="D8"/>
      <c r="E8"/>
      <c r="F8"/>
      <c r="G8"/>
      <c r="H8"/>
      <c r="I8"/>
      <c r="J8"/>
      <c r="K8"/>
      <c r="L8"/>
      <c r="M8"/>
    </row>
    <row r="9" spans="1:21" ht="55.5" customHeight="1">
      <c r="A9" s="220" t="s">
        <v>261</v>
      </c>
      <c r="B9" s="221" t="s">
        <v>262</v>
      </c>
      <c r="C9" s="221" t="s">
        <v>263</v>
      </c>
      <c r="D9" s="221" t="s">
        <v>264</v>
      </c>
      <c r="E9" s="221" t="s">
        <v>265</v>
      </c>
      <c r="F9" s="222" t="s">
        <v>266</v>
      </c>
      <c r="G9" s="223" t="s">
        <v>267</v>
      </c>
      <c r="H9" s="222" t="s">
        <v>268</v>
      </c>
      <c r="I9" s="216">
        <v>1000000</v>
      </c>
      <c r="J9"/>
      <c r="K9"/>
      <c r="L9"/>
      <c r="M9"/>
    </row>
    <row r="10" spans="1:21" ht="21" customHeight="1">
      <c r="A10" s="224" t="s">
        <v>106</v>
      </c>
      <c r="B10" s="225"/>
      <c r="C10" s="225"/>
      <c r="D10" s="225" t="s">
        <v>269</v>
      </c>
      <c r="E10" s="225"/>
      <c r="F10" s="226"/>
      <c r="G10" s="227"/>
      <c r="H10" s="225"/>
      <c r="I10"/>
      <c r="J10"/>
      <c r="K10"/>
      <c r="L10"/>
      <c r="M10"/>
    </row>
    <row r="11" spans="1:21" ht="77.25" customHeight="1">
      <c r="A11" s="228" t="s">
        <v>270</v>
      </c>
      <c r="B11" s="229" t="e">
        <f>SUM(C11:E11)</f>
        <v>#REF!</v>
      </c>
      <c r="C11" s="229" t="e">
        <f>'Detalle Plan de Adquisiciones'!#REF!</f>
        <v>#REF!</v>
      </c>
      <c r="D11" s="229">
        <f>232.339969*($I$9)</f>
        <v>232339969</v>
      </c>
      <c r="E11" s="230">
        <f>17.41*($I$9)</f>
        <v>17410000</v>
      </c>
      <c r="F11" s="231" t="e">
        <f>+B11-G11</f>
        <v>#REF!</v>
      </c>
      <c r="G11" s="232">
        <f>+'Detalle Plan de Adquisiciones'!J22</f>
        <v>474642084.6079365</v>
      </c>
      <c r="H11" s="233" t="s">
        <v>271</v>
      </c>
      <c r="I11"/>
      <c r="J11"/>
      <c r="K11"/>
      <c r="L11"/>
      <c r="M11"/>
    </row>
    <row r="12" spans="1:21" ht="75.75" customHeight="1">
      <c r="A12" s="228" t="s">
        <v>272</v>
      </c>
      <c r="B12" s="229">
        <f>SUM(C12:E12)</f>
        <v>235000000.00000009</v>
      </c>
      <c r="C12" s="230">
        <f>144.70717592555*($I$9)</f>
        <v>144707175.92554998</v>
      </c>
      <c r="D12" s="229">
        <f>78.5473092950713*($I$9)</f>
        <v>78547309.295071304</v>
      </c>
      <c r="E12" s="230">
        <f>11.7455147793788*($I$9)</f>
        <v>11745514.7793788</v>
      </c>
      <c r="F12" s="231">
        <f>+B12-G12</f>
        <v>-1314595.7174209058</v>
      </c>
      <c r="G12" s="232">
        <f>+'Detalle Plan de Adquisiciones'!J23</f>
        <v>236314595.717421</v>
      </c>
      <c r="H12" s="233" t="s">
        <v>273</v>
      </c>
      <c r="I12"/>
      <c r="J12"/>
      <c r="K12"/>
      <c r="L12"/>
      <c r="M12"/>
    </row>
    <row r="13" spans="1:21" ht="69.75" customHeight="1">
      <c r="A13" s="228" t="s">
        <v>274</v>
      </c>
      <c r="B13" s="229">
        <f>SUM(C13:E13)</f>
        <v>38389610.569284499</v>
      </c>
      <c r="C13" s="230">
        <f>23.6396105692845*($I$9)</f>
        <v>23639610.569284499</v>
      </c>
      <c r="D13" s="229">
        <v>0</v>
      </c>
      <c r="E13" s="230">
        <f>14.75*($I$9)</f>
        <v>14750000</v>
      </c>
      <c r="F13" s="234">
        <f>+B13-G13</f>
        <v>-41610389.430715501</v>
      </c>
      <c r="G13" s="235">
        <f>+'Detalle Plan de Adquisiciones'!J24</f>
        <v>80000000</v>
      </c>
      <c r="H13" s="233" t="s">
        <v>275</v>
      </c>
      <c r="I13"/>
      <c r="J13"/>
      <c r="K13"/>
      <c r="L13"/>
      <c r="M13"/>
    </row>
    <row r="14" spans="1:21" ht="24" customHeight="1">
      <c r="A14" s="236" t="s">
        <v>276</v>
      </c>
      <c r="B14" s="237" t="e">
        <f>SUM(B11:B13)</f>
        <v>#REF!</v>
      </c>
      <c r="C14" s="237" t="e">
        <f>SUM(C11:C13)</f>
        <v>#REF!</v>
      </c>
      <c r="D14" s="237">
        <f>SUM(D11:D13)</f>
        <v>310887278.2950713</v>
      </c>
      <c r="E14" s="237">
        <f>SUM(E11:E13)</f>
        <v>43905514.779378802</v>
      </c>
      <c r="F14" s="238" t="e">
        <f>+B14-G14</f>
        <v>#REF!</v>
      </c>
      <c r="G14" s="239">
        <f>SUM(G11:G13)</f>
        <v>790956680.32535744</v>
      </c>
      <c r="H14" s="240"/>
      <c r="I14"/>
      <c r="J14"/>
      <c r="K14"/>
      <c r="L14"/>
      <c r="M14"/>
    </row>
    <row r="15" spans="1:21" ht="21.75" customHeight="1">
      <c r="A15" s="224" t="s">
        <v>277</v>
      </c>
      <c r="B15" s="225"/>
      <c r="C15" s="225"/>
      <c r="D15" s="225"/>
      <c r="E15" s="225"/>
      <c r="F15" s="226"/>
      <c r="G15" s="227"/>
      <c r="H15" s="225"/>
      <c r="I15"/>
      <c r="J15"/>
      <c r="K15"/>
      <c r="L15"/>
      <c r="M15"/>
    </row>
    <row r="16" spans="1:21" ht="57.75" customHeight="1">
      <c r="A16" s="241" t="s">
        <v>278</v>
      </c>
      <c r="B16" s="229" t="e">
        <f t="shared" ref="B16:B21" si="0">SUM(C16:E16)</f>
        <v>#REF!</v>
      </c>
      <c r="C16" s="229" t="e">
        <f>'Detalle Plan de Adquisiciones'!#REF!</f>
        <v>#REF!</v>
      </c>
      <c r="D16" s="229">
        <f>1.55152132433325*I9</f>
        <v>1551521.3243332501</v>
      </c>
      <c r="E16" s="230">
        <f>1.806*I9</f>
        <v>1806000</v>
      </c>
      <c r="F16" s="242" t="e">
        <f t="shared" ref="F16:F22" si="1">+B16-G16</f>
        <v>#REF!</v>
      </c>
      <c r="G16" s="243">
        <f>+'Detalle Plan de Adquisiciones'!J41</f>
        <v>21720076.931999996</v>
      </c>
      <c r="H16" s="244" t="s">
        <v>279</v>
      </c>
      <c r="I16"/>
      <c r="J16"/>
      <c r="K16"/>
      <c r="L16"/>
      <c r="M16"/>
    </row>
    <row r="17" spans="1:13" ht="54" customHeight="1">
      <c r="A17" s="241" t="s">
        <v>280</v>
      </c>
      <c r="B17" s="229" t="e">
        <f t="shared" si="0"/>
        <v>#REF!</v>
      </c>
      <c r="C17" s="229" t="e">
        <f>'Detalle Plan de Adquisiciones'!#REF!</f>
        <v>#REF!</v>
      </c>
      <c r="D17" s="229">
        <f>2.39956516591327*I9</f>
        <v>2399565.1659132703</v>
      </c>
      <c r="E17" s="229">
        <f>7.224*I9</f>
        <v>7224000</v>
      </c>
      <c r="F17" s="231" t="e">
        <f t="shared" si="1"/>
        <v>#REF!</v>
      </c>
      <c r="G17" s="243" t="e">
        <f>+'Detalle Plan de Adquisiciones'!#REF!</f>
        <v>#REF!</v>
      </c>
      <c r="H17" s="244" t="s">
        <v>279</v>
      </c>
      <c r="I17"/>
      <c r="J17"/>
      <c r="K17"/>
      <c r="L17"/>
      <c r="M17"/>
    </row>
    <row r="18" spans="1:13" ht="62.25" customHeight="1">
      <c r="A18" s="241" t="s">
        <v>281</v>
      </c>
      <c r="B18" s="229" t="e">
        <f t="shared" si="0"/>
        <v>#REF!</v>
      </c>
      <c r="C18" s="229" t="e">
        <f>'Detalle Plan de Adquisiciones'!#REF!</f>
        <v>#REF!</v>
      </c>
      <c r="D18" s="229">
        <f>0.645554292794295*I9</f>
        <v>645554.292794295</v>
      </c>
      <c r="E18" s="245">
        <v>0</v>
      </c>
      <c r="F18" s="231" t="e">
        <f t="shared" si="1"/>
        <v>#REF!</v>
      </c>
      <c r="G18" s="243">
        <f>+'Detalle Plan de Adquisiciones'!J42</f>
        <v>10956966.092</v>
      </c>
      <c r="H18" s="244" t="s">
        <v>282</v>
      </c>
      <c r="I18"/>
      <c r="J18"/>
      <c r="K18"/>
      <c r="L18"/>
      <c r="M18"/>
    </row>
    <row r="19" spans="1:13" ht="57.75" customHeight="1">
      <c r="A19" s="246" t="s">
        <v>283</v>
      </c>
      <c r="B19" s="229" t="e">
        <f t="shared" si="0"/>
        <v>#REF!</v>
      </c>
      <c r="C19" s="229" t="e">
        <f>'Detalle Plan de Adquisiciones'!#REF!</f>
        <v>#REF!</v>
      </c>
      <c r="D19" s="229">
        <f>6.93765424258099*I9</f>
        <v>6937654.2425809903</v>
      </c>
      <c r="E19" s="245">
        <f>0*I9</f>
        <v>0</v>
      </c>
      <c r="F19" s="231" t="e">
        <f t="shared" si="1"/>
        <v>#REF!</v>
      </c>
      <c r="G19" s="243" t="e">
        <f>+'Detalle Plan de Adquisiciones'!#REF!</f>
        <v>#REF!</v>
      </c>
      <c r="H19" s="244" t="s">
        <v>279</v>
      </c>
      <c r="I19"/>
      <c r="J19"/>
      <c r="K19"/>
      <c r="L19"/>
      <c r="M19"/>
    </row>
    <row r="20" spans="1:13" ht="58.5" customHeight="1">
      <c r="A20" s="241" t="s">
        <v>284</v>
      </c>
      <c r="B20" s="229" t="e">
        <f t="shared" si="0"/>
        <v>#REF!</v>
      </c>
      <c r="C20" s="229" t="e">
        <f>'Detalle Plan de Adquisiciones'!#REF!</f>
        <v>#REF!</v>
      </c>
      <c r="D20" s="229">
        <f>2.76876904012302*I9</f>
        <v>2768769.0401230198</v>
      </c>
      <c r="E20" s="245">
        <v>0</v>
      </c>
      <c r="F20" s="231" t="e">
        <f t="shared" si="1"/>
        <v>#REF!</v>
      </c>
      <c r="G20" s="243">
        <f>+'Detalle Plan de Adquisiciones'!J44</f>
        <v>93160709.099999994</v>
      </c>
      <c r="H20" s="244" t="s">
        <v>279</v>
      </c>
      <c r="I20"/>
      <c r="J20"/>
      <c r="K20"/>
      <c r="L20"/>
      <c r="M20"/>
    </row>
    <row r="21" spans="1:13" ht="62.65" customHeight="1">
      <c r="A21" s="247" t="s">
        <v>285</v>
      </c>
      <c r="B21" s="229" t="e">
        <f t="shared" si="0"/>
        <v>#REF!</v>
      </c>
      <c r="C21" s="229" t="e">
        <f>'Detalle Plan de Adquisiciones'!#REF!</f>
        <v>#REF!</v>
      </c>
      <c r="D21" s="229">
        <f>3.69693593425518*I9</f>
        <v>3696935.9342551804</v>
      </c>
      <c r="E21" s="245">
        <v>0</v>
      </c>
      <c r="F21" s="231" t="e">
        <f t="shared" si="1"/>
        <v>#REF!</v>
      </c>
      <c r="G21" s="243" t="e">
        <f>+'Detalle Plan de Adquisiciones'!#REF!</f>
        <v>#REF!</v>
      </c>
      <c r="H21" s="244" t="s">
        <v>286</v>
      </c>
      <c r="I21"/>
      <c r="J21"/>
      <c r="K21"/>
      <c r="L21"/>
      <c r="M21"/>
    </row>
    <row r="22" spans="1:13" ht="23.1" customHeight="1">
      <c r="A22" s="236" t="s">
        <v>287</v>
      </c>
      <c r="B22" s="237" t="e">
        <f>SUM(B16:B21)</f>
        <v>#REF!</v>
      </c>
      <c r="C22" s="237" t="e">
        <f>SUM(C16:C21)</f>
        <v>#REF!</v>
      </c>
      <c r="D22" s="237">
        <f>SUM(D16:D21)</f>
        <v>18000000.000000004</v>
      </c>
      <c r="E22" s="237">
        <f>SUM(E16:E21)</f>
        <v>9030000</v>
      </c>
      <c r="F22" s="238" t="e">
        <f t="shared" si="1"/>
        <v>#REF!</v>
      </c>
      <c r="G22" s="239" t="e">
        <f>SUM(G16:G21)</f>
        <v>#REF!</v>
      </c>
      <c r="H22" s="240"/>
      <c r="I22"/>
      <c r="J22"/>
      <c r="K22"/>
      <c r="L22"/>
      <c r="M22"/>
    </row>
    <row r="23" spans="1:13" ht="20.100000000000001" customHeight="1">
      <c r="A23" s="224" t="s">
        <v>288</v>
      </c>
      <c r="B23" s="225"/>
      <c r="C23" s="225"/>
      <c r="D23" s="225"/>
      <c r="E23" s="225"/>
      <c r="F23" s="226"/>
      <c r="G23" s="227"/>
      <c r="H23" s="225"/>
      <c r="I23"/>
      <c r="J23"/>
      <c r="K23"/>
      <c r="L23"/>
      <c r="M23"/>
    </row>
    <row r="24" spans="1:13" ht="52.9" customHeight="1">
      <c r="A24" s="247" t="s">
        <v>289</v>
      </c>
      <c r="B24" s="248"/>
      <c r="C24" s="248"/>
      <c r="D24" s="249"/>
      <c r="E24" s="229">
        <v>0</v>
      </c>
      <c r="F24" s="250">
        <f t="shared" ref="F24:F36" si="2">+B24-G24</f>
        <v>-2100000</v>
      </c>
      <c r="G24" s="243">
        <f>+'Detalle Plan de Adquisiciones'!J26</f>
        <v>2100000</v>
      </c>
      <c r="H24" s="251" t="s">
        <v>290</v>
      </c>
      <c r="I24" s="12"/>
      <c r="J24" s="12"/>
      <c r="K24"/>
      <c r="L24"/>
      <c r="M24"/>
    </row>
    <row r="25" spans="1:13" ht="53.25" customHeight="1">
      <c r="A25" s="247" t="s">
        <v>291</v>
      </c>
      <c r="B25" s="248"/>
      <c r="C25" s="248"/>
      <c r="D25" s="249"/>
      <c r="E25" s="229">
        <v>0</v>
      </c>
      <c r="F25" s="250">
        <f t="shared" si="2"/>
        <v>-1500000</v>
      </c>
      <c r="G25" s="243">
        <f>+'Detalle Plan de Adquisiciones'!J27</f>
        <v>1500000</v>
      </c>
      <c r="H25" s="251" t="s">
        <v>292</v>
      </c>
      <c r="I25" s="12"/>
      <c r="J25" s="12"/>
      <c r="K25"/>
      <c r="L25"/>
      <c r="M25"/>
    </row>
    <row r="26" spans="1:13" ht="48.6" customHeight="1">
      <c r="A26" s="247" t="s">
        <v>293</v>
      </c>
      <c r="B26" s="252"/>
      <c r="C26" s="248"/>
      <c r="D26" s="229"/>
      <c r="E26" s="229">
        <v>0</v>
      </c>
      <c r="F26" s="250">
        <f t="shared" si="2"/>
        <v>-150000</v>
      </c>
      <c r="G26" s="243">
        <f>+'Detalle Plan de Adquisiciones'!J28</f>
        <v>150000</v>
      </c>
      <c r="H26" s="251" t="s">
        <v>294</v>
      </c>
      <c r="I26" s="12"/>
      <c r="J26" s="12"/>
      <c r="K26"/>
      <c r="L26"/>
      <c r="M26"/>
    </row>
    <row r="27" spans="1:13" ht="57" customHeight="1">
      <c r="A27" s="247" t="s">
        <v>141</v>
      </c>
      <c r="B27" s="252"/>
      <c r="C27" s="248"/>
      <c r="D27" s="229"/>
      <c r="E27" s="229">
        <v>0</v>
      </c>
      <c r="F27" s="250">
        <f t="shared" si="2"/>
        <v>-3000000</v>
      </c>
      <c r="G27" s="243">
        <f>+'Detalle Plan de Adquisiciones'!J29</f>
        <v>3000000</v>
      </c>
      <c r="H27" s="251" t="s">
        <v>294</v>
      </c>
      <c r="I27" s="12"/>
      <c r="J27" s="12"/>
      <c r="K27"/>
      <c r="L27"/>
      <c r="M27"/>
    </row>
    <row r="28" spans="1:13" ht="50.65" customHeight="1">
      <c r="A28" s="247" t="s">
        <v>89</v>
      </c>
      <c r="B28" s="248"/>
      <c r="C28" s="248"/>
      <c r="D28" s="253"/>
      <c r="E28" s="229">
        <v>0</v>
      </c>
      <c r="F28" s="250">
        <f t="shared" si="2"/>
        <v>-1700000</v>
      </c>
      <c r="G28" s="243">
        <f>+'Detalle Plan de Adquisiciones'!J15</f>
        <v>1700000</v>
      </c>
      <c r="H28" s="251" t="s">
        <v>295</v>
      </c>
      <c r="I28" s="12"/>
      <c r="J28" s="12"/>
      <c r="K28"/>
      <c r="L28"/>
      <c r="M28"/>
    </row>
    <row r="29" spans="1:13" ht="50.65" customHeight="1">
      <c r="A29" s="247" t="s">
        <v>296</v>
      </c>
      <c r="B29" s="252"/>
      <c r="C29" s="252"/>
      <c r="D29" s="229"/>
      <c r="E29" s="229">
        <v>0</v>
      </c>
      <c r="F29" s="250">
        <f t="shared" si="2"/>
        <v>-582000</v>
      </c>
      <c r="G29" s="243">
        <f>'Detalle Plan de Adquisiciones'!J16</f>
        <v>582000</v>
      </c>
      <c r="H29" s="251" t="s">
        <v>294</v>
      </c>
      <c r="I29" s="12"/>
      <c r="J29" s="12"/>
      <c r="K29"/>
      <c r="L29"/>
      <c r="M29"/>
    </row>
    <row r="30" spans="1:13" ht="57.4" customHeight="1">
      <c r="A30" s="247" t="s">
        <v>101</v>
      </c>
      <c r="B30" s="248"/>
      <c r="C30" s="248"/>
      <c r="D30" s="229"/>
      <c r="E30" s="229">
        <v>0</v>
      </c>
      <c r="F30" s="250">
        <f t="shared" si="2"/>
        <v>-1079859.1599999999</v>
      </c>
      <c r="G30" s="243">
        <f>+'Detalle Plan de Adquisiciones'!J17</f>
        <v>1079859.1599999999</v>
      </c>
      <c r="H30" s="251" t="s">
        <v>297</v>
      </c>
      <c r="I30" s="12"/>
      <c r="J30" s="12"/>
      <c r="K30"/>
      <c r="L30"/>
      <c r="M30"/>
    </row>
    <row r="31" spans="1:13" ht="44.25" customHeight="1">
      <c r="A31" s="247" t="s">
        <v>298</v>
      </c>
      <c r="B31" s="254"/>
      <c r="C31" s="255"/>
      <c r="D31" s="249"/>
      <c r="E31" s="229">
        <v>0</v>
      </c>
      <c r="F31" s="250">
        <f t="shared" si="2"/>
        <v>-5050000</v>
      </c>
      <c r="G31" s="243">
        <f>+'Detalle Plan de Adquisiciones'!J35</f>
        <v>5050000</v>
      </c>
      <c r="H31" s="251" t="s">
        <v>299</v>
      </c>
      <c r="I31" s="12"/>
      <c r="J31" s="12"/>
      <c r="K31"/>
      <c r="L31"/>
      <c r="M31"/>
    </row>
    <row r="32" spans="1:13" ht="49.35" customHeight="1">
      <c r="A32" s="247" t="s">
        <v>300</v>
      </c>
      <c r="B32" s="254"/>
      <c r="C32" s="255"/>
      <c r="D32" s="253"/>
      <c r="E32" s="253">
        <v>0</v>
      </c>
      <c r="F32" s="250" t="e">
        <f t="shared" si="2"/>
        <v>#REF!</v>
      </c>
      <c r="G32" s="243" t="e">
        <f>+'Detalle Plan de Adquisiciones'!#REF!</f>
        <v>#REF!</v>
      </c>
      <c r="H32" s="251" t="s">
        <v>297</v>
      </c>
      <c r="I32" s="12"/>
      <c r="J32" s="12"/>
      <c r="K32"/>
      <c r="L32"/>
      <c r="M32"/>
    </row>
    <row r="33" spans="1:13" ht="61.9" customHeight="1">
      <c r="A33" s="247" t="s">
        <v>200</v>
      </c>
      <c r="B33" s="248"/>
      <c r="C33" s="248"/>
      <c r="D33" s="229"/>
      <c r="E33" s="229">
        <v>0</v>
      </c>
      <c r="F33" s="250">
        <f t="shared" si="2"/>
        <v>-476336.60190476198</v>
      </c>
      <c r="G33" s="243">
        <f>+'Detalle Plan de Adquisiciones'!J52</f>
        <v>476336.60190476198</v>
      </c>
      <c r="H33" s="251" t="s">
        <v>301</v>
      </c>
      <c r="I33" s="12"/>
      <c r="J33" s="12"/>
      <c r="K33"/>
      <c r="L33"/>
      <c r="M33"/>
    </row>
    <row r="34" spans="1:13" ht="53.65" customHeight="1">
      <c r="A34" s="247" t="s">
        <v>302</v>
      </c>
      <c r="B34" s="252"/>
      <c r="C34" s="252"/>
      <c r="D34" s="229"/>
      <c r="E34" s="229">
        <v>0</v>
      </c>
      <c r="F34" s="250">
        <f t="shared" si="2"/>
        <v>-50000</v>
      </c>
      <c r="G34" s="243">
        <f>+'Detalle Plan de Adquisiciones'!J53</f>
        <v>50000</v>
      </c>
      <c r="H34" s="256"/>
      <c r="I34" s="12"/>
      <c r="J34" s="12"/>
      <c r="K34"/>
      <c r="L34"/>
      <c r="M34"/>
    </row>
    <row r="35" spans="1:13" ht="52.9" customHeight="1">
      <c r="A35" s="247" t="s">
        <v>303</v>
      </c>
      <c r="B35" s="248"/>
      <c r="C35" s="252"/>
      <c r="D35" s="229"/>
      <c r="E35" s="229">
        <v>0</v>
      </c>
      <c r="F35" s="250">
        <f t="shared" si="2"/>
        <v>-850000</v>
      </c>
      <c r="G35" s="257">
        <f>'Detalle Plan de Adquisiciones'!J54</f>
        <v>850000</v>
      </c>
      <c r="H35" s="256"/>
      <c r="I35" s="12"/>
      <c r="J35" s="12"/>
      <c r="K35"/>
      <c r="L35"/>
      <c r="M35"/>
    </row>
    <row r="36" spans="1:13" ht="19.350000000000001" customHeight="1">
      <c r="A36" s="236" t="s">
        <v>304</v>
      </c>
      <c r="B36" s="258"/>
      <c r="C36" s="258">
        <f>SUM(C24:C35)</f>
        <v>0</v>
      </c>
      <c r="D36" s="258">
        <f>SUM(D24:D35)</f>
        <v>0</v>
      </c>
      <c r="E36" s="239">
        <f>SUM(E24:E35)</f>
        <v>0</v>
      </c>
      <c r="F36" s="238" t="e">
        <f t="shared" si="2"/>
        <v>#REF!</v>
      </c>
      <c r="G36" s="239" t="e">
        <f>SUM(G24:G35)</f>
        <v>#REF!</v>
      </c>
      <c r="H36" s="240"/>
      <c r="I36" s="328"/>
      <c r="J36" s="328"/>
      <c r="K36" s="328"/>
      <c r="L36" s="328"/>
      <c r="M36" s="328"/>
    </row>
    <row r="37" spans="1:13" ht="18.600000000000001" customHeight="1">
      <c r="A37" s="259" t="s">
        <v>305</v>
      </c>
      <c r="B37" s="260" t="e">
        <f t="shared" ref="B37:G37" si="3">B14+B22+B36</f>
        <v>#REF!</v>
      </c>
      <c r="C37" s="260" t="e">
        <f t="shared" si="3"/>
        <v>#REF!</v>
      </c>
      <c r="D37" s="260">
        <f t="shared" si="3"/>
        <v>328887278.2950713</v>
      </c>
      <c r="E37" s="261">
        <f t="shared" si="3"/>
        <v>52935514.779378802</v>
      </c>
      <c r="F37" s="262" t="e">
        <f t="shared" si="3"/>
        <v>#REF!</v>
      </c>
      <c r="G37" s="261" t="e">
        <f t="shared" si="3"/>
        <v>#REF!</v>
      </c>
      <c r="H37" s="263"/>
      <c r="I37" s="264"/>
      <c r="J37" s="264"/>
      <c r="K37" s="264"/>
      <c r="L37" s="264"/>
      <c r="M37" s="264"/>
    </row>
  </sheetData>
  <mergeCells count="6">
    <mergeCell ref="I36:M36"/>
    <mergeCell ref="A1:H1"/>
    <mergeCell ref="A3:H3"/>
    <mergeCell ref="A4:H4"/>
    <mergeCell ref="A5:H5"/>
    <mergeCell ref="A7:H7"/>
  </mergeCells>
  <pageMargins left="0.78749999999999998" right="0.78749999999999998" top="1.05277777777778" bottom="1.05277777777778" header="0.78749999999999998" footer="0.78749999999999998"/>
  <pageSetup paperSize="0" scale="0" firstPageNumber="0" orientation="portrait" usePrinterDefaults="0" horizontalDpi="0" verticalDpi="0" copies="0"/>
  <headerFooter>
    <oddHeader>&amp;C&amp;"Times New Roman,Normal"&amp;12&amp;A</oddHeader>
    <oddFooter>&amp;C&amp;"Times New Roman,Normal"&amp;12Página &amp;P</oddFooter>
  </headerFooter>
  <drawing r:id="rId1"/>
  <legacyDrawing r:id="rId2"/>
</worksheet>
</file>

<file path=xl/worksheets/sheet5.xml><?xml version="1.0" encoding="utf-8"?>
<worksheet xmlns="http://schemas.openxmlformats.org/spreadsheetml/2006/main" xmlns:r="http://schemas.openxmlformats.org/officeDocument/2006/relationships">
  <sheetPr>
    <tabColor rgb="FFFFFFFF"/>
  </sheetPr>
  <dimension ref="A1:AE32"/>
  <sheetViews>
    <sheetView topLeftCell="B1" zoomScale="75" zoomScaleNormal="75" workbookViewId="0">
      <selection activeCell="B9" sqref="B9"/>
    </sheetView>
  </sheetViews>
  <sheetFormatPr baseColWidth="10" defaultColWidth="9.140625" defaultRowHeight="12.75"/>
  <cols>
    <col min="1" max="1" width="0" hidden="1"/>
    <col min="2" max="2" width="17.28515625"/>
    <col min="3" max="3" width="19"/>
    <col min="4" max="4" width="61.28515625"/>
    <col min="5" max="5" width="28.42578125"/>
    <col min="6" max="6" width="66.140625"/>
    <col min="7" max="7" width="26.140625"/>
    <col min="8" max="30" width="12.42578125"/>
    <col min="31" max="31" width="18.7109375"/>
    <col min="32" max="1025" width="12.42578125"/>
  </cols>
  <sheetData>
    <row r="1" spans="1:7" ht="32.25" customHeight="1"/>
    <row r="2" spans="1:7" ht="32.25" customHeight="1">
      <c r="C2" s="333" t="s">
        <v>306</v>
      </c>
      <c r="D2" s="333"/>
      <c r="E2" s="333"/>
      <c r="F2" s="333"/>
      <c r="G2" s="333"/>
    </row>
    <row r="3" spans="1:7" ht="32.25" customHeight="1">
      <c r="C3" s="265" t="s">
        <v>144</v>
      </c>
      <c r="D3" s="266" t="s">
        <v>307</v>
      </c>
      <c r="E3" s="266" t="s">
        <v>308</v>
      </c>
      <c r="F3" s="266" t="s">
        <v>309</v>
      </c>
      <c r="G3" s="267" t="s">
        <v>65</v>
      </c>
    </row>
    <row r="4" spans="1:7" ht="52.5" customHeight="1">
      <c r="A4" s="268" t="s">
        <v>147</v>
      </c>
      <c r="B4" s="268"/>
      <c r="C4" s="269" t="s">
        <v>88</v>
      </c>
      <c r="D4" s="270" t="s">
        <v>298</v>
      </c>
      <c r="E4" s="271">
        <v>2705836.78</v>
      </c>
      <c r="F4" s="334" t="s">
        <v>310</v>
      </c>
      <c r="G4" s="335">
        <v>5050000</v>
      </c>
    </row>
    <row r="5" spans="1:7" ht="44.25" customHeight="1">
      <c r="A5" s="268" t="s">
        <v>311</v>
      </c>
      <c r="B5" s="268"/>
      <c r="C5" s="272" t="s">
        <v>88</v>
      </c>
      <c r="D5" s="273" t="s">
        <v>300</v>
      </c>
      <c r="E5" s="274">
        <v>1200000</v>
      </c>
      <c r="F5" s="334"/>
      <c r="G5" s="335"/>
    </row>
    <row r="6" spans="1:7" ht="44.25" customHeight="1">
      <c r="A6" s="75" t="s">
        <v>312</v>
      </c>
      <c r="B6" s="75"/>
      <c r="C6" s="275" t="s">
        <v>156</v>
      </c>
      <c r="D6" s="276" t="s">
        <v>280</v>
      </c>
      <c r="E6" s="277">
        <v>43881840.662872799</v>
      </c>
      <c r="F6" s="336" t="s">
        <v>313</v>
      </c>
      <c r="G6" s="335">
        <v>93160709.099999994</v>
      </c>
    </row>
    <row r="7" spans="1:7" ht="52.5" customHeight="1">
      <c r="A7" s="75" t="s">
        <v>314</v>
      </c>
      <c r="B7" s="75"/>
      <c r="C7" s="141" t="s">
        <v>156</v>
      </c>
      <c r="D7" s="133" t="s">
        <v>315</v>
      </c>
      <c r="E7" s="278">
        <v>43066994.440554403</v>
      </c>
      <c r="F7" s="336"/>
      <c r="G7" s="335"/>
    </row>
    <row r="8" spans="1:7" ht="42" customHeight="1">
      <c r="A8" s="75" t="s">
        <v>316</v>
      </c>
      <c r="B8" s="75"/>
      <c r="C8" s="141" t="s">
        <v>156</v>
      </c>
      <c r="D8" s="133" t="s">
        <v>317</v>
      </c>
      <c r="E8" s="278">
        <v>28397864.460000001</v>
      </c>
      <c r="F8" s="336"/>
      <c r="G8" s="335"/>
    </row>
    <row r="9" spans="1:7" ht="62.25" customHeight="1">
      <c r="A9" s="75" t="s">
        <v>318</v>
      </c>
      <c r="B9" s="75"/>
      <c r="C9" s="279" t="s">
        <v>156</v>
      </c>
      <c r="D9" s="280" t="s">
        <v>319</v>
      </c>
      <c r="E9" s="281">
        <v>12590120.7094357</v>
      </c>
      <c r="F9" s="336"/>
      <c r="G9" s="335"/>
    </row>
    <row r="10" spans="1:7" ht="32.25" customHeight="1"/>
    <row r="11" spans="1:7" ht="32.25" customHeight="1"/>
    <row r="12" spans="1:7" ht="32.25" customHeight="1"/>
    <row r="13" spans="1:7" ht="32.25" customHeight="1"/>
    <row r="14" spans="1:7" ht="32.25" customHeight="1"/>
    <row r="15" spans="1:7" ht="32.25" customHeight="1"/>
    <row r="16" spans="1:7" ht="32.25" customHeight="1"/>
    <row r="17" spans="4:31" ht="32.25" customHeight="1"/>
    <row r="27" spans="4:31">
      <c r="D27" s="12"/>
      <c r="E27" s="12"/>
    </row>
    <row r="28" spans="4:31">
      <c r="AE28" s="282">
        <f>43300000+22961228.54+10220213.41+9447083.28+26380087.29+6908572.25+3692815.22+46150000</f>
        <v>169059999.99000001</v>
      </c>
    </row>
    <row r="32" spans="4:31" ht="62.85" customHeight="1"/>
  </sheetData>
  <mergeCells count="5">
    <mergeCell ref="C2:G2"/>
    <mergeCell ref="F4:F5"/>
    <mergeCell ref="G4:G5"/>
    <mergeCell ref="F6:F9"/>
    <mergeCell ref="G6:G9"/>
  </mergeCells>
  <pageMargins left="0.78749999999999998" right="0.78749999999999998" top="1.05277777777778" bottom="1.05277777777778" header="0.78749999999999998" footer="0.78749999999999998"/>
  <pageSetup paperSize="0" scale="0" firstPageNumber="0" orientation="portrait" usePrinterDefaults="0" horizontalDpi="0" verticalDpi="0" copies="0"/>
  <headerFooter>
    <oddHeader>&amp;C&amp;"Times New Roman,Normal"&amp;12&amp;A</oddHeader>
    <oddFooter>&amp;C&amp;"Times New Roman,Normal"&amp;12Página &amp;P</oddFooter>
  </headerFooter>
</worksheet>
</file>

<file path=xl/worksheets/sheet6.xml><?xml version="1.0" encoding="utf-8"?>
<worksheet xmlns="http://schemas.openxmlformats.org/spreadsheetml/2006/main" xmlns:r="http://schemas.openxmlformats.org/officeDocument/2006/relationships">
  <sheetPr>
    <tabColor rgb="FFFFFFFF"/>
  </sheetPr>
  <dimension ref="A2:G19"/>
  <sheetViews>
    <sheetView zoomScale="75" zoomScaleNormal="75" workbookViewId="0">
      <selection activeCell="A18" sqref="A18"/>
    </sheetView>
  </sheetViews>
  <sheetFormatPr baseColWidth="10" defaultColWidth="9.140625" defaultRowHeight="12.75"/>
  <cols>
    <col min="1" max="1" width="13.140625"/>
    <col min="2" max="2" width="10.7109375"/>
    <col min="3" max="3" width="71.140625"/>
    <col min="4" max="4" width="20"/>
    <col min="5" max="6" width="10.7109375"/>
    <col min="7" max="7" width="14.85546875"/>
    <col min="8" max="1025" width="10.7109375"/>
  </cols>
  <sheetData>
    <row r="2" spans="1:7" ht="22.5" customHeight="1">
      <c r="A2" s="329" t="s">
        <v>320</v>
      </c>
      <c r="B2" s="329"/>
      <c r="C2" s="329"/>
      <c r="D2" s="329"/>
      <c r="E2" s="329"/>
      <c r="F2" s="329"/>
      <c r="G2" s="329"/>
    </row>
    <row r="3" spans="1:7" ht="12.75" customHeight="1">
      <c r="A3" s="337" t="s">
        <v>59</v>
      </c>
      <c r="B3" s="338" t="s">
        <v>144</v>
      </c>
      <c r="C3" s="338" t="s">
        <v>61</v>
      </c>
      <c r="D3" s="298" t="s">
        <v>54</v>
      </c>
      <c r="E3" s="298"/>
      <c r="F3" s="298"/>
      <c r="G3" s="338"/>
    </row>
    <row r="4" spans="1:7" ht="51">
      <c r="A4" s="337"/>
      <c r="B4" s="338"/>
      <c r="C4" s="338"/>
      <c r="D4" s="65" t="s">
        <v>65</v>
      </c>
      <c r="E4" s="66" t="s">
        <v>66</v>
      </c>
      <c r="F4" s="67" t="s">
        <v>67</v>
      </c>
      <c r="G4" s="338"/>
    </row>
    <row r="5" spans="1:7" ht="38.25" customHeight="1">
      <c r="A5" s="339" t="s">
        <v>100</v>
      </c>
      <c r="B5" s="306" t="s">
        <v>88</v>
      </c>
      <c r="C5" s="306" t="s">
        <v>148</v>
      </c>
      <c r="D5" s="341">
        <v>5050000</v>
      </c>
      <c r="E5" s="118">
        <v>0.92079999999999995</v>
      </c>
      <c r="F5" s="118">
        <f>1-E5</f>
        <v>7.9200000000000048E-2</v>
      </c>
      <c r="G5" s="283" t="s">
        <v>321</v>
      </c>
    </row>
    <row r="6" spans="1:7" ht="36" customHeight="1">
      <c r="A6" s="339"/>
      <c r="B6" s="306"/>
      <c r="C6" s="306"/>
      <c r="D6" s="341"/>
      <c r="E6" s="284">
        <v>0.75</v>
      </c>
      <c r="F6" s="118">
        <v>0.25</v>
      </c>
      <c r="G6" s="283" t="s">
        <v>322</v>
      </c>
    </row>
    <row r="7" spans="1:7" ht="39" customHeight="1">
      <c r="A7" s="306" t="s">
        <v>100</v>
      </c>
      <c r="B7" s="306" t="s">
        <v>156</v>
      </c>
      <c r="C7" s="306" t="s">
        <v>169</v>
      </c>
      <c r="D7" s="310">
        <v>93160709.099999994</v>
      </c>
      <c r="E7" s="145">
        <v>0.98745072560666403</v>
      </c>
      <c r="F7" s="145">
        <v>1.2549274393335599E-2</v>
      </c>
      <c r="G7" s="283" t="s">
        <v>321</v>
      </c>
    </row>
    <row r="8" spans="1:7" ht="32.25" customHeight="1">
      <c r="A8" s="306"/>
      <c r="B8" s="306"/>
      <c r="C8" s="306"/>
      <c r="D8" s="310"/>
      <c r="E8" s="285">
        <v>0.6</v>
      </c>
      <c r="F8" s="145">
        <f>1-E8</f>
        <v>0.4</v>
      </c>
      <c r="G8" s="283" t="s">
        <v>322</v>
      </c>
    </row>
    <row r="9" spans="1:7" ht="32.25" customHeight="1">
      <c r="A9" s="339" t="s">
        <v>100</v>
      </c>
      <c r="B9" s="306" t="s">
        <v>88</v>
      </c>
      <c r="C9" s="340" t="s">
        <v>323</v>
      </c>
      <c r="D9" s="310">
        <v>850000</v>
      </c>
      <c r="E9" s="145">
        <v>1</v>
      </c>
      <c r="F9" s="118">
        <f>1-E9</f>
        <v>0</v>
      </c>
      <c r="G9" s="283" t="s">
        <v>321</v>
      </c>
    </row>
    <row r="10" spans="1:7" ht="32.25" customHeight="1">
      <c r="A10" s="339"/>
      <c r="B10" s="306"/>
      <c r="C10" s="340"/>
      <c r="D10" s="310"/>
      <c r="E10" s="285">
        <v>0.75</v>
      </c>
      <c r="F10" s="118">
        <v>0.25</v>
      </c>
      <c r="G10" s="283" t="s">
        <v>322</v>
      </c>
    </row>
    <row r="13" spans="1:7" ht="31.5">
      <c r="C13" s="15" t="s">
        <v>41</v>
      </c>
      <c r="D13" s="16" t="s">
        <v>324</v>
      </c>
    </row>
    <row r="14" spans="1:7">
      <c r="C14" s="21" t="s">
        <v>43</v>
      </c>
      <c r="D14" s="30">
        <f>'Plan de Adquisiciones'!C26</f>
        <v>341695097.46079367</v>
      </c>
    </row>
    <row r="15" spans="1:7">
      <c r="C15" s="21" t="s">
        <v>44</v>
      </c>
      <c r="D15" s="30">
        <f>'Plan de Adquisiciones'!C27</f>
        <v>7037147.4000000004</v>
      </c>
    </row>
    <row r="16" spans="1:7">
      <c r="C16" s="21" t="s">
        <v>45</v>
      </c>
      <c r="D16" s="30">
        <f>'Plan de Adquisiciones'!C28</f>
        <v>72027321.883999988</v>
      </c>
    </row>
    <row r="17" spans="3:4">
      <c r="C17" s="31" t="s">
        <v>46</v>
      </c>
      <c r="D17" s="30">
        <f>'Plan de Adquisiciones'!C29</f>
        <v>79240433.255206272</v>
      </c>
    </row>
    <row r="18" spans="3:4">
      <c r="C18" s="31" t="s">
        <v>47</v>
      </c>
      <c r="D18" s="30">
        <f>'Plan de Adquisiciones'!C30</f>
        <v>0</v>
      </c>
    </row>
    <row r="19" spans="3:4" ht="15.75">
      <c r="C19" s="24" t="s">
        <v>39</v>
      </c>
      <c r="D19" s="25">
        <f>SUM(D14:D18)</f>
        <v>499999999.99999994</v>
      </c>
    </row>
  </sheetData>
  <mergeCells count="18">
    <mergeCell ref="A9:A10"/>
    <mergeCell ref="B9:B10"/>
    <mergeCell ref="C9:C10"/>
    <mergeCell ref="D9:D10"/>
    <mergeCell ref="A5:A6"/>
    <mergeCell ref="B5:B6"/>
    <mergeCell ref="C5:C6"/>
    <mergeCell ref="D5:D6"/>
    <mergeCell ref="A7:A8"/>
    <mergeCell ref="B7:B8"/>
    <mergeCell ref="C7:C8"/>
    <mergeCell ref="D7:D8"/>
    <mergeCell ref="A2:G2"/>
    <mergeCell ref="A3:A4"/>
    <mergeCell ref="B3:B4"/>
    <mergeCell ref="C3:C4"/>
    <mergeCell ref="D3:F3"/>
    <mergeCell ref="G3:G4"/>
  </mergeCells>
  <pageMargins left="0.7" right="0.7" top="0.75" bottom="0.75" header="0.51180555555555496" footer="0.51180555555555496"/>
  <pageSetup paperSize="0" scale="0" firstPageNumber="0" orientation="portrait" usePrinterDefaults="0" horizontalDpi="0" verticalDpi="0" copie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A52CA9293F39247B9D50885C8C98D14" ma:contentTypeVersion="115" ma:contentTypeDescription="A content type to manage public (operations) IDB documents" ma:contentTypeScope="" ma:versionID="978b43b13f64556c57d9ec9cb2452ad1">
  <xsd:schema xmlns:xsd="http://www.w3.org/2001/XMLSchema" xmlns:xs="http://www.w3.org/2001/XMLSchema" xmlns:p="http://schemas.microsoft.com/office/2006/metadata/properties" xmlns:ns2="cdc7663a-08f0-4737-9e8c-148ce897a09c" targetNamespace="http://schemas.microsoft.com/office/2006/metadata/properties" ma:root="true" ma:fieldsID="7abce4518b2ff76def7064c6e5ab2d9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VE-L103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Venezuela</TermName>
          <TermId xmlns="http://schemas.microsoft.com/office/infopath/2007/PartnerControls">4facce24-ee05-410d-afce-42964d145ec0</TermId>
        </TermInfo>
      </Terms>
    </ic46d7e087fd4a108fb86518ca413cc6>
    <IDBDocs_x0020_Number xmlns="cdc7663a-08f0-4737-9e8c-148ce897a09c" xsi:nil="true"/>
    <Division_x0020_or_x0020_Unit xmlns="cdc7663a-08f0-4737-9e8c-148ce897a09c">CAN/CVE</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2429/OC-VE;</Approval_x0020_Number>
    <Phase xmlns="cdc7663a-08f0-4737-9e8c-148ce897a09c">ACTIVE</Phase>
    <Document_x0020_Author xmlns="cdc7663a-08f0-4737-9e8c-148ce897a09c">Garcia Velasco, Angel Arquimedes</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NEW HYDROPOWER PROJECTS</TermName>
          <TermId xmlns="http://schemas.microsoft.com/office/infopath/2007/PartnerControls">3376385b-9441-4523-96be-880d8d448187</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6</Value>
      <Value>24</Value>
      <Value>25</Value>
      <Value>27</Value>
      <Value>31</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VE-L1033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R0002369564</Record_x0020_Number>
    <_dlc_DocId xmlns="cdc7663a-08f0-4737-9e8c-148ce897a09c">EZSHARE-871306071-11</_dlc_DocId>
    <_dlc_DocIdUrl xmlns="cdc7663a-08f0-4737-9e8c-148ce897a09c">
      <Url>https://idbg.sharepoint.com/teams/EZ-VE-LON/VE-L1033/_layouts/15/DocIdRedir.aspx?ID=EZSHARE-871306071-11</Url>
      <Description>EZSHARE-871306071-11</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4E25A35F-17D5-4F15-A4E8-1D859410924C}"/>
</file>

<file path=customXml/itemProps2.xml><?xml version="1.0" encoding="utf-8"?>
<ds:datastoreItem xmlns:ds="http://schemas.openxmlformats.org/officeDocument/2006/customXml" ds:itemID="{AFFC91A9-3A5C-464D-8F36-126E31CAE18E}"/>
</file>

<file path=customXml/itemProps3.xml><?xml version="1.0" encoding="utf-8"?>
<ds:datastoreItem xmlns:ds="http://schemas.openxmlformats.org/officeDocument/2006/customXml" ds:itemID="{DE9039EB-D7C3-485A-B2C3-E6F4B1224C8F}"/>
</file>

<file path=customXml/itemProps4.xml><?xml version="1.0" encoding="utf-8"?>
<ds:datastoreItem xmlns:ds="http://schemas.openxmlformats.org/officeDocument/2006/customXml" ds:itemID="{0C6B3823-A060-4DFC-A613-2164D2ACA58A}"/>
</file>

<file path=customXml/itemProps5.xml><?xml version="1.0" encoding="utf-8"?>
<ds:datastoreItem xmlns:ds="http://schemas.openxmlformats.org/officeDocument/2006/customXml" ds:itemID="{5451858D-E115-4B45-A316-72674C33C281}"/>
</file>

<file path=customXml/itemProps6.xml><?xml version="1.0" encoding="utf-8"?>
<ds:datastoreItem xmlns:ds="http://schemas.openxmlformats.org/officeDocument/2006/customXml" ds:itemID="{D0DBAC31-C2F7-4487-BDD3-DC0D2AB4F6EE}"/>
</file>

<file path=customXml/itemProps7.xml><?xml version="1.0" encoding="utf-8"?>
<ds:datastoreItem xmlns:ds="http://schemas.openxmlformats.org/officeDocument/2006/customXml" ds:itemID="{FCC3DA95-0E5D-437D-ABCF-DEDC3218A5D3}"/>
</file>

<file path=docProps/app.xml><?xml version="1.0" encoding="utf-8"?>
<Properties xmlns="http://schemas.openxmlformats.org/officeDocument/2006/extended-properties" xmlns:vt="http://schemas.openxmlformats.org/officeDocument/2006/docPropsVTypes">
  <TotalTime>1044</TotalTime>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Estructura del Proyecto</vt:lpstr>
      <vt:lpstr>Plan de Adquisiciones</vt:lpstr>
      <vt:lpstr>Detalle Plan de Adquisiciones</vt:lpstr>
      <vt:lpstr>Reporte Variación de Montos_2</vt:lpstr>
      <vt:lpstr>Cambios Plan de Adquisiciones</vt:lpstr>
      <vt:lpstr>Propuesta BID 500MM$</vt:lpstr>
      <vt:lpstr>'Detalle Plan de Adquisiciones'!_FilterDatabase</vt:lpstr>
      <vt:lpstr>'Detalle Plan de Adquisiciones'!Área_de_impresión</vt:lpstr>
      <vt:lpstr>'Estructura del Proyecto'!Área_de_impresión</vt:lpstr>
      <vt:lpstr>'Plan de Adquisiciones'!Área_de_impresión</vt:lpstr>
      <vt:lpstr>'Detalle Plan de Adquisiciones'!Títulos_a_imprimir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Windows7</dc:creator>
  <cp:keywords/>
  <cp:lastModifiedBy>Nelly</cp:lastModifiedBy>
  <cp:revision>1</cp:revision>
  <cp:lastPrinted>2017-10-12T19:09:40Z</cp:lastPrinted>
  <dcterms:created xsi:type="dcterms:W3CDTF">2016-07-15T03:40:03Z</dcterms:created>
  <dcterms:modified xsi:type="dcterms:W3CDTF">2018-04-30T21:02:30Z</dcterms:modified>
  <dc:language>es-VE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31;#NEW HYDROPOWER PROJECTS|3376385b-9441-4523-96be-880d8d448187</vt:lpwstr>
  </property>
  <property fmtid="{D5CDD505-2E9C-101B-9397-08002B2CF9AE}" pid="7" name="Fund IDB">
    <vt:lpwstr>25;#ORC|c028a4b2-ad8b-4cf4-9cac-a2ae6a778e23</vt:lpwstr>
  </property>
  <property fmtid="{D5CDD505-2E9C-101B-9397-08002B2CF9AE}" pid="8" name="Country">
    <vt:lpwstr>24;#Venezuela|4facce24-ee05-410d-afce-42964d145ec0</vt:lpwstr>
  </property>
  <property fmtid="{D5CDD505-2E9C-101B-9397-08002B2CF9AE}" pid="9" name="Sector IDB">
    <vt:lpwstr>27;#ENERGY|4fed196a-cd0b-4970-87de-42da17f9b203</vt:lpwstr>
  </property>
  <property fmtid="{D5CDD505-2E9C-101B-9397-08002B2CF9AE}" pid="10" name="Function Operations IDB">
    <vt:lpwstr>6;#Goods and Services|5bfebf1b-9f1f-4411-b1dd-4c19b807b799</vt:lpwstr>
  </property>
  <property fmtid="{D5CDD505-2E9C-101B-9397-08002B2CF9AE}" pid="11" name="_dlc_DocIdItemGuid">
    <vt:lpwstr>546b6380-b98b-43ba-b74b-642fea6e486d</vt:lpwstr>
  </property>
  <property fmtid="{D5CDD505-2E9C-101B-9397-08002B2CF9AE}" pid="12" name="Disclosure Activity">
    <vt:lpwstr>Procurement Plan</vt:lpwstr>
  </property>
  <property fmtid="{D5CDD505-2E9C-101B-9397-08002B2CF9AE}" pid="13" name="ContentTypeId">
    <vt:lpwstr>0x0101001A458A224826124E8B45B1D613300CFC003A52CA9293F39247B9D50885C8C98D14</vt:lpwstr>
  </property>
</Properties>
</file>