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docProps/custom.xml" ContentType="application/vnd.openxmlformats-officedocument.custom-properties+xml"/>
  <Override PartName="/xl/comments1.xml" ContentType="application/vnd.openxmlformats-officedocument.spreadsheetml.comment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airoperilla\Documents\"/>
    </mc:Choice>
  </mc:AlternateContent>
  <bookViews>
    <workbookView xWindow="0" yWindow="0" windowWidth="16392" windowHeight="5664"/>
  </bookViews>
  <sheets>
    <sheet name="PLAN DE ADQUISICIONES" sheetId="1" r:id="rId1"/>
    <sheet name="GASTOS LOGISTICOS Y OPERATIVOS" sheetId="2" r:id="rId2"/>
    <sheet name="CONTRAPARTIDA FUNDACIONES" sheetId="3" r:id="rId3"/>
  </sheets>
  <definedNames>
    <definedName name="_xlnm.Print_Area" localSheetId="0">'PLAN DE ADQUISICIONES'!$A$1:$M$47</definedName>
    <definedName name="_xlnm.Print_Titles" localSheetId="0">'PLAN DE ADQUISICIONES'!$9:$10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02" i="2" l="1"/>
  <c r="N99" i="2"/>
  <c r="N95" i="2"/>
  <c r="N92" i="2"/>
  <c r="N91" i="2"/>
  <c r="N83" i="2"/>
  <c r="G64" i="2"/>
  <c r="G63" i="2"/>
  <c r="G75" i="2" l="1"/>
  <c r="G69" i="2"/>
  <c r="G65" i="2"/>
  <c r="G44" i="2"/>
  <c r="G46" i="2"/>
  <c r="G47" i="2"/>
  <c r="N29" i="2"/>
  <c r="N28" i="2"/>
  <c r="G29" i="2"/>
  <c r="G28" i="2"/>
  <c r="G26" i="2"/>
  <c r="N86" i="2"/>
  <c r="G58" i="2"/>
  <c r="H17" i="2"/>
  <c r="H16" i="2"/>
  <c r="H15" i="2"/>
  <c r="F14" i="2" l="1"/>
  <c r="F10" i="2"/>
  <c r="F9" i="2"/>
  <c r="F17" i="2" s="1"/>
  <c r="G14" i="2"/>
  <c r="G13" i="2"/>
  <c r="F13" i="2" s="1"/>
  <c r="G12" i="2"/>
  <c r="F12" i="2" s="1"/>
  <c r="G11" i="2"/>
  <c r="F11" i="2" s="1"/>
  <c r="G10" i="2"/>
  <c r="G9" i="2"/>
  <c r="G17" i="2" s="1"/>
  <c r="G8" i="2"/>
  <c r="F8" i="2" s="1"/>
  <c r="E18" i="1"/>
  <c r="F16" i="2" l="1"/>
  <c r="G16" i="2"/>
  <c r="D16" i="3"/>
  <c r="F16" i="3" s="1"/>
  <c r="D15" i="3"/>
  <c r="F15" i="3" s="1"/>
  <c r="D14" i="3"/>
  <c r="F14" i="3" s="1"/>
  <c r="D13" i="3"/>
  <c r="F13" i="3" s="1"/>
  <c r="D12" i="3"/>
  <c r="F12" i="3" s="1"/>
  <c r="D11" i="3"/>
  <c r="F11" i="3" s="1"/>
  <c r="D10" i="3"/>
  <c r="F10" i="3" s="1"/>
  <c r="D9" i="3"/>
  <c r="F9" i="3" s="1"/>
  <c r="D8" i="3"/>
  <c r="F8" i="3" s="1"/>
  <c r="D7" i="3"/>
  <c r="F7" i="3" s="1"/>
  <c r="D6" i="3"/>
  <c r="F6" i="3" s="1"/>
  <c r="D5" i="3"/>
  <c r="F5" i="3" s="1"/>
  <c r="D4" i="3"/>
  <c r="F4" i="3" s="1"/>
  <c r="F17" i="3" l="1"/>
  <c r="N139" i="2"/>
  <c r="O139" i="2" s="1"/>
  <c r="N138" i="2"/>
  <c r="O138" i="2" s="1"/>
  <c r="M147" i="2"/>
  <c r="M146" i="2"/>
  <c r="M145" i="2"/>
  <c r="N144" i="2"/>
  <c r="O144" i="2" s="1"/>
  <c r="N143" i="2"/>
  <c r="O143" i="2" s="1"/>
  <c r="N142" i="2"/>
  <c r="N146" i="2" s="1"/>
  <c r="N141" i="2"/>
  <c r="O141" i="2" s="1"/>
  <c r="N140" i="2"/>
  <c r="O140" i="2" s="1"/>
  <c r="N137" i="2"/>
  <c r="O137" i="2" s="1"/>
  <c r="N136" i="2"/>
  <c r="O136" i="2" s="1"/>
  <c r="N135" i="2"/>
  <c r="O135" i="2" s="1"/>
  <c r="N134" i="2"/>
  <c r="O134" i="2" s="1"/>
  <c r="N133" i="2"/>
  <c r="O133" i="2" s="1"/>
  <c r="N132" i="2"/>
  <c r="O132" i="2" s="1"/>
  <c r="N131" i="2"/>
  <c r="O131" i="2" s="1"/>
  <c r="F129" i="2"/>
  <c r="F128" i="2"/>
  <c r="F127" i="2"/>
  <c r="G122" i="2"/>
  <c r="H122" i="2" s="1"/>
  <c r="G121" i="2"/>
  <c r="H121" i="2" s="1"/>
  <c r="G120" i="2"/>
  <c r="H120" i="2" s="1"/>
  <c r="G119" i="2"/>
  <c r="H119" i="2" s="1"/>
  <c r="G118" i="2"/>
  <c r="H118" i="2" s="1"/>
  <c r="G117" i="2"/>
  <c r="H117" i="2" s="1"/>
  <c r="G114" i="2"/>
  <c r="H114" i="2" s="1"/>
  <c r="G113" i="2"/>
  <c r="H113" i="2" s="1"/>
  <c r="G107" i="2"/>
  <c r="G108" i="2"/>
  <c r="G109" i="2"/>
  <c r="G126" i="2"/>
  <c r="H126" i="2" s="1"/>
  <c r="G125" i="2"/>
  <c r="H125" i="2" s="1"/>
  <c r="G124" i="2"/>
  <c r="H124" i="2" s="1"/>
  <c r="G123" i="2"/>
  <c r="H123" i="2" s="1"/>
  <c r="G116" i="2"/>
  <c r="H116" i="2" s="1"/>
  <c r="G115" i="2"/>
  <c r="H115" i="2" s="1"/>
  <c r="G112" i="2"/>
  <c r="H112" i="2" s="1"/>
  <c r="M105" i="2"/>
  <c r="M104" i="2"/>
  <c r="N90" i="2"/>
  <c r="O90" i="2" s="1"/>
  <c r="N89" i="2"/>
  <c r="O89" i="2" s="1"/>
  <c r="M103" i="2"/>
  <c r="O102" i="2"/>
  <c r="N101" i="2"/>
  <c r="O101" i="2" s="1"/>
  <c r="N100" i="2"/>
  <c r="O100" i="2" s="1"/>
  <c r="O99" i="2"/>
  <c r="N98" i="2"/>
  <c r="O98" i="2" s="1"/>
  <c r="N97" i="2"/>
  <c r="O97" i="2" s="1"/>
  <c r="N96" i="2"/>
  <c r="O96" i="2" s="1"/>
  <c r="O95" i="2"/>
  <c r="N94" i="2"/>
  <c r="O94" i="2" s="1"/>
  <c r="N93" i="2"/>
  <c r="O93" i="2" s="1"/>
  <c r="O92" i="2"/>
  <c r="O91" i="2"/>
  <c r="N88" i="2"/>
  <c r="O88" i="2" s="1"/>
  <c r="N87" i="2"/>
  <c r="O87" i="2" s="1"/>
  <c r="O86" i="2"/>
  <c r="N85" i="2"/>
  <c r="O85" i="2" s="1"/>
  <c r="N84" i="2"/>
  <c r="O84" i="2" s="1"/>
  <c r="N145" i="2" l="1"/>
  <c r="N147" i="2"/>
  <c r="O147" i="2"/>
  <c r="O142" i="2"/>
  <c r="O146" i="2" s="1"/>
  <c r="O104" i="2"/>
  <c r="P104" i="2" s="1"/>
  <c r="E24" i="1" s="1"/>
  <c r="N104" i="2"/>
  <c r="N103" i="2"/>
  <c r="N105" i="2"/>
  <c r="O83" i="2"/>
  <c r="O105" i="2" s="1"/>
  <c r="E31" i="1" l="1"/>
  <c r="P147" i="2"/>
  <c r="P105" i="2"/>
  <c r="E26" i="1"/>
  <c r="P146" i="2"/>
  <c r="O145" i="2"/>
  <c r="P145" i="2" s="1"/>
  <c r="O103" i="2"/>
  <c r="P103" i="2" s="1"/>
  <c r="F81" i="2" l="1"/>
  <c r="F80" i="2"/>
  <c r="G76" i="2"/>
  <c r="H76" i="2" s="1"/>
  <c r="H75" i="2"/>
  <c r="H64" i="2"/>
  <c r="F79" i="2"/>
  <c r="G78" i="2"/>
  <c r="H78" i="2" s="1"/>
  <c r="G74" i="2"/>
  <c r="H74" i="2" s="1"/>
  <c r="G73" i="2"/>
  <c r="H73" i="2" s="1"/>
  <c r="G72" i="2"/>
  <c r="H72" i="2" s="1"/>
  <c r="G71" i="2"/>
  <c r="H71" i="2" s="1"/>
  <c r="G70" i="2"/>
  <c r="H70" i="2" s="1"/>
  <c r="G68" i="2"/>
  <c r="H68" i="2" s="1"/>
  <c r="G67" i="2"/>
  <c r="H67" i="2" s="1"/>
  <c r="G66" i="2"/>
  <c r="H66" i="2" s="1"/>
  <c r="G60" i="2"/>
  <c r="H60" i="2" s="1"/>
  <c r="G61" i="2"/>
  <c r="H61" i="2" s="1"/>
  <c r="G62" i="2"/>
  <c r="H62" i="2" s="1"/>
  <c r="G59" i="2"/>
  <c r="H58" i="2"/>
  <c r="G57" i="2"/>
  <c r="F55" i="2"/>
  <c r="F54" i="2"/>
  <c r="F53" i="2"/>
  <c r="G51" i="2"/>
  <c r="H51" i="2" s="1"/>
  <c r="G49" i="2"/>
  <c r="H49" i="2" s="1"/>
  <c r="H47" i="2"/>
  <c r="G48" i="2"/>
  <c r="H48" i="2" s="1"/>
  <c r="G45" i="2"/>
  <c r="H45" i="2" s="1"/>
  <c r="G43" i="2"/>
  <c r="H43" i="2" s="1"/>
  <c r="G41" i="2"/>
  <c r="H41" i="2" s="1"/>
  <c r="G40" i="2"/>
  <c r="H40" i="2" s="1"/>
  <c r="M34" i="2" l="1"/>
  <c r="M33" i="2"/>
  <c r="M35" i="2"/>
  <c r="H81" i="2"/>
  <c r="G81" i="2"/>
  <c r="G55" i="2"/>
  <c r="P81" i="2" l="1"/>
  <c r="E25" i="1"/>
  <c r="G151" i="2"/>
  <c r="H151" i="2" s="1"/>
  <c r="G150" i="2"/>
  <c r="H150" i="2" s="1"/>
  <c r="G149" i="2"/>
  <c r="H149" i="2" s="1"/>
  <c r="G111" i="2"/>
  <c r="G110" i="2"/>
  <c r="H109" i="2"/>
  <c r="H108" i="2"/>
  <c r="H107" i="2"/>
  <c r="G89" i="2"/>
  <c r="H89" i="2" s="1"/>
  <c r="G88" i="2"/>
  <c r="H88" i="2" s="1"/>
  <c r="G87" i="2"/>
  <c r="H87" i="2" s="1"/>
  <c r="G86" i="2"/>
  <c r="H86" i="2" s="1"/>
  <c r="G85" i="2"/>
  <c r="H85" i="2" s="1"/>
  <c r="G84" i="2"/>
  <c r="H84" i="2" s="1"/>
  <c r="G83" i="2"/>
  <c r="H83" i="2" s="1"/>
  <c r="G77" i="2"/>
  <c r="G80" i="2" s="1"/>
  <c r="H69" i="2"/>
  <c r="H65" i="2"/>
  <c r="H63" i="2"/>
  <c r="H59" i="2"/>
  <c r="H57" i="2"/>
  <c r="H55" i="2"/>
  <c r="G52" i="2"/>
  <c r="G50" i="2"/>
  <c r="H46" i="2"/>
  <c r="H44" i="2"/>
  <c r="G42" i="2"/>
  <c r="H42" i="2" s="1"/>
  <c r="G39" i="2"/>
  <c r="H39" i="2" s="1"/>
  <c r="G38" i="2"/>
  <c r="H38" i="2" s="1"/>
  <c r="G37" i="2"/>
  <c r="H37" i="2" s="1"/>
  <c r="F35" i="2"/>
  <c r="F34" i="2"/>
  <c r="F33" i="2"/>
  <c r="N32" i="2"/>
  <c r="O32" i="2" s="1"/>
  <c r="G32" i="2"/>
  <c r="H32" i="2" s="1"/>
  <c r="N31" i="2"/>
  <c r="O31" i="2" s="1"/>
  <c r="G31" i="2"/>
  <c r="H31" i="2" s="1"/>
  <c r="N30" i="2"/>
  <c r="O30" i="2" s="1"/>
  <c r="G30" i="2"/>
  <c r="H30" i="2" s="1"/>
  <c r="O29" i="2"/>
  <c r="H29" i="2"/>
  <c r="O28" i="2"/>
  <c r="H28" i="2"/>
  <c r="N27" i="2"/>
  <c r="O27" i="2" s="1"/>
  <c r="G27" i="2"/>
  <c r="H27" i="2" s="1"/>
  <c r="N26" i="2"/>
  <c r="O26" i="2" s="1"/>
  <c r="H26" i="2"/>
  <c r="N25" i="2"/>
  <c r="O25" i="2" s="1"/>
  <c r="G25" i="2"/>
  <c r="H25" i="2" s="1"/>
  <c r="N24" i="2"/>
  <c r="O24" i="2" s="1"/>
  <c r="G24" i="2"/>
  <c r="H24" i="2" s="1"/>
  <c r="N23" i="2"/>
  <c r="O23" i="2" s="1"/>
  <c r="G23" i="2"/>
  <c r="H23" i="2" s="1"/>
  <c r="N22" i="2"/>
  <c r="O22" i="2" s="1"/>
  <c r="G22" i="2"/>
  <c r="H22" i="2" s="1"/>
  <c r="N21" i="2"/>
  <c r="G21" i="2"/>
  <c r="N20" i="2"/>
  <c r="O20" i="2" s="1"/>
  <c r="G20" i="2"/>
  <c r="H20" i="2" s="1"/>
  <c r="N19" i="2"/>
  <c r="G19" i="2"/>
  <c r="N17" i="2"/>
  <c r="O17" i="2" s="1"/>
  <c r="N16" i="2"/>
  <c r="O16" i="2" s="1"/>
  <c r="N15" i="2"/>
  <c r="O15" i="2" s="1"/>
  <c r="N14" i="2"/>
  <c r="O14" i="2" s="1"/>
  <c r="N13" i="2"/>
  <c r="O13" i="2" s="1"/>
  <c r="N12" i="2"/>
  <c r="O12" i="2" s="1"/>
  <c r="N11" i="2"/>
  <c r="O11" i="2" s="1"/>
  <c r="N10" i="2"/>
  <c r="O10" i="2" s="1"/>
  <c r="N9" i="2"/>
  <c r="O9" i="2" s="1"/>
  <c r="N8" i="2"/>
  <c r="O8" i="2" s="1"/>
  <c r="P55" i="2" l="1"/>
  <c r="E21" i="1"/>
  <c r="H111" i="2"/>
  <c r="H128" i="2" s="1"/>
  <c r="G128" i="2"/>
  <c r="H110" i="2"/>
  <c r="G129" i="2"/>
  <c r="G127" i="2"/>
  <c r="N34" i="2"/>
  <c r="O19" i="2"/>
  <c r="N33" i="2"/>
  <c r="N35" i="2"/>
  <c r="H77" i="2"/>
  <c r="H79" i="2" s="1"/>
  <c r="P79" i="2" s="1"/>
  <c r="G79" i="2"/>
  <c r="H52" i="2"/>
  <c r="H50" i="2"/>
  <c r="H54" i="2" s="1"/>
  <c r="G53" i="2"/>
  <c r="G54" i="2"/>
  <c r="G34" i="2"/>
  <c r="H21" i="2"/>
  <c r="H34" i="2" s="1"/>
  <c r="G33" i="2"/>
  <c r="G35" i="2"/>
  <c r="H19" i="2"/>
  <c r="H35" i="2" s="1"/>
  <c r="O21" i="2"/>
  <c r="O34" i="2" s="1"/>
  <c r="H127" i="2" l="1"/>
  <c r="P127" i="2" s="1"/>
  <c r="E28" i="1"/>
  <c r="P128" i="2"/>
  <c r="H129" i="2"/>
  <c r="P17" i="2"/>
  <c r="O33" i="2"/>
  <c r="O35" i="2"/>
  <c r="P35" i="2" s="1"/>
  <c r="H80" i="2"/>
  <c r="H53" i="2"/>
  <c r="P53" i="2" s="1"/>
  <c r="H33" i="2"/>
  <c r="P54" i="2"/>
  <c r="P34" i="2"/>
  <c r="P80" i="2" l="1"/>
  <c r="E23" i="1"/>
  <c r="E30" i="1"/>
  <c r="P129" i="2"/>
  <c r="P33" i="2"/>
  <c r="F15" i="2"/>
  <c r="G15" i="2"/>
  <c r="P15" i="2" s="1"/>
  <c r="E39" i="1" l="1"/>
  <c r="P16" i="2"/>
</calcChain>
</file>

<file path=xl/comments1.xml><?xml version="1.0" encoding="utf-8"?>
<comments xmlns="http://schemas.openxmlformats.org/spreadsheetml/2006/main">
  <authors>
    <author>Charry Rozo, Monica Patricia</author>
  </authors>
  <commentList>
    <comment ref="F14" authorId="0" shapeId="0">
      <text>
        <r>
          <rPr>
            <sz val="9"/>
            <color indexed="81"/>
            <rFont val="Tahoma"/>
            <family val="2"/>
          </rPr>
          <t>cada comida COP $50.000
Valor comida por día COP $150.000</t>
        </r>
      </text>
    </comment>
  </commentList>
</comments>
</file>

<file path=xl/sharedStrings.xml><?xml version="1.0" encoding="utf-8"?>
<sst xmlns="http://schemas.openxmlformats.org/spreadsheetml/2006/main" count="470" uniqueCount="330">
  <si>
    <t>Fuente de Financiamiento y porcentaje</t>
  </si>
  <si>
    <t>Local / Otro %</t>
  </si>
  <si>
    <t>Comentarios</t>
  </si>
  <si>
    <t xml:space="preserve"> </t>
  </si>
  <si>
    <t>Monto límite para revisión ex post de adquisiciones:</t>
  </si>
  <si>
    <t>Total</t>
  </si>
  <si>
    <t>BID/MIF %</t>
  </si>
  <si>
    <t>Ref. POA</t>
  </si>
  <si>
    <r>
      <t>(4)</t>
    </r>
    <r>
      <rPr>
        <sz val="10"/>
        <rFont val="Calibri"/>
        <family val="2"/>
        <scheme val="minor"/>
      </rPr>
      <t xml:space="preserve">  </t>
    </r>
    <r>
      <rPr>
        <b/>
        <u/>
        <sz val="10"/>
        <rFont val="Calibri"/>
        <family val="2"/>
        <scheme val="minor"/>
      </rPr>
      <t>Revisión técnica</t>
    </r>
    <r>
      <rPr>
        <sz val="10"/>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</si>
  <si>
    <t xml:space="preserve">Banco Interamericano de Desarrollo </t>
  </si>
  <si>
    <t>VPC/FMP</t>
  </si>
  <si>
    <t>Nº Item</t>
  </si>
  <si>
    <t>Descripción de las adquisiciones 
(1)</t>
  </si>
  <si>
    <t>Revisión técnica del JEP
(4)</t>
  </si>
  <si>
    <r>
      <rPr>
        <b/>
        <vertAlign val="superscript"/>
        <sz val="10"/>
        <rFont val="Calibri"/>
        <family val="2"/>
        <scheme val="minor"/>
      </rPr>
      <t>(1)</t>
    </r>
    <r>
      <rPr>
        <sz val="10"/>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</si>
  <si>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t>Método de Adquisición
(2)</t>
  </si>
  <si>
    <t>LP</t>
  </si>
  <si>
    <t>CP</t>
  </si>
  <si>
    <t>CD</t>
  </si>
  <si>
    <t>SBCC</t>
  </si>
  <si>
    <t>SBMC</t>
  </si>
  <si>
    <t>SBPF</t>
  </si>
  <si>
    <t>SBC</t>
  </si>
  <si>
    <t>Ex Post</t>
  </si>
  <si>
    <t>Ex Ante</t>
  </si>
  <si>
    <r>
      <t>(3)</t>
    </r>
    <r>
      <rPr>
        <sz val="10"/>
        <rFont val="Calibri"/>
        <family val="2"/>
        <scheme val="minor"/>
      </rPr>
      <t xml:space="preserve"> </t>
    </r>
    <r>
      <rPr>
        <b/>
        <u/>
        <sz val="10"/>
        <rFont val="Calibri"/>
        <family val="2"/>
        <scheme val="minor"/>
      </rPr>
      <t xml:space="preserve"> Revisión ex-ante/ ex-post / SN</t>
    </r>
    <r>
      <rPr>
        <sz val="10"/>
        <rFont val="Calibri"/>
        <family val="2"/>
        <scheme val="minor"/>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r>
  </si>
  <si>
    <t>Revisión  de adquisiciones 
 (3)</t>
  </si>
  <si>
    <t>Costo estimado del Contrato</t>
  </si>
  <si>
    <t xml:space="preserve">Fecha estimada del Anuncio de Adquisición o
 del Inicio de la contratación </t>
  </si>
  <si>
    <t>SD</t>
  </si>
  <si>
    <t>Consultoría</t>
  </si>
  <si>
    <t>Administración, Monitoreo y Evaluación</t>
  </si>
  <si>
    <r>
      <rPr>
        <b/>
        <vertAlign val="superscript"/>
        <sz val="10"/>
        <rFont val="Calibri"/>
        <family val="2"/>
        <scheme val="minor"/>
      </rPr>
      <t xml:space="preserve">(2) </t>
    </r>
    <r>
      <rPr>
        <b/>
        <u/>
        <sz val="10"/>
        <rFont val="Calibri"/>
        <family val="2"/>
        <scheme val="minor"/>
      </rPr>
      <t>Consultores Individuales</t>
    </r>
    <r>
      <rPr>
        <sz val="10"/>
        <rFont val="Calibri"/>
        <family val="2"/>
        <scheme val="minor"/>
      </rPr>
      <t xml:space="preserve">: </t>
    </r>
    <r>
      <rPr>
        <b/>
        <sz val="10"/>
        <rFont val="Calibri"/>
        <family val="2"/>
        <scheme val="minor"/>
      </rPr>
      <t>CCIN</t>
    </r>
    <r>
      <rPr>
        <sz val="10"/>
        <rFont val="Calibri"/>
        <family val="2"/>
        <scheme val="minor"/>
      </rPr>
      <t xml:space="preserve">: Selección basada en la Comparación de Calificaciones Consultor Individual ; </t>
    </r>
    <r>
      <rPr>
        <b/>
        <sz val="10"/>
        <rFont val="Calibri"/>
        <family val="2"/>
        <scheme val="minor"/>
      </rPr>
      <t>SD</t>
    </r>
    <r>
      <rPr>
        <sz val="10"/>
        <rFont val="Calibri"/>
        <family val="2"/>
        <scheme val="minor"/>
      </rPr>
      <t xml:space="preserve">: Selección Directa. </t>
    </r>
  </si>
  <si>
    <r>
      <rPr>
        <b/>
        <vertAlign val="superscript"/>
        <sz val="10"/>
        <rFont val="Calibri"/>
        <family val="2"/>
        <scheme val="minor"/>
      </rPr>
      <t xml:space="preserve">(2) </t>
    </r>
    <r>
      <rPr>
        <b/>
        <u/>
        <sz val="10"/>
        <rFont val="Calibri"/>
        <family val="2"/>
        <scheme val="minor"/>
      </rPr>
      <t>Sistema nacional</t>
    </r>
    <r>
      <rPr>
        <sz val="10"/>
        <rFont val="Calibri"/>
        <family val="2"/>
        <scheme val="minor"/>
      </rPr>
      <t xml:space="preserve">: </t>
    </r>
    <r>
      <rPr>
        <b/>
        <sz val="10"/>
        <rFont val="Calibri"/>
        <family val="2"/>
        <scheme val="minor"/>
      </rPr>
      <t xml:space="preserve">SN: </t>
    </r>
    <r>
      <rPr>
        <sz val="10"/>
        <rFont val="Calibri"/>
        <family val="2"/>
        <scheme val="minor"/>
      </rPr>
      <t>Para CTNR del Sector Público cuando el sistema nacional esté aprobado para el método asociado con la adquisición.</t>
    </r>
  </si>
  <si>
    <r>
      <t>(2)</t>
    </r>
    <r>
      <rPr>
        <sz val="10"/>
        <rFont val="Calibri"/>
        <family val="2"/>
        <scheme val="minor"/>
      </rPr>
      <t xml:space="preserve"> </t>
    </r>
    <r>
      <rPr>
        <b/>
        <u/>
        <sz val="10"/>
        <rFont val="Calibri"/>
        <family val="2"/>
        <scheme val="minor"/>
      </rPr>
      <t>Firmas de consultoria</t>
    </r>
    <r>
      <rPr>
        <sz val="10"/>
        <rFont val="Calibri"/>
        <family val="2"/>
        <scheme val="minor"/>
      </rPr>
      <t xml:space="preserve">: </t>
    </r>
    <r>
      <rPr>
        <b/>
        <sz val="10"/>
        <rFont val="Calibri"/>
        <family val="2"/>
        <scheme val="minor"/>
      </rPr>
      <t xml:space="preserve"> SCC</t>
    </r>
    <r>
      <rPr>
        <sz val="10"/>
        <rFont val="Calibri"/>
        <family val="2"/>
        <scheme val="minor"/>
      </rPr>
      <t>: Selección Basada en la Calificación de los Consultores;</t>
    </r>
    <r>
      <rPr>
        <b/>
        <sz val="10"/>
        <rFont val="Calibri"/>
        <family val="2"/>
        <scheme val="minor"/>
      </rPr>
      <t xml:space="preserve"> SBCC:</t>
    </r>
    <r>
      <rPr>
        <sz val="10"/>
        <rFont val="Calibri"/>
        <family val="2"/>
        <scheme val="minor"/>
      </rPr>
      <t xml:space="preserve"> Selección Basada en Calidad y Costo; </t>
    </r>
    <r>
      <rPr>
        <b/>
        <sz val="10"/>
        <rFont val="Calibri"/>
        <family val="2"/>
        <scheme val="minor"/>
      </rPr>
      <t>SBMC</t>
    </r>
    <r>
      <rPr>
        <sz val="10"/>
        <rFont val="Calibri"/>
        <family val="2"/>
        <scheme val="minor"/>
      </rPr>
      <t>: Selección Basada en el Menor Costo;</t>
    </r>
    <r>
      <rPr>
        <b/>
        <sz val="10"/>
        <rFont val="Calibri"/>
        <family val="2"/>
        <scheme val="minor"/>
      </rPr>
      <t xml:space="preserve"> SBPF:</t>
    </r>
    <r>
      <rPr>
        <sz val="10"/>
        <rFont val="Calibri"/>
        <family val="2"/>
        <scheme val="minor"/>
      </rPr>
      <t xml:space="preserve"> Selección Basada en Presupuesto Fijo.</t>
    </r>
    <r>
      <rPr>
        <b/>
        <sz val="10"/>
        <rFont val="Calibri"/>
        <family val="2"/>
        <scheme val="minor"/>
      </rPr>
      <t xml:space="preserve"> SD</t>
    </r>
    <r>
      <rPr>
        <sz val="10"/>
        <rFont val="Calibri"/>
        <family val="2"/>
        <scheme val="minor"/>
      </rPr>
      <t xml:space="preserve">: Selección Directa; </t>
    </r>
    <r>
      <rPr>
        <b/>
        <sz val="10"/>
        <rFont val="Calibri"/>
        <family val="2"/>
        <scheme val="minor"/>
      </rPr>
      <t>SBC:</t>
    </r>
    <r>
      <rPr>
        <sz val="10"/>
        <rFont val="Calibri"/>
        <family val="2"/>
        <scheme val="minor"/>
      </rPr>
      <t xml:space="preserve"> Selección Basada en Calidad</t>
    </r>
  </si>
  <si>
    <t>PLAN DE ADQUISICIONES PARA CTNR</t>
  </si>
  <si>
    <t>País: Colombia</t>
  </si>
  <si>
    <t xml:space="preserve">Preparado por: </t>
  </si>
  <si>
    <t xml:space="preserve">Fecha: </t>
  </si>
  <si>
    <t>Número del Proyecto: RG-T3571.</t>
  </si>
  <si>
    <t>Nombre del Proyecto:  ZIF COL-PE. Sonidos de la Frontera</t>
  </si>
  <si>
    <t xml:space="preserve">Bienes y servicios (monto en U$S): </t>
  </si>
  <si>
    <t xml:space="preserve">Consultorias (monto en U$S): </t>
  </si>
  <si>
    <t>SCC</t>
  </si>
  <si>
    <t>CCIN</t>
  </si>
  <si>
    <t>SN</t>
  </si>
  <si>
    <t xml:space="preserve">(2) Bienes y Obras:  LP: Licitación Pública;  CP: Comparación de Precios;  CD: Contratación Directa.    </t>
  </si>
  <si>
    <t xml:space="preserve">Componente 1. Formación </t>
  </si>
  <si>
    <t>La contratación del consultor se realizará por un proceso competitvo de comparación de 3CVs</t>
  </si>
  <si>
    <t>Proyecto : RG-T3571. ZIF COL-PE. Sonidos de la Frontera</t>
  </si>
  <si>
    <t>No. Adquisición</t>
  </si>
  <si>
    <t>TRM</t>
  </si>
  <si>
    <t>FASE 1</t>
  </si>
  <si>
    <t>FASE 2</t>
  </si>
  <si>
    <t>COMPONENTE / FASE</t>
  </si>
  <si>
    <t>ACTIVIDAD</t>
  </si>
  <si>
    <t>FECHA ESTIMADA</t>
  </si>
  <si>
    <t># PARTICIPANTES</t>
  </si>
  <si>
    <t>Valor Unitario</t>
  </si>
  <si>
    <t>Valor Total COP</t>
  </si>
  <si>
    <t>Valor Total USD</t>
  </si>
  <si>
    <t>TOTAL USD</t>
  </si>
  <si>
    <t xml:space="preserve">C1. Formación </t>
  </si>
  <si>
    <t xml:space="preserve"> - 2 de Batuta</t>
  </si>
  <si>
    <t xml:space="preserve"> - 2 de Sinfonía</t>
  </si>
  <si>
    <t>TOTAL Act1. Encuentros de concertación pedagógica interinstitucional FASE 1 y FASE 2</t>
  </si>
  <si>
    <t>TOTAL Act1. Encuentros de concertación pedagógica interinstitucional - BATUTA</t>
  </si>
  <si>
    <t>TOTAL Act1. Encuentros de concertación pedagógica interinstitucional - SINFONIA</t>
  </si>
  <si>
    <t>2.1 Transporte aéreo</t>
  </si>
  <si>
    <t>- 2 Talleristas Sinfonía (Lima - Iquitos - Lima)</t>
  </si>
  <si>
    <t>- 2 personas Sinfonía (Lima - Iquitos - Lima)</t>
  </si>
  <si>
    <t>2.2 Transporte Fluvial</t>
  </si>
  <si>
    <t>- 2 Talleristas Sinfonía (Iquitos - Leticia - Iquitos)</t>
  </si>
  <si>
    <t>2.3 Transporte aéreo</t>
  </si>
  <si>
    <t>- 2 Talleristas Batuta (Bogotá - Leticia - Bogotá)</t>
  </si>
  <si>
    <t>2.4 Transporte Fluvial</t>
  </si>
  <si>
    <t xml:space="preserve"> - 2 de Batuta (Leticia- Caballocochoa - Leticia)</t>
  </si>
  <si>
    <t xml:space="preserve"> - 2 de Sinfonía (Leticia- Caballocochoa - Leticia)</t>
  </si>
  <si>
    <t>2.5 Transporte Fluvial</t>
  </si>
  <si>
    <t xml:space="preserve"> - 2 de Batuta (Leticia- Puerto Nariño - Leticia)</t>
  </si>
  <si>
    <t xml:space="preserve"> - 2 de Sinfonía (Leticia- Puerto Nariño - Leticia)</t>
  </si>
  <si>
    <t>2.6 Alojamiento</t>
  </si>
  <si>
    <t xml:space="preserve"> - 2 de Batuta por cinco (5) noches</t>
  </si>
  <si>
    <t xml:space="preserve"> -  2 de Sinfoníapor cinco (5) noches</t>
  </si>
  <si>
    <t xml:space="preserve">2.7 Alimentación </t>
  </si>
  <si>
    <t xml:space="preserve"> - 2 de Batuta, 3 comidas (Desayuno, almuerzo y cena) por 6 días</t>
  </si>
  <si>
    <t xml:space="preserve"> - 2 de Sinfonía, 3 comidas (Desayuno, almuerzo y cena) por 6 días</t>
  </si>
  <si>
    <t>2.8 Material pedagógico</t>
  </si>
  <si>
    <t>Fotocopias</t>
  </si>
  <si>
    <t>2.9 Seguros de Viaje</t>
  </si>
  <si>
    <t>TOTAL Act2. Talleres de Fortalecimiento Coral e Iniciación Músical. - BATUTA</t>
  </si>
  <si>
    <t>TOTAL Act2. Talleres de Fortalecimiento Coral e Iniciación Músical. - SINFONIA</t>
  </si>
  <si>
    <t>3.1 Transporte Fluvial</t>
  </si>
  <si>
    <t>3.2 Transporte aéreo</t>
  </si>
  <si>
    <t>- 2 acompañantes Batuta (Leticia - Bogotá)</t>
  </si>
  <si>
    <t>Agencia Ejecutora (AE): Fundación Batuta</t>
  </si>
  <si>
    <t>DETALLE GASTOS OPERATIVOS</t>
  </si>
  <si>
    <t>TOTAL Act3. Talleres  de Formación de Capacidad Instalada y Cualificación de Monitores. FASE 1 y FASE 2</t>
  </si>
  <si>
    <t>TOTAL Act3. Talleres  de Formación de Capacidad Instalada y Cualificación de Monitores - BATUTA</t>
  </si>
  <si>
    <t>TOTAL Act3. Talleres  de Formación de Capacidad Instalada y Cualificación de Monitores - SINFONIA</t>
  </si>
  <si>
    <t>2.6 Alojamiento (contratado F. Batuta)</t>
  </si>
  <si>
    <t>2021-II</t>
  </si>
  <si>
    <t>Coach Vocal</t>
  </si>
  <si>
    <t>Tallerista en Liderazgo</t>
  </si>
  <si>
    <t>DESCRIPCIÓN</t>
  </si>
  <si>
    <t>Auditoría</t>
  </si>
  <si>
    <t>Consultor Evaluación Final de Resultados</t>
  </si>
  <si>
    <t>Coordinador del Proyecto Colombia</t>
  </si>
  <si>
    <t>Coordinador del Proyecto Perú</t>
  </si>
  <si>
    <t xml:space="preserve">1. Encuentros de concertación pedagógica interinstitucional </t>
  </si>
  <si>
    <t xml:space="preserve">2. Talleres de Fortalecimiento Coral e Iniciación Músical. Comprende: Talleres de Fortalecimiento Técnico y Trabajo específico con las agrupciones representativas </t>
  </si>
  <si>
    <t xml:space="preserve">3. Talleres de Formación de Capacidad Instalada y Cualificación de Monitores </t>
  </si>
  <si>
    <t>Talleres de Fortalecimiento Coral e Iniciación Músical (F. Batuta)</t>
  </si>
  <si>
    <t>Talleres de formación de capacidad instalada, cualificación de monitores en Bogotá (F. Batuta)</t>
  </si>
  <si>
    <t>Talleres de formación de capacidad instalada, cualificación de monitores en Lima (F. Sinfonía)</t>
  </si>
  <si>
    <t>Se hará un contrato de prestación de Servicios entre F. Batuta y F. Sinfonía, para llevar a cabo las actividades llevadas a cabo en Perú en el marco de la CT. El contrato celebrado entre ambas fundaciones incluye transporte aéreo, terrestre, fluvial, así como alojamiento, viáticos  y otros gastos logísticos y operativos, necesarios para los talleres, residencias, capacitaciones y/o conciertos en Perú.
El detalle de los gastos operativos estan en la hoja "GASTOS LOGÍSTICOS Y OPERATIVOS"</t>
  </si>
  <si>
    <t>Encuentros de Concertación Pedagógica Institucional Perú (F. Sinfonía)</t>
  </si>
  <si>
    <t xml:space="preserve">Componente 2. Residencia Artistica </t>
  </si>
  <si>
    <t>Componente 3. Conciertos</t>
  </si>
  <si>
    <t>Concierto en la ZIF (F. Batuta)</t>
  </si>
  <si>
    <t>Concierto en la ZIF (F. Sinfonía)</t>
  </si>
  <si>
    <r>
      <t>Talleres de Fortalecimiento Coral e Iniciación Músical</t>
    </r>
    <r>
      <rPr>
        <b/>
        <sz val="10"/>
        <rFont val="Calibri"/>
        <family val="2"/>
        <scheme val="minor"/>
      </rPr>
      <t xml:space="preserve"> </t>
    </r>
    <r>
      <rPr>
        <sz val="10"/>
        <rFont val="Calibri"/>
        <family val="2"/>
        <scheme val="minor"/>
      </rPr>
      <t>(F. Sinfonía)</t>
    </r>
  </si>
  <si>
    <t xml:space="preserve">1.3; 1.4; 1.5; 1.6; 1.7; 1.8; 2.1; 2.2; 2.3; 2.4; 3.1; 3.2 y 3.3:  Gastos logisticos y operativos: Incluye  transporte aéreo, terrestre, fluvial, así como alojamiento, viáticos  y gastos logísticos, necesarios para los talleres, residencias, capacitaciones y/o conciertos a cargo de </t>
  </si>
  <si>
    <t xml:space="preserve"> -  2 de Sinfonía por cinco (5) noches</t>
  </si>
  <si>
    <t>3.3 Transporte Terrestre</t>
  </si>
  <si>
    <t>3.4 Alojamiento</t>
  </si>
  <si>
    <t>3.5 Alimentación</t>
  </si>
  <si>
    <t>3.6 Material Pedagógico</t>
  </si>
  <si>
    <t>3.7 Seguros de Viaje</t>
  </si>
  <si>
    <t>3.9 Tallerista Liderazgo y Coach Vocal</t>
  </si>
  <si>
    <t>-  1 Bus para ir a centros músicales y aeropuertos por ocho (8) días (Bogotá)</t>
  </si>
  <si>
    <t>-  1 Bus para ir a centros músicales y aeropuertos por ocho (8) días (Lima)</t>
  </si>
  <si>
    <t>- 12 personas (10 estudiantes + 2 acompañantes) por 7 noches (Bogotá)</t>
  </si>
  <si>
    <t>- 12 personas (10 estudiantes + 2 acompañantes) por 7 noches (Lima)</t>
  </si>
  <si>
    <t>- 12 personas (10 estudiantes + 2 acompañantes), 3 veces al día por 8 días (Lima)</t>
  </si>
  <si>
    <t>- 12 personas (10 estudiantes + 2 acompañantes), 3 veces al día por 8 días (Bogotá)</t>
  </si>
  <si>
    <t>- 1 material pedagógico</t>
  </si>
  <si>
    <t>- 10 seguros de viaje (Lima)</t>
  </si>
  <si>
    <t>- 10 seguros de viaje (Bogotá)</t>
  </si>
  <si>
    <t>4. Realizar Residencia Artística en la ZIF</t>
  </si>
  <si>
    <t>5. Realizar Residencia Artística en Lima</t>
  </si>
  <si>
    <t>7. Realizar Concierto en Lima</t>
  </si>
  <si>
    <t>4.1 Transporte Fluvial</t>
  </si>
  <si>
    <t>4.2 Transporte Aéreo</t>
  </si>
  <si>
    <t>4.3 Transporte Terrestre</t>
  </si>
  <si>
    <t>4.4 Alojamiento</t>
  </si>
  <si>
    <t>4.5 Alimentación</t>
  </si>
  <si>
    <t>4.6 Seguros de Viaje</t>
  </si>
  <si>
    <t>TOTAL Act4. Residencia Artística en la ZIF. FASE 1 y FASE 2</t>
  </si>
  <si>
    <t>TOTAL Act4. Residencia Artística en la ZIF - BATUTA</t>
  </si>
  <si>
    <t>TOTAL Act4. Residencia Artística en la ZIF - SINFONÍA</t>
  </si>
  <si>
    <t>- 26 personas (25 niños + 1 acompañante) Puerto Nariño - Leticia - Puerto Nariño (2 trayectos)</t>
  </si>
  <si>
    <t>- 52 personas (50 niños + 2 acompañantes) Caballococha/Cushillococha - Leticia - Caballococha/Cushillococha (2 trayectos)</t>
  </si>
  <si>
    <t>- 8 buses para Transporte de 75 niños + acompañantes y profesores dentro de Leticia durante 6 días (2 trayectos al día)</t>
  </si>
  <si>
    <t>- 2 profesores Batuta por 6 noches</t>
  </si>
  <si>
    <t>- 1 profesional de producción Batuta por 6 noches</t>
  </si>
  <si>
    <t>- 2 profesores Sinfonía por el Perú por 6 noches</t>
  </si>
  <si>
    <t>- 1 profesional de producción Sinfonía por el Perú por 6 noches</t>
  </si>
  <si>
    <t xml:space="preserve">- Desayunos 25 niños, 2 profesores, 1 prof. de producción Batuta por 6 días </t>
  </si>
  <si>
    <t>- Desayunos 50 niños, 2 profesores, 1 prof. de producción Sinfonía por el Perú por 6 días</t>
  </si>
  <si>
    <t xml:space="preserve">- Almuerzos 50 niños, 2 profesores, 1 prof. de producción Batuta por 6 días </t>
  </si>
  <si>
    <t>- Almuerzos 50 niños, 2 profesores, 1 prof. de producción Sinfonía por el Perú por 6 días</t>
  </si>
  <si>
    <t xml:space="preserve">- Cenas 50 niños, 2 profesores, 1 prof. de producción Batuta por 6 días </t>
  </si>
  <si>
    <t>- Cenas 50 niños, 2 profesores, 1 prof. de producción Sinfonía por el Perú por 6 días</t>
  </si>
  <si>
    <t>- 25 niños, 2 profesores, 1 prof. De producción Batuta</t>
  </si>
  <si>
    <t>- 53 niños, 2 profesores, 1 prof de producción Sinfonía por el Perú</t>
  </si>
  <si>
    <t>- Refrigerios para Ensayos para 53 niños dos veces al día durante 6 días (Batuta)</t>
  </si>
  <si>
    <t>- Refrigerios para Ensayos para 53 niños dos veces al día durante 6 días (Sinfonía por el Perú)</t>
  </si>
  <si>
    <t>- 10 estudiantes Sinfonía (Caballococha/Cushillococha - Lima - Caballococha/Cushillococha)</t>
  </si>
  <si>
    <t>- 10 estudiantes Batuta (Leticia - Bogotá - Leticia )</t>
  </si>
  <si>
    <t>- 6 personas batuta (5 estudiantes + adulto) Puerto Nariño - Leticia - Puerto Nariño</t>
  </si>
  <si>
    <t>- 1 director de Batuta (Bogotá - Lima - Bogotá)</t>
  </si>
  <si>
    <t>- 50 estudiantes y 2 acompañantes de Batuta (Bogotá - Lima - Bogotá)</t>
  </si>
  <si>
    <t>- 3 profesionales talleristas y de producción de Batuta (Bogotá - Lima - Bogotá)</t>
  </si>
  <si>
    <t>- 50 estudiantes y 2 acompañantes de Batuta (Leticia/Puerto Nariño - Bogotá - Leticia/Puerto Nariño)</t>
  </si>
  <si>
    <t>- 50 estudiantes y 2 acompañantes de Sinfonía (Iquitos - Lima - Iquitos)</t>
  </si>
  <si>
    <t>TOTAL Act2. Talleres de Fortalecimiento Coral e Iniciación Músical. FASE 2</t>
  </si>
  <si>
    <t>TOTAL Act2. Talleres de Fortalecimiento Coral e Iniciación Músical. FASE 1</t>
  </si>
  <si>
    <t>Total FASE 1 y 2</t>
  </si>
  <si>
    <t>Total BATUTA</t>
  </si>
  <si>
    <t>Total SINFONÍA</t>
  </si>
  <si>
    <t>- 50 habitaciones dobles para 100 estudiantes de Batuta y Sinfonía durante 6 noches</t>
  </si>
  <si>
    <t>- Transporte de 50 estudiantes y 2 acompañantes de Sinfonía, desde Caballococha y Cushillococha a Iquitos</t>
  </si>
  <si>
    <t>- 5 buses para transporte de estudiantes, producción y directores de Batuta y de Sinfonía dentro de la ciudad de Lima 2 veces durante 5 días</t>
  </si>
  <si>
    <t>- 4 habitaciones sencillas para 2 acompañantes de Batuta, y 2 acompañantes de Sinfonía en Lima por 6 noches</t>
  </si>
  <si>
    <t>- 3 habitaciones sencillas para 3 profesionales de taller y producción de Batuta en Lima durante 6 noches</t>
  </si>
  <si>
    <t>- Alimentación de 50 niños, 2 acompañantes, 1 director y 3 profesionales de taller y producción de Batuta. 3 veces durante 7 días</t>
  </si>
  <si>
    <t>- Alimentación de 50 niños, 2 acompañantes, 1 director y 2 profesionales de taller de Sinfonía. 3 veces durante 7 días</t>
  </si>
  <si>
    <t>- Almuerzos para 100 niños de la Orquesta local de Sinfonía por el Perú durante 5 días</t>
  </si>
  <si>
    <t>- Refrigerios para 50 niños, 2 acompañantes,1 director y 2 profesionales de taller de Batuta, 2 veces durante 5 días</t>
  </si>
  <si>
    <t>- Refrigerios para 50 niños, 2 acompañantes, 1 director, 2 profesionales de taller y 100 niños de la Orquesta local de Sinfonía por el Perú, 2 veces durante 5 días</t>
  </si>
  <si>
    <t>- Un furgón para transporte de instrumentos 2 veces al día</t>
  </si>
  <si>
    <t>- Seguros de viaje nacional para 50 niños y 2 acompañantes de Sinfonía</t>
  </si>
  <si>
    <t>- Seguros de viaje internacional para 50 niños, 2 acompañantes, 1 director y 3 profesionales de taller y producción de Batuta</t>
  </si>
  <si>
    <t>5.1 Transporte Fluvial</t>
  </si>
  <si>
    <t>5.2 Transporte Aéreo</t>
  </si>
  <si>
    <t>5.3 Transporte Terrestre</t>
  </si>
  <si>
    <t>5.5 Alojamiento</t>
  </si>
  <si>
    <t>5.6 Alimentación</t>
  </si>
  <si>
    <t>5.7 Logística de Material</t>
  </si>
  <si>
    <t>5.8 Seguros de Viaje</t>
  </si>
  <si>
    <t>TOTAL Act5. Residencia Artística en Lima. FASE 1 y FASE 2</t>
  </si>
  <si>
    <t>TOTAL Act5. Residencia Artística en Lima - BATUTA</t>
  </si>
  <si>
    <t>TOTAL Act5. Residencia Artística en Lima - SINFONÍA</t>
  </si>
  <si>
    <t>- Transporte local de 1 director de Batuta, durante 5 días</t>
  </si>
  <si>
    <t>- Transporte local de 1 director de Sinfonía, durante 5 días</t>
  </si>
  <si>
    <t>6. Realizar Conciertos en la ZIF (1 en Caballococha y 1 en Leticia)</t>
  </si>
  <si>
    <t>- Equipos de sonido y montaje para concierto en Leticia</t>
  </si>
  <si>
    <t>- Equipos de sonido y montaje para concierto en Caballococha</t>
  </si>
  <si>
    <t>- Personal de apoyo durante 1 día en Leticia</t>
  </si>
  <si>
    <t>- Personal de apoyo durante 1 día en Caballococha</t>
  </si>
  <si>
    <t>- Trámite de plan de contingencia en Leticia</t>
  </si>
  <si>
    <t>- Trámite de plan de contingencia en Caballococha</t>
  </si>
  <si>
    <t>- Transporte de 55 personas de Batuta (Leticia-Caballococha-Leticia)</t>
  </si>
  <si>
    <t>- Transporte de 55 personas de Sinfonía (Caballococha - Leticia - Caballococha)</t>
  </si>
  <si>
    <t>- Pago permisos de ejecución pública de obras en Colombia</t>
  </si>
  <si>
    <t>- Pago permisos de ejecución pública de obras en Perú</t>
  </si>
  <si>
    <t>- 100 Camisetas los niños participantes del concierto</t>
  </si>
  <si>
    <t>- Refrigerios e hidratación para 55 personas de Sinfonía (concierto Leticia)</t>
  </si>
  <si>
    <t>- Refrigerios e hidratación para 55 personas de Batuta (concierto Leticia)</t>
  </si>
  <si>
    <t>- Almuerzo para 55 personas de Batuta (concierto Leticia)</t>
  </si>
  <si>
    <t>- Almuerzo para 55 personas de Sinfonía (concierto Leticia)</t>
  </si>
  <si>
    <t>- Refrigerios e hidratación para 55 personas de Sinfonía (concierto Caballococha)</t>
  </si>
  <si>
    <t>- Refrigerios e hidratación para 55 personas de Batuta (concierto Caballococha)</t>
  </si>
  <si>
    <t>- Almuerzo para 55 personas de Batuta (concierto Caballococha)</t>
  </si>
  <si>
    <t>- Almuerzo para 55 personas de Sinfonía (concierto Caballococha)</t>
  </si>
  <si>
    <t>TOTAL Act6. Realizar Conciertos en la ZIF (1 en Caballococha y 1 en Leticia). FASE 1 y FASE 2</t>
  </si>
  <si>
    <t>TOTAL Act6. Realizar Conciertos en la ZIF (1 en Caballococha y 1 en Leticia). - BATUTA</t>
  </si>
  <si>
    <t>TOTAL Act6. Realizar Conciertos en la ZIF (1 en Caballococha y 1 en Leticia). - SINFONÍA</t>
  </si>
  <si>
    <t>- Alquiler de Espacio</t>
  </si>
  <si>
    <t>- Tarima para concierto</t>
  </si>
  <si>
    <t>- Ingeniero de Sonido</t>
  </si>
  <si>
    <t>- Iluminación ambiental</t>
  </si>
  <si>
    <t>- Sillas orquesta</t>
  </si>
  <si>
    <t>- Transporte de Instrumentos (2 veces al día)</t>
  </si>
  <si>
    <t>- Auxiliares de producción</t>
  </si>
  <si>
    <t>- Transporte local de estudiantes, profesores, acompañantes, producción y orquesta local (2 trayectos)</t>
  </si>
  <si>
    <t>- 200 camisetas para los niños participantes en el concierto</t>
  </si>
  <si>
    <t>- Refrigerio para 55 personas de Batuta</t>
  </si>
  <si>
    <t>- Refrigerio para 155 personas de Sinfonía</t>
  </si>
  <si>
    <t>- Alquiler de partituras y derechos de reproducción</t>
  </si>
  <si>
    <t>6.2 Transporte Fluvial/Terrestre</t>
  </si>
  <si>
    <t>6.1 Logística del Concierto</t>
  </si>
  <si>
    <t>6.3 Alimentación</t>
  </si>
  <si>
    <t>6.4 Permisos de ejecución</t>
  </si>
  <si>
    <t>6.5 Indumentaria</t>
  </si>
  <si>
    <t>6.6 Derechos de reproducción</t>
  </si>
  <si>
    <t>7.1 Logística del Concierto</t>
  </si>
  <si>
    <t>7.2 Transporte terrestre</t>
  </si>
  <si>
    <t>7.3 Permisos de Ejecución</t>
  </si>
  <si>
    <t>7.4 Indumentaria</t>
  </si>
  <si>
    <t>7.5 Alimentación</t>
  </si>
  <si>
    <t>7.6 Derechos de reproducción</t>
  </si>
  <si>
    <t>Residencia artística en la ZIF (F. Batuta)</t>
  </si>
  <si>
    <t>Residencia artística en Lima (F. Batuta)</t>
  </si>
  <si>
    <t>Residencia artística en la ZIF (F. Sinfonía)</t>
  </si>
  <si>
    <t>Residencia artística en Lima (F. Sinfonía)</t>
  </si>
  <si>
    <t>Concierto en Lima (F. Sinfonía)</t>
  </si>
  <si>
    <t>Concierto en Lima (F. Batuta)</t>
  </si>
  <si>
    <t>Costos financieros Colombia</t>
  </si>
  <si>
    <t>Costos financieros Perú</t>
  </si>
  <si>
    <t>2020-III</t>
  </si>
  <si>
    <t>- Trámite de plan de contingencia (2 días)</t>
  </si>
  <si>
    <t>Debido a que los gastos asociados a esta actividad son logísticos, las adquisiciones se realizarán a través de la comparación de precios entre diferentes proveedores</t>
  </si>
  <si>
    <t>Fundación Nacional Batuta</t>
  </si>
  <si>
    <t>Sinfonía por el Perú</t>
  </si>
  <si>
    <t>Concepto</t>
  </si>
  <si>
    <t>Valor por mes
(pesos)</t>
  </si>
  <si>
    <t>Valor por mes
(dólares)</t>
  </si>
  <si>
    <t>Carga laboral por mes</t>
  </si>
  <si>
    <t>Valor Total Proyecto</t>
  </si>
  <si>
    <t>Directora Gestión Financiera</t>
  </si>
  <si>
    <t>Contador</t>
  </si>
  <si>
    <t>Tesorera</t>
  </si>
  <si>
    <t>Directora Oficina Jurídica</t>
  </si>
  <si>
    <t>Directora Dpto Gestión Humana</t>
  </si>
  <si>
    <t>Gerente Administrativo y Financiero- Integral</t>
  </si>
  <si>
    <t>Asistente Administrativa</t>
  </si>
  <si>
    <t>Directora Académica</t>
  </si>
  <si>
    <t>Coordinador Nacional de Coros</t>
  </si>
  <si>
    <t>Director de Educación Musical</t>
  </si>
  <si>
    <t>Directora de Planeación</t>
  </si>
  <si>
    <t>Analista de Información</t>
  </si>
  <si>
    <t>Software SIGE*</t>
  </si>
  <si>
    <t>n/a</t>
  </si>
  <si>
    <t>TOTAL CONTRAPARTIDA F. BATUTA</t>
  </si>
  <si>
    <t>*El software SIGE es una herramienta utilizada integralmente por la Fundación Nacional Batuta para registrar y analizar la participación y el desempeño de los estudiantes, en los diferentes programas formativos que provee la fundación.</t>
  </si>
  <si>
    <t>Servicios de Consultores Individuales</t>
  </si>
  <si>
    <t>1.1</t>
  </si>
  <si>
    <t>1.2</t>
  </si>
  <si>
    <t>Servicios distintos de consultoría</t>
  </si>
  <si>
    <t>1.3</t>
  </si>
  <si>
    <t>1.5</t>
  </si>
  <si>
    <t>1.7</t>
  </si>
  <si>
    <t>1.6</t>
  </si>
  <si>
    <t>1.8</t>
  </si>
  <si>
    <t>2021-I</t>
  </si>
  <si>
    <t>Encuentros de Concertación Pedagógica Institucional y Taller de fortalecimiento docente Colombia (F. Batuta)</t>
  </si>
  <si>
    <t>La adquisicion de los bienes y servicios asociados a estas actividades, se realizará teniendo en cuenta una comparación simple de precios entre diferentes proveedores.</t>
  </si>
  <si>
    <t>1.1 Computadores portátiles</t>
  </si>
  <si>
    <t>- 2 computadores para Batuta (Leticia-Puerto Nariño)</t>
  </si>
  <si>
    <t xml:space="preserve"> - 2 computadores para Sinfonía (Caballococha y Cushillococha)</t>
  </si>
  <si>
    <t>1.2 Licencia de Microsoft Office</t>
  </si>
  <si>
    <t>- 1 licencia para los 4 computadores</t>
  </si>
  <si>
    <t>1.3. Transporte de equipos a municipios</t>
  </si>
  <si>
    <t xml:space="preserve"> - 2 envíos de Lima (1 a Caballococha y 1 a Cushillococha) - Sinfonía</t>
  </si>
  <si>
    <t xml:space="preserve"> - 2 envíos de Bogotá (1 a Puerto Nariño y 1 a Leticia) - Batuta</t>
  </si>
  <si>
    <t>1.4. Servicio de Internet</t>
  </si>
  <si>
    <t xml:space="preserve"> - 6 meses de internet en Leticia y 6 meses de internet en Puerto Nariño</t>
  </si>
  <si>
    <t xml:space="preserve"> - 6 meses de internet en Caballococha y 6 meses de internet en Cushillococha</t>
  </si>
  <si>
    <t>Período del Plan: 24 meses</t>
  </si>
  <si>
    <t>Sector público o privado: Privado</t>
  </si>
  <si>
    <t>La adquisicion de los bienes y servicios asociados a estas actividades, se realizará a través del Convenio con la Fundación Sinfonía por el Perú</t>
  </si>
  <si>
    <t>Imprimir y editar Dos Libros y Una Cartilla Pedagógicas por Niño</t>
  </si>
  <si>
    <t>Se plantea llevar a cabo 2 talleres en 2 fechas diferentes, pues se llevará a cabo 1 taller de fortalecimiento en la primera fase del proyecto, en el mes de Marzo de 2021, y se hará 1 taller de fortalecimiento en la fase 2 del proyecto en el mes de octubre de 2021.</t>
  </si>
  <si>
    <t>- 2 acompañantes Sinfonía (Caballococha/Cushillococha - Lima - Caballococha/Cushillococha)</t>
  </si>
  <si>
    <t>- 8 personas (Material pedagogico para 8 talleritas de Batuta)</t>
  </si>
  <si>
    <t xml:space="preserve"> - 75 niños en acomodación doble (38 habs.) por 5 noches</t>
  </si>
  <si>
    <t>Se hará un contrato de prestación de Servicios entre F. Batuta y F. Sinfonía, para llevar a cabo las actividades llevadas a cabo en Perú en el marco de la CT. El contrato celebrado entre ambas fundaciones incluye transporte aéreo, terrestre, fluvial, así como alojamiento, viáticos  y otros gastos logísticos y operativos, necesarios para los talleres, residencias, capacitaciones y/o conciertos en Perú.
El detalle de los gastos operativos y logisticos estan en la hoja "GASTOS LOGÍSTICOS Y OPERATIVOS"</t>
  </si>
  <si>
    <t>- 2 profesores Batuta (Bogotá - Leticia)</t>
  </si>
  <si>
    <t>- 1 profesional de producción Batuta (Bogotá - Leticia)</t>
  </si>
  <si>
    <t>- 2 profesores Sinfonía por el Perú (Lima - Leticia)</t>
  </si>
  <si>
    <t>- 1 profesional de producción Sinfonía por el Perú (Lima - Leticia)</t>
  </si>
  <si>
    <t>Jul-21 / Aug-21</t>
  </si>
  <si>
    <t>- Pago por derechos de reproducción de obras - Arreglos de Partituras</t>
  </si>
  <si>
    <t>2021-I y 2021-IV</t>
  </si>
  <si>
    <t>2021-III</t>
  </si>
  <si>
    <t>2022-I</t>
  </si>
  <si>
    <t>2021-IV</t>
  </si>
  <si>
    <t xml:space="preserve">La contratación de ambos consultores se realizará por Selección Directa (SD)
Se llevará a cabo la SD teniendo en cuenta la política GN-2350-15 sección V. Selección de Consultores Indivudales, numeral 5.4 literal b) servicios cuya duración total estimada es menor de seis meses. 
El 27 de noviembre de 2019, F. Batuta recibió concepto obligatorio favorable para utilizar sus normas y procedimientos  en materia de adquisiciones para: i) Bienes y servicios distintos de consultoría. (Bienes); ii) Consultores individuales y firmas. (Servicios); iii) Para contrataciones directas recomendamos complementar sus propios procesos con la norma Banco.  
- Los contratos de firmas y consultores individuales deben incluir el anexo incluido sobre provisiones de prácticas prohibidas. 
- La firma auditora realizará la verificación de adquisiciones con base a este Concepto obligatorio (CO).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</si>
</sst>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 #,##0_);[Red]\(&quot;$&quot;\ #,##0\)"/>
    <numFmt numFmtId="164" formatCode="_(&quot;$&quot;* #,##0.00_);_(&quot;$&quot;* \(#,##0.00\);_(&quot;$&quot;* &quot;-&quot;??_);_(@_)"/>
    <numFmt numFmtId="165" formatCode="_(&quot;$&quot;* #,##0_);_(&quot;$&quot;* \(#,##0\);_(&quot;$&quot;* &quot;-&quot;??_);_(@_)"/>
    <numFmt numFmtId="166" formatCode="_-&quot;$&quot;\ * #,##0.00_-;\-&quot;$&quot;\ * #,##0.00_-;_-&quot;$&quot;\ * &quot;-&quot;_-;_-@_-"/>
    <numFmt numFmtId="167" formatCode="&quot;$&quot;\ #,##0"/>
  </numFmts>
  <fonts count="27" x14ac:knownFonts="1">
    <font>
      <sz val="10"/>
      <name val="Arial"/>
    </font>
    <font>
      <sz val="10"/>
      <name val="Arial"/>
      <family val="2"/>
    </font>
    <font>
      <vertAlign val="superscript"/>
      <sz val="10"/>
      <name val="Calibri"/>
      <family val="2"/>
      <scheme val="minor"/>
    </font>
    <font>
      <sz val="10"/>
      <name val="Calibri"/>
      <family val="2"/>
      <scheme val="minor"/>
    </font>
    <font>
      <b/>
      <sz val="10"/>
      <name val="Calibri"/>
      <family val="2"/>
      <scheme val="minor"/>
    </font>
    <font>
      <b/>
      <vertAlign val="superscript"/>
      <sz val="10"/>
      <name val="Calibri"/>
      <family val="2"/>
      <scheme val="minor"/>
    </font>
    <font>
      <b/>
      <u/>
      <sz val="10"/>
      <name val="Calibri"/>
      <family val="2"/>
      <scheme val="minor"/>
    </font>
    <font>
      <b/>
      <sz val="10"/>
      <color theme="0"/>
      <name val="Calibri"/>
      <family val="2"/>
      <scheme val="minor"/>
    </font>
    <font>
      <sz val="10"/>
      <name val="Arial"/>
      <family val="2"/>
    </font>
    <font>
      <b/>
      <sz val="10"/>
      <name val="Arial"/>
      <family val="2"/>
    </font>
    <font>
      <sz val="10"/>
      <name val="Arial"/>
      <family val="2"/>
    </font>
    <font>
      <b/>
      <sz val="11"/>
      <color theme="1"/>
      <name val="Calibri"/>
      <family val="2"/>
      <scheme val="minor"/>
    </font>
    <font>
      <sz val="9"/>
      <color indexed="81"/>
      <name val="Tahoma"/>
      <family val="2"/>
    </font>
    <font>
      <b/>
      <sz val="14"/>
      <color theme="1"/>
      <name val="Calibri Light"/>
      <family val="2"/>
    </font>
    <font>
      <b/>
      <sz val="10"/>
      <name val="Calibri Light"/>
      <family val="2"/>
    </font>
    <font>
      <sz val="10"/>
      <name val="Calibri Light"/>
      <family val="2"/>
    </font>
    <font>
      <b/>
      <sz val="11"/>
      <color theme="1"/>
      <name val="Calibri Light"/>
      <family val="2"/>
    </font>
    <font>
      <sz val="11"/>
      <color indexed="9"/>
      <name val="Calibri"/>
      <family val="2"/>
    </font>
    <font>
      <b/>
      <sz val="11"/>
      <color indexed="9"/>
      <name val="Calibri"/>
      <family val="2"/>
    </font>
    <font>
      <sz val="11"/>
      <color indexed="8"/>
      <name val="Calibri"/>
      <family val="2"/>
    </font>
    <font>
      <b/>
      <sz val="11"/>
      <color indexed="8"/>
      <name val="Calibri"/>
      <family val="2"/>
    </font>
    <font>
      <b/>
      <sz val="11"/>
      <color indexed="56"/>
      <name val="Calibri"/>
      <family val="2"/>
    </font>
    <font>
      <sz val="10"/>
      <color theme="0"/>
      <name val="Calibri"/>
      <family val="2"/>
      <scheme val="minor"/>
    </font>
    <font>
      <sz val="11"/>
      <name val="Calibri"/>
      <family val="2"/>
      <scheme val="minor"/>
    </font>
    <font>
      <b/>
      <sz val="11"/>
      <color theme="0"/>
      <name val="Calibri"/>
      <family val="2"/>
      <scheme val="minor"/>
    </font>
    <font>
      <b/>
      <sz val="14"/>
      <color theme="0"/>
      <name val="Calibri"/>
      <family val="2"/>
      <scheme val="minor"/>
    </font>
    <font>
      <b/>
      <sz val="14"/>
      <color theme="1"/>
      <name val="Calibri"/>
      <family val="2"/>
      <scheme val="minor"/>
    </font>
  </fonts>
  <fills count="12">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8" tint="0.79998168889431442"/>
        <bgColor indexed="64"/>
      </patternFill>
    </fill>
    <fill>
      <patternFill patternType="solid">
        <fgColor indexed="30"/>
      </patternFill>
    </fill>
    <fill>
      <patternFill patternType="solid">
        <fgColor indexed="4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002060"/>
        <bgColor indexed="64"/>
      </patternFill>
    </fill>
    <fill>
      <patternFill patternType="solid">
        <fgColor theme="0" tint="-0.249977111117893"/>
        <bgColor indexed="64"/>
      </patternFill>
    </fill>
    <fill>
      <patternFill patternType="solid">
        <fgColor rgb="FFFFFDC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30"/>
      </bottom>
      <diagonal/>
    </border>
    <border>
      <left style="thin">
        <color indexed="64"/>
      </left>
      <right/>
      <top/>
      <bottom style="thin">
        <color indexed="64"/>
      </bottom>
      <diagonal/>
    </border>
  </borders>
  <cellStyleXfs count="6">
    <xf numFmtId="0" fontId="0" fillId="0" borderId="0"/>
    <xf numFmtId="164" fontId="8" fillId="0" borderId="0" applyFont="0" applyFill="0" applyBorder="0" applyAlignment="0" applyProtection="0"/>
    <xf numFmtId="9" fontId="10" fillId="0" borderId="0" applyFont="0" applyFill="0" applyBorder="0" applyAlignment="0" applyProtection="0"/>
    <xf numFmtId="0" fontId="17" fillId="5" borderId="0" applyNumberFormat="0" applyBorder="0" applyAlignment="0" applyProtection="0"/>
    <xf numFmtId="0" fontId="19" fillId="6" borderId="0" applyNumberFormat="0" applyBorder="0" applyAlignment="0" applyProtection="0"/>
    <xf numFmtId="0" fontId="21" fillId="0" borderId="36" applyNumberFormat="0" applyFill="0" applyAlignment="0" applyProtection="0"/>
  </cellStyleXfs>
  <cellXfs count="233">
    <xf numFmtId="0" fontId="0" fillId="0" borderId="0" xfId="0"/>
    <xf numFmtId="0" fontId="3" fillId="0" borderId="0" xfId="0" applyFont="1"/>
    <xf numFmtId="0" fontId="0" fillId="0" borderId="1" xfId="0" applyBorder="1"/>
    <xf numFmtId="0" fontId="9" fillId="0" borderId="1" xfId="0" applyFont="1" applyBorder="1" applyAlignment="1">
      <alignment vertical="center" wrapText="1"/>
    </xf>
    <xf numFmtId="0" fontId="13" fillId="0" borderId="0" xfId="0" applyFont="1" applyAlignment="1">
      <alignment horizontal="center" vertical="center"/>
    </xf>
    <xf numFmtId="0" fontId="14" fillId="0" borderId="0" xfId="0" applyFont="1" applyAlignment="1">
      <alignment horizontal="left" vertical="center" wrapText="1"/>
    </xf>
    <xf numFmtId="0" fontId="14" fillId="0" borderId="1" xfId="0" applyFont="1" applyBorder="1" applyAlignment="1">
      <alignment horizontal="left" vertical="center" wrapText="1"/>
    </xf>
    <xf numFmtId="0" fontId="15" fillId="0" borderId="0" xfId="0" applyFont="1" applyAlignment="1">
      <alignment horizontal="left" vertical="center" wrapText="1"/>
    </xf>
    <xf numFmtId="0" fontId="16" fillId="0" borderId="0" xfId="0" applyFont="1" applyAlignment="1">
      <alignment horizontal="center" vertical="center" wrapText="1"/>
    </xf>
    <xf numFmtId="0" fontId="16" fillId="0" borderId="28" xfId="0" applyFont="1" applyBorder="1" applyAlignment="1">
      <alignment vertical="center"/>
    </xf>
    <xf numFmtId="166" fontId="18" fillId="5" borderId="1" xfId="3" applyNumberFormat="1" applyFont="1" applyBorder="1" applyAlignment="1">
      <alignment horizontal="center" vertical="center"/>
    </xf>
    <xf numFmtId="0" fontId="20" fillId="6" borderId="0" xfId="4" applyFont="1" applyAlignment="1">
      <alignment horizontal="center" vertical="center" wrapText="1"/>
    </xf>
    <xf numFmtId="0" fontId="20" fillId="6" borderId="1" xfId="4" applyFont="1" applyBorder="1" applyAlignment="1">
      <alignment horizontal="center" vertical="center"/>
    </xf>
    <xf numFmtId="0" fontId="19" fillId="6" borderId="1" xfId="4" applyBorder="1" applyAlignment="1">
      <alignment horizontal="center" vertical="center"/>
    </xf>
    <xf numFmtId="166" fontId="19" fillId="6" borderId="1" xfId="4" applyNumberFormat="1" applyBorder="1" applyAlignment="1">
      <alignment horizontal="center" vertical="center" wrapText="1"/>
    </xf>
    <xf numFmtId="0" fontId="0" fillId="0" borderId="1" xfId="0" quotePrefix="1" applyBorder="1" applyAlignment="1">
      <alignment wrapText="1"/>
    </xf>
    <xf numFmtId="164" fontId="0" fillId="0" borderId="1" xfId="1" applyFont="1" applyBorder="1"/>
    <xf numFmtId="164" fontId="0" fillId="7" borderId="1" xfId="1" applyFont="1" applyFill="1" applyBorder="1"/>
    <xf numFmtId="164" fontId="11" fillId="0" borderId="1" xfId="1" applyFont="1" applyBorder="1"/>
    <xf numFmtId="0" fontId="11" fillId="0" borderId="1" xfId="0" applyFont="1" applyBorder="1"/>
    <xf numFmtId="0" fontId="11" fillId="0" borderId="0" xfId="0" applyFont="1"/>
    <xf numFmtId="0" fontId="0" fillId="0" borderId="1" xfId="0" quotePrefix="1" applyBorder="1"/>
    <xf numFmtId="0" fontId="0" fillId="7" borderId="1" xfId="0" applyFill="1" applyBorder="1"/>
    <xf numFmtId="0" fontId="11" fillId="7" borderId="1" xfId="0" applyFont="1" applyFill="1" applyBorder="1"/>
    <xf numFmtId="0" fontId="0" fillId="7" borderId="0" xfId="0" applyFill="1"/>
    <xf numFmtId="0" fontId="1" fillId="0" borderId="1" xfId="0" quotePrefix="1" applyFont="1" applyBorder="1" applyAlignment="1">
      <alignment wrapText="1"/>
    </xf>
    <xf numFmtId="0" fontId="1" fillId="0" borderId="1" xfId="0" quotePrefix="1" applyFont="1" applyBorder="1"/>
    <xf numFmtId="164" fontId="9" fillId="0" borderId="0" xfId="1" applyFont="1"/>
    <xf numFmtId="0" fontId="9" fillId="0" borderId="1" xfId="0" applyFont="1" applyBorder="1"/>
    <xf numFmtId="0" fontId="9" fillId="0" borderId="1" xfId="0" applyFont="1" applyBorder="1" applyAlignment="1">
      <alignment vertical="center"/>
    </xf>
    <xf numFmtId="0" fontId="9" fillId="0" borderId="1" xfId="0" applyFont="1" applyBorder="1" applyAlignment="1">
      <alignment horizontal="left" vertical="center"/>
    </xf>
    <xf numFmtId="0" fontId="9" fillId="0" borderId="0" xfId="0" applyFont="1"/>
    <xf numFmtId="164" fontId="9" fillId="0" borderId="1" xfId="1" applyFont="1" applyBorder="1"/>
    <xf numFmtId="0" fontId="0" fillId="0" borderId="1" xfId="0" quotePrefix="1" applyFill="1" applyBorder="1" applyAlignment="1">
      <alignment wrapText="1"/>
    </xf>
    <xf numFmtId="0" fontId="0" fillId="0" borderId="1" xfId="0" applyFill="1" applyBorder="1"/>
    <xf numFmtId="0" fontId="9" fillId="0" borderId="1" xfId="0" applyFont="1" applyFill="1" applyBorder="1"/>
    <xf numFmtId="0" fontId="7" fillId="2" borderId="3" xfId="0" applyFont="1" applyFill="1" applyBorder="1" applyAlignment="1">
      <alignment horizontal="center" vertical="center" wrapText="1"/>
    </xf>
    <xf numFmtId="0" fontId="3" fillId="0" borderId="0" xfId="0" applyFont="1" applyAlignment="1">
      <alignment horizontal="center"/>
    </xf>
    <xf numFmtId="0" fontId="3" fillId="0" borderId="0" xfId="0" applyFont="1" applyAlignment="1">
      <alignment horizontal="center" vertical="top" wrapText="1"/>
    </xf>
    <xf numFmtId="0" fontId="3" fillId="0" borderId="0" xfId="0" applyFont="1" applyAlignment="1">
      <alignment vertical="center" wrapText="1"/>
    </xf>
    <xf numFmtId="0" fontId="3" fillId="0" borderId="0" xfId="0" applyFont="1" applyAlignment="1">
      <alignment vertical="top" wrapText="1"/>
    </xf>
    <xf numFmtId="0" fontId="3" fillId="0" borderId="1" xfId="0" applyFont="1" applyBorder="1"/>
    <xf numFmtId="0" fontId="3" fillId="0" borderId="1" xfId="0" applyFont="1" applyBorder="1" applyAlignment="1">
      <alignment vertical="center"/>
    </xf>
    <xf numFmtId="15" fontId="3" fillId="0" borderId="1" xfId="0" applyNumberFormat="1" applyFont="1" applyFill="1" applyBorder="1" applyAlignment="1">
      <alignmen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4" borderId="1" xfId="0" applyFont="1" applyFill="1" applyBorder="1" applyAlignment="1">
      <alignment vertical="center"/>
    </xf>
    <xf numFmtId="0" fontId="4" fillId="3" borderId="19" xfId="0" applyFont="1" applyFill="1" applyBorder="1" applyAlignment="1">
      <alignment horizontal="left"/>
    </xf>
    <xf numFmtId="0" fontId="4" fillId="3" borderId="0" xfId="0" applyFont="1" applyFill="1" applyBorder="1" applyAlignment="1">
      <alignment horizontal="left"/>
    </xf>
    <xf numFmtId="0" fontId="4" fillId="3" borderId="0" xfId="0" applyFont="1" applyFill="1" applyBorder="1"/>
    <xf numFmtId="0" fontId="4" fillId="3" borderId="20" xfId="0" applyFont="1" applyFill="1" applyBorder="1"/>
    <xf numFmtId="0" fontId="3" fillId="3" borderId="0" xfId="0" applyFont="1" applyFill="1" applyBorder="1"/>
    <xf numFmtId="0" fontId="3" fillId="3" borderId="21" xfId="0" applyFont="1" applyFill="1" applyBorder="1"/>
    <xf numFmtId="0" fontId="3" fillId="3" borderId="5" xfId="0" applyFont="1" applyFill="1" applyBorder="1"/>
    <xf numFmtId="0" fontId="3" fillId="3" borderId="22" xfId="0" applyFont="1" applyFill="1" applyBorder="1"/>
    <xf numFmtId="0" fontId="4" fillId="0" borderId="29" xfId="0" applyFont="1" applyBorder="1"/>
    <xf numFmtId="0" fontId="3" fillId="0" borderId="29" xfId="0" applyFont="1" applyBorder="1" applyAlignment="1">
      <alignment vertical="center"/>
    </xf>
    <xf numFmtId="165" fontId="3" fillId="0" borderId="1" xfId="1" applyNumberFormat="1" applyFont="1" applyBorder="1" applyAlignment="1">
      <alignment vertical="center"/>
    </xf>
    <xf numFmtId="9" fontId="3" fillId="0" borderId="1" xfId="2" applyFont="1" applyBorder="1" applyAlignment="1">
      <alignment vertical="center"/>
    </xf>
    <xf numFmtId="0" fontId="3" fillId="0" borderId="24" xfId="0" applyFont="1" applyBorder="1" applyAlignment="1">
      <alignment horizontal="center" vertical="center"/>
    </xf>
    <xf numFmtId="0" fontId="3" fillId="0" borderId="34" xfId="0" applyFont="1" applyBorder="1" applyAlignment="1">
      <alignment vertical="center"/>
    </xf>
    <xf numFmtId="0" fontId="4" fillId="0" borderId="29" xfId="0" applyFont="1" applyBorder="1" applyAlignment="1">
      <alignment vertical="center"/>
    </xf>
    <xf numFmtId="0" fontId="3" fillId="0" borderId="1" xfId="0" applyFont="1" applyFill="1" applyBorder="1" applyAlignment="1">
      <alignment vertical="center"/>
    </xf>
    <xf numFmtId="0" fontId="3" fillId="0" borderId="2" xfId="0" applyFont="1" applyBorder="1" applyAlignment="1">
      <alignment horizontal="left" vertical="center" wrapText="1"/>
    </xf>
    <xf numFmtId="0" fontId="3" fillId="0" borderId="24" xfId="0" applyFont="1" applyBorder="1" applyAlignment="1">
      <alignment vertical="center"/>
    </xf>
    <xf numFmtId="165" fontId="3" fillId="0" borderId="1" xfId="1" applyNumberFormat="1" applyFont="1" applyBorder="1"/>
    <xf numFmtId="0" fontId="3" fillId="0" borderId="27" xfId="0" applyFont="1" applyBorder="1"/>
    <xf numFmtId="0" fontId="3" fillId="0" borderId="3" xfId="0" applyFont="1" applyBorder="1"/>
    <xf numFmtId="0" fontId="3" fillId="4" borderId="1" xfId="0" applyFont="1" applyFill="1" applyBorder="1"/>
    <xf numFmtId="9" fontId="3" fillId="0" borderId="1" xfId="2" applyFont="1" applyFill="1" applyBorder="1"/>
    <xf numFmtId="0" fontId="3" fillId="0" borderId="34" xfId="0" applyFont="1" applyBorder="1"/>
    <xf numFmtId="0" fontId="3" fillId="0" borderId="3" xfId="0" applyFont="1" applyBorder="1" applyAlignment="1">
      <alignment vertical="center"/>
    </xf>
    <xf numFmtId="0" fontId="3" fillId="0" borderId="27" xfId="0" applyFont="1" applyBorder="1" applyAlignment="1">
      <alignment horizontal="center" vertical="center"/>
    </xf>
    <xf numFmtId="0" fontId="3" fillId="0" borderId="3" xfId="0" applyFont="1" applyBorder="1" applyAlignment="1">
      <alignment horizontal="left" vertical="center" wrapText="1"/>
    </xf>
    <xf numFmtId="165" fontId="3" fillId="0" borderId="7" xfId="0" applyNumberFormat="1" applyFont="1" applyBorder="1"/>
    <xf numFmtId="0" fontId="3" fillId="0" borderId="26" xfId="0" applyFont="1" applyBorder="1"/>
    <xf numFmtId="0" fontId="4" fillId="7" borderId="24" xfId="0" applyFont="1" applyFill="1" applyBorder="1" applyAlignment="1">
      <alignment vertical="center"/>
    </xf>
    <xf numFmtId="0" fontId="4" fillId="7" borderId="29" xfId="0" applyFont="1" applyFill="1" applyBorder="1" applyAlignment="1">
      <alignment vertical="center"/>
    </xf>
    <xf numFmtId="0" fontId="4" fillId="7" borderId="1" xfId="0" applyFont="1" applyFill="1" applyBorder="1" applyAlignment="1">
      <alignment vertical="center"/>
    </xf>
    <xf numFmtId="0" fontId="3" fillId="7" borderId="1" xfId="0" applyFont="1" applyFill="1" applyBorder="1" applyAlignment="1">
      <alignment vertical="center"/>
    </xf>
    <xf numFmtId="0" fontId="3" fillId="7" borderId="23" xfId="0" applyFont="1" applyFill="1" applyBorder="1" applyAlignment="1">
      <alignment vertical="center"/>
    </xf>
    <xf numFmtId="0" fontId="3" fillId="7" borderId="24" xfId="0" applyFont="1" applyFill="1" applyBorder="1" applyAlignment="1">
      <alignment vertical="center"/>
    </xf>
    <xf numFmtId="165" fontId="3" fillId="7" borderId="1" xfId="1" applyNumberFormat="1" applyFont="1" applyFill="1" applyBorder="1" applyAlignment="1">
      <alignment vertical="center"/>
    </xf>
    <xf numFmtId="9" fontId="3" fillId="7" borderId="1" xfId="2" applyFont="1" applyFill="1" applyBorder="1" applyAlignment="1">
      <alignment vertical="center"/>
    </xf>
    <xf numFmtId="0" fontId="3" fillId="7" borderId="2" xfId="0" applyFont="1" applyFill="1" applyBorder="1" applyAlignment="1">
      <alignment horizontal="left" vertical="center" wrapText="1"/>
    </xf>
    <xf numFmtId="0" fontId="3" fillId="7" borderId="29" xfId="0" applyFont="1" applyFill="1" applyBorder="1" applyAlignment="1">
      <alignment vertical="center"/>
    </xf>
    <xf numFmtId="15" fontId="3" fillId="7" borderId="1" xfId="0" applyNumberFormat="1" applyFont="1" applyFill="1" applyBorder="1" applyAlignment="1">
      <alignment vertical="center" wrapText="1"/>
    </xf>
    <xf numFmtId="165" fontId="0" fillId="0" borderId="1" xfId="1" applyNumberFormat="1" applyFont="1" applyBorder="1"/>
    <xf numFmtId="165" fontId="0" fillId="7" borderId="1" xfId="1" applyNumberFormat="1" applyFont="1" applyFill="1" applyBorder="1"/>
    <xf numFmtId="165" fontId="0" fillId="0" borderId="1" xfId="1" applyNumberFormat="1" applyFont="1" applyFill="1" applyBorder="1"/>
    <xf numFmtId="165" fontId="11" fillId="0" borderId="1" xfId="1" applyNumberFormat="1" applyFont="1" applyBorder="1"/>
    <xf numFmtId="165" fontId="11" fillId="7" borderId="1" xfId="1" applyNumberFormat="1" applyFont="1" applyFill="1" applyBorder="1"/>
    <xf numFmtId="165" fontId="11" fillId="0" borderId="1" xfId="0" applyNumberFormat="1" applyFont="1" applyBorder="1"/>
    <xf numFmtId="165" fontId="11" fillId="7" borderId="1" xfId="0" applyNumberFormat="1" applyFont="1" applyFill="1" applyBorder="1"/>
    <xf numFmtId="0" fontId="23" fillId="0" borderId="1" xfId="0" quotePrefix="1" applyFont="1" applyBorder="1"/>
    <xf numFmtId="0" fontId="1" fillId="0" borderId="1" xfId="0" quotePrefix="1" applyFont="1" applyFill="1" applyBorder="1"/>
    <xf numFmtId="165" fontId="1" fillId="0" borderId="1" xfId="1" applyNumberFormat="1" applyFont="1" applyBorder="1"/>
    <xf numFmtId="0" fontId="1" fillId="0" borderId="1" xfId="0" quotePrefix="1" applyFont="1" applyBorder="1" applyAlignment="1">
      <alignment horizontal="left" wrapText="1"/>
    </xf>
    <xf numFmtId="0" fontId="0" fillId="0" borderId="1" xfId="0" applyBorder="1" applyAlignment="1">
      <alignment wrapText="1"/>
    </xf>
    <xf numFmtId="0" fontId="11" fillId="0" borderId="1" xfId="0" applyFont="1" applyBorder="1" applyAlignment="1"/>
    <xf numFmtId="0" fontId="11" fillId="0" borderId="1" xfId="0" applyFont="1" applyBorder="1" applyAlignment="1">
      <alignment wrapText="1"/>
    </xf>
    <xf numFmtId="165" fontId="11" fillId="8" borderId="1" xfId="0" applyNumberFormat="1" applyFont="1" applyFill="1" applyBorder="1"/>
    <xf numFmtId="0" fontId="11" fillId="3" borderId="1" xfId="0" applyFont="1" applyFill="1" applyBorder="1"/>
    <xf numFmtId="0" fontId="9" fillId="0" borderId="1" xfId="0" applyFont="1" applyBorder="1" applyAlignment="1"/>
    <xf numFmtId="0" fontId="3" fillId="0" borderId="6" xfId="0" applyFont="1" applyBorder="1" applyAlignment="1">
      <alignment vertical="center"/>
    </xf>
    <xf numFmtId="165" fontId="3" fillId="0" borderId="3" xfId="1" applyNumberFormat="1" applyFont="1" applyBorder="1"/>
    <xf numFmtId="0" fontId="3" fillId="0" borderId="2" xfId="0" applyFont="1" applyBorder="1" applyAlignment="1">
      <alignment horizontal="left" vertical="center" wrapText="1"/>
    </xf>
    <xf numFmtId="166" fontId="18" fillId="5" borderId="1" xfId="3" applyNumberFormat="1" applyFont="1" applyBorder="1" applyAlignment="1">
      <alignment horizontal="center" vertical="center"/>
    </xf>
    <xf numFmtId="17" fontId="0" fillId="0" borderId="1" xfId="0" applyNumberFormat="1" applyBorder="1"/>
    <xf numFmtId="17" fontId="0" fillId="0" borderId="1" xfId="0" applyNumberFormat="1" applyFill="1" applyBorder="1"/>
    <xf numFmtId="0" fontId="21" fillId="4" borderId="35" xfId="5" applyFill="1" applyBorder="1" applyAlignment="1">
      <alignment vertical="center" wrapText="1"/>
    </xf>
    <xf numFmtId="0" fontId="21" fillId="4" borderId="34" xfId="5" applyFill="1" applyBorder="1" applyAlignment="1">
      <alignment vertical="center" wrapText="1"/>
    </xf>
    <xf numFmtId="0" fontId="11" fillId="4" borderId="1" xfId="0" applyFont="1" applyFill="1" applyBorder="1" applyAlignment="1">
      <alignment horizontal="center" vertical="center" wrapText="1"/>
    </xf>
    <xf numFmtId="167" fontId="0" fillId="0" borderId="1" xfId="0" applyNumberFormat="1" applyBorder="1" applyAlignment="1">
      <alignment vertical="center"/>
    </xf>
    <xf numFmtId="9" fontId="0" fillId="0" borderId="1" xfId="2" applyFont="1" applyBorder="1" applyAlignment="1">
      <alignment horizontal="center" vertical="center"/>
    </xf>
    <xf numFmtId="167" fontId="0" fillId="0" borderId="1" xfId="0" applyNumberFormat="1" applyBorder="1"/>
    <xf numFmtId="9" fontId="0" fillId="10" borderId="1" xfId="2" applyFont="1" applyFill="1" applyBorder="1" applyAlignment="1">
      <alignment horizontal="center" vertical="center"/>
    </xf>
    <xf numFmtId="167" fontId="26" fillId="0" borderId="1" xfId="0" applyNumberFormat="1" applyFont="1" applyBorder="1"/>
    <xf numFmtId="0" fontId="0" fillId="7" borderId="1" xfId="0" applyFill="1" applyBorder="1" applyAlignment="1">
      <alignment vertical="center" wrapText="1"/>
    </xf>
    <xf numFmtId="0" fontId="3" fillId="0" borderId="2" xfId="0" applyFont="1" applyBorder="1" applyAlignment="1">
      <alignment horizontal="left" vertical="center" wrapText="1"/>
    </xf>
    <xf numFmtId="0" fontId="4" fillId="3" borderId="24" xfId="0" applyFont="1" applyFill="1" applyBorder="1" applyAlignment="1">
      <alignment vertical="center"/>
    </xf>
    <xf numFmtId="0" fontId="4" fillId="3" borderId="29" xfId="0" applyFont="1" applyFill="1" applyBorder="1" applyAlignment="1">
      <alignment vertical="center"/>
    </xf>
    <xf numFmtId="0" fontId="4" fillId="3" borderId="1" xfId="0" applyFont="1" applyFill="1" applyBorder="1" applyAlignment="1">
      <alignment vertical="center"/>
    </xf>
    <xf numFmtId="0" fontId="3" fillId="3" borderId="1" xfId="0" applyFont="1" applyFill="1" applyBorder="1" applyAlignment="1">
      <alignment vertical="center"/>
    </xf>
    <xf numFmtId="0" fontId="3" fillId="3" borderId="31" xfId="0" applyFont="1" applyFill="1" applyBorder="1" applyAlignment="1">
      <alignment vertical="center"/>
    </xf>
    <xf numFmtId="6" fontId="3" fillId="3" borderId="0" xfId="0" applyNumberFormat="1" applyFont="1" applyFill="1" applyBorder="1"/>
    <xf numFmtId="0" fontId="3" fillId="0" borderId="2" xfId="0" applyFont="1" applyBorder="1" applyAlignment="1">
      <alignment horizontal="left" vertical="center" wrapText="1"/>
    </xf>
    <xf numFmtId="165" fontId="3" fillId="0" borderId="1" xfId="1" applyNumberFormat="1" applyFont="1" applyFill="1" applyBorder="1" applyAlignment="1">
      <alignment vertical="center"/>
    </xf>
    <xf numFmtId="0" fontId="1" fillId="0" borderId="1" xfId="0" applyFont="1" applyBorder="1"/>
    <xf numFmtId="0" fontId="3" fillId="0" borderId="3" xfId="0" applyFont="1" applyFill="1" applyBorder="1"/>
    <xf numFmtId="9" fontId="3" fillId="0" borderId="1" xfId="2" applyFont="1" applyFill="1" applyBorder="1" applyAlignment="1">
      <alignment vertical="center"/>
    </xf>
    <xf numFmtId="15" fontId="3" fillId="0" borderId="3" xfId="0" applyNumberFormat="1" applyFont="1" applyFill="1" applyBorder="1" applyAlignment="1">
      <alignment vertical="center" wrapText="1"/>
    </xf>
    <xf numFmtId="0" fontId="3" fillId="0" borderId="3" xfId="0" applyFont="1" applyFill="1" applyBorder="1" applyAlignment="1">
      <alignment vertical="center"/>
    </xf>
    <xf numFmtId="0" fontId="3" fillId="0" borderId="2" xfId="0" applyFont="1" applyFill="1" applyBorder="1"/>
    <xf numFmtId="0" fontId="3" fillId="0" borderId="2" xfId="0" applyFont="1" applyFill="1" applyBorder="1" applyAlignment="1">
      <alignment horizontal="left" vertical="center" wrapText="1"/>
    </xf>
    <xf numFmtId="0" fontId="7" fillId="2" borderId="11" xfId="0" applyFont="1" applyFill="1" applyBorder="1" applyAlignment="1">
      <alignment horizontal="center"/>
    </xf>
    <xf numFmtId="0" fontId="7" fillId="2" borderId="12" xfId="0" applyFont="1" applyFill="1" applyBorder="1" applyAlignment="1">
      <alignment horizontal="center"/>
    </xf>
    <xf numFmtId="0" fontId="22" fillId="2" borderId="12" xfId="0" applyFont="1" applyFill="1" applyBorder="1" applyAlignment="1">
      <alignment horizontal="center"/>
    </xf>
    <xf numFmtId="0" fontId="7" fillId="2" borderId="13" xfId="0" applyFont="1" applyFill="1" applyBorder="1" applyAlignment="1">
      <alignment horizontal="center"/>
    </xf>
    <xf numFmtId="0" fontId="2" fillId="0" borderId="19" xfId="0" applyFont="1" applyBorder="1" applyAlignment="1">
      <alignment horizontal="left" vertical="top" wrapText="1"/>
    </xf>
    <xf numFmtId="0" fontId="2" fillId="0" borderId="0" xfId="0" applyFont="1" applyBorder="1" applyAlignment="1">
      <alignment horizontal="left" vertical="top" wrapText="1"/>
    </xf>
    <xf numFmtId="0" fontId="2" fillId="0" borderId="20" xfId="0" applyFont="1" applyBorder="1" applyAlignment="1">
      <alignment horizontal="left" vertical="top" wrapText="1"/>
    </xf>
    <xf numFmtId="0" fontId="4" fillId="0" borderId="25" xfId="0" applyFont="1" applyBorder="1" applyAlignment="1">
      <alignment horizontal="center"/>
    </xf>
    <xf numFmtId="0" fontId="4" fillId="0" borderId="10" xfId="0" applyFont="1" applyBorder="1" applyAlignment="1">
      <alignment horizontal="center"/>
    </xf>
    <xf numFmtId="0" fontId="3" fillId="0" borderId="9" xfId="0" applyFont="1" applyBorder="1" applyAlignment="1">
      <alignment horizontal="center"/>
    </xf>
    <xf numFmtId="0" fontId="4" fillId="0" borderId="8" xfId="0" applyFont="1" applyBorder="1" applyAlignment="1"/>
    <xf numFmtId="0" fontId="3" fillId="0" borderId="10" xfId="0" applyFont="1" applyBorder="1" applyAlignment="1"/>
    <xf numFmtId="0" fontId="3" fillId="0" borderId="9" xfId="0" applyFont="1" applyBorder="1" applyAlignment="1"/>
    <xf numFmtId="0" fontId="4" fillId="0" borderId="16" xfId="0" applyFont="1" applyBorder="1" applyAlignment="1">
      <alignment horizontal="left"/>
    </xf>
    <xf numFmtId="0" fontId="4" fillId="0" borderId="28" xfId="0" applyFont="1" applyBorder="1" applyAlignment="1">
      <alignment horizontal="left"/>
    </xf>
    <xf numFmtId="0" fontId="3" fillId="0" borderId="2" xfId="0" applyFont="1" applyBorder="1" applyAlignment="1">
      <alignment horizontal="left"/>
    </xf>
    <xf numFmtId="0" fontId="4" fillId="0" borderId="14" xfId="0" applyFont="1" applyBorder="1" applyAlignment="1">
      <alignment horizontal="left"/>
    </xf>
    <xf numFmtId="0" fontId="4" fillId="0" borderId="27" xfId="0" applyFont="1" applyBorder="1" applyAlignment="1">
      <alignment horizontal="left"/>
    </xf>
    <xf numFmtId="0" fontId="3" fillId="0" borderId="3" xfId="0" applyFont="1" applyBorder="1" applyAlignment="1"/>
    <xf numFmtId="0" fontId="4" fillId="3" borderId="17" xfId="0" applyFont="1" applyFill="1" applyBorder="1" applyAlignment="1"/>
    <xf numFmtId="0" fontId="4" fillId="3" borderId="6" xfId="0" applyFont="1" applyFill="1" applyBorder="1" applyAlignment="1"/>
    <xf numFmtId="0" fontId="3" fillId="3" borderId="6" xfId="0" applyFont="1" applyFill="1" applyBorder="1" applyAlignment="1"/>
    <xf numFmtId="0" fontId="3" fillId="3" borderId="18" xfId="0" applyFont="1" applyFill="1" applyBorder="1" applyAlignment="1"/>
    <xf numFmtId="0" fontId="7" fillId="2" borderId="32"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4" fillId="0" borderId="31" xfId="0" applyFont="1" applyBorder="1" applyAlignment="1">
      <alignment horizontal="left" wrapText="1"/>
    </xf>
    <xf numFmtId="0" fontId="3" fillId="0" borderId="6" xfId="0" applyFont="1" applyBorder="1" applyAlignment="1">
      <alignment wrapText="1"/>
    </xf>
    <xf numFmtId="0" fontId="2" fillId="0" borderId="25" xfId="0" applyFont="1" applyBorder="1" applyAlignment="1">
      <alignment horizontal="left" wrapText="1"/>
    </xf>
    <xf numFmtId="0" fontId="2" fillId="0" borderId="10" xfId="0" applyFont="1" applyBorder="1" applyAlignment="1">
      <alignment horizontal="left" wrapText="1"/>
    </xf>
    <xf numFmtId="0" fontId="3" fillId="0" borderId="10" xfId="0" applyFont="1" applyBorder="1" applyAlignment="1">
      <alignment horizontal="left" wrapText="1"/>
    </xf>
    <xf numFmtId="0" fontId="3" fillId="0" borderId="30" xfId="0" applyFont="1" applyBorder="1" applyAlignment="1">
      <alignment horizontal="left" wrapText="1"/>
    </xf>
    <xf numFmtId="0" fontId="2" fillId="0" borderId="25" xfId="0" applyFont="1" applyBorder="1" applyAlignment="1">
      <alignment horizontal="left" vertical="top" wrapText="1"/>
    </xf>
    <xf numFmtId="0" fontId="2" fillId="0" borderId="10" xfId="0" applyFont="1" applyBorder="1" applyAlignment="1">
      <alignment horizontal="left" vertical="top" wrapText="1"/>
    </xf>
    <xf numFmtId="0" fontId="2" fillId="0" borderId="30" xfId="0" applyFont="1" applyBorder="1" applyAlignment="1">
      <alignment horizontal="left" vertical="top" wrapText="1"/>
    </xf>
    <xf numFmtId="0" fontId="6" fillId="0" borderId="25" xfId="0" applyFont="1" applyBorder="1" applyAlignment="1">
      <alignment horizontal="left" vertical="top" wrapText="1"/>
    </xf>
    <xf numFmtId="0" fontId="6" fillId="0" borderId="10" xfId="0" applyFont="1" applyBorder="1" applyAlignment="1">
      <alignment horizontal="left" vertical="top" wrapText="1"/>
    </xf>
    <xf numFmtId="0" fontId="3" fillId="0" borderId="10" xfId="0" applyFont="1" applyBorder="1" applyAlignment="1">
      <alignment horizontal="left" vertical="top" wrapText="1"/>
    </xf>
    <xf numFmtId="0" fontId="3" fillId="0" borderId="30" xfId="0" applyFont="1" applyBorder="1" applyAlignment="1">
      <alignment horizontal="left" vertical="top"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2" fillId="0" borderId="19" xfId="0" applyFont="1" applyBorder="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20" xfId="0" applyFont="1" applyBorder="1" applyAlignment="1">
      <alignment horizontal="left" vertical="center" wrapText="1"/>
    </xf>
    <xf numFmtId="0" fontId="7" fillId="2" borderId="14"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Fill="1" applyBorder="1" applyAlignment="1">
      <alignment horizontal="left" vertical="center"/>
    </xf>
    <xf numFmtId="0" fontId="4" fillId="0" borderId="3" xfId="0" applyFont="1" applyBorder="1" applyAlignment="1">
      <alignment wrapText="1"/>
    </xf>
    <xf numFmtId="0" fontId="4" fillId="0" borderId="1" xfId="0" applyFont="1" applyBorder="1" applyAlignment="1">
      <alignment horizontal="left"/>
    </xf>
    <xf numFmtId="0" fontId="3" fillId="0" borderId="1" xfId="0" applyFont="1" applyBorder="1" applyAlignment="1">
      <alignment horizontal="left"/>
    </xf>
    <xf numFmtId="0" fontId="21" fillId="4" borderId="35" xfId="5" applyFill="1" applyBorder="1" applyAlignment="1">
      <alignment horizontal="left" vertical="center" wrapText="1"/>
    </xf>
    <xf numFmtId="0" fontId="21" fillId="4" borderId="34" xfId="5" applyFill="1" applyBorder="1" applyAlignment="1">
      <alignment horizontal="left" vertical="center" wrapText="1"/>
    </xf>
    <xf numFmtId="0" fontId="9" fillId="0" borderId="3" xfId="0" applyFont="1" applyBorder="1" applyAlignment="1">
      <alignment horizontal="left"/>
    </xf>
    <xf numFmtId="0" fontId="9" fillId="0" borderId="4" xfId="0" applyFont="1" applyBorder="1" applyAlignment="1">
      <alignment horizontal="left"/>
    </xf>
    <xf numFmtId="0" fontId="9" fillId="0" borderId="2" xfId="0" applyFont="1" applyBorder="1" applyAlignment="1">
      <alignment horizontal="left"/>
    </xf>
    <xf numFmtId="0" fontId="11" fillId="0" borderId="35" xfId="0" applyFont="1" applyBorder="1" applyAlignment="1">
      <alignment horizontal="left"/>
    </xf>
    <xf numFmtId="0" fontId="11" fillId="0" borderId="34" xfId="0" applyFont="1" applyBorder="1" applyAlignment="1">
      <alignment horizontal="left"/>
    </xf>
    <xf numFmtId="0" fontId="11" fillId="0" borderId="29" xfId="0" applyFont="1" applyBorder="1" applyAlignment="1">
      <alignment horizontal="left"/>
    </xf>
    <xf numFmtId="0" fontId="11" fillId="0" borderId="1" xfId="0" applyFont="1" applyBorder="1" applyAlignment="1">
      <alignment horizontal="left"/>
    </xf>
    <xf numFmtId="0" fontId="9" fillId="0" borderId="3" xfId="0" applyFont="1" applyFill="1" applyBorder="1" applyAlignment="1">
      <alignment horizontal="left"/>
    </xf>
    <xf numFmtId="0" fontId="9" fillId="0" borderId="2" xfId="0" applyFont="1" applyFill="1" applyBorder="1" applyAlignment="1">
      <alignment horizontal="left"/>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9" fillId="0" borderId="3" xfId="0" applyFont="1" applyFill="1" applyBorder="1" applyAlignment="1">
      <alignment horizontal="left" vertical="center"/>
    </xf>
    <xf numFmtId="0" fontId="9" fillId="0" borderId="2" xfId="0" applyFont="1" applyFill="1" applyBorder="1" applyAlignment="1">
      <alignment horizontal="left" vertical="center"/>
    </xf>
    <xf numFmtId="0" fontId="9" fillId="0" borderId="3" xfId="0" applyFont="1" applyBorder="1" applyAlignment="1">
      <alignment horizontal="left" vertical="center"/>
    </xf>
    <xf numFmtId="0" fontId="9" fillId="0" borderId="2" xfId="0" applyFont="1" applyBorder="1" applyAlignment="1">
      <alignment horizontal="left" vertical="center"/>
    </xf>
    <xf numFmtId="0" fontId="13" fillId="0" borderId="1" xfId="0" applyFont="1" applyBorder="1" applyAlignment="1">
      <alignment horizontal="center" vertical="center"/>
    </xf>
    <xf numFmtId="0" fontId="14" fillId="0" borderId="1" xfId="0" applyFont="1" applyBorder="1" applyAlignment="1">
      <alignment horizontal="left" vertical="center" wrapText="1"/>
    </xf>
    <xf numFmtId="0" fontId="15" fillId="0" borderId="35" xfId="0" applyFont="1" applyBorder="1" applyAlignment="1">
      <alignment horizontal="left" vertical="center" wrapText="1"/>
    </xf>
    <xf numFmtId="0" fontId="15" fillId="0" borderId="34" xfId="0" applyFont="1" applyBorder="1" applyAlignment="1">
      <alignment horizontal="left" vertical="center" wrapText="1"/>
    </xf>
    <xf numFmtId="166" fontId="18" fillId="5" borderId="1" xfId="3" applyNumberFormat="1" applyFont="1" applyBorder="1" applyAlignment="1">
      <alignment horizontal="center" vertical="center"/>
    </xf>
    <xf numFmtId="0" fontId="9" fillId="0" borderId="31" xfId="0" applyFont="1" applyBorder="1" applyAlignment="1">
      <alignment horizontal="left"/>
    </xf>
    <xf numFmtId="0" fontId="9" fillId="0" borderId="37" xfId="0" applyFont="1" applyBorder="1" applyAlignment="1">
      <alignment horizontal="left"/>
    </xf>
    <xf numFmtId="0" fontId="24" fillId="9" borderId="1" xfId="0" applyFont="1" applyFill="1" applyBorder="1" applyAlignment="1">
      <alignment horizontal="center"/>
    </xf>
    <xf numFmtId="0" fontId="25" fillId="9" borderId="1" xfId="0" applyFont="1" applyFill="1" applyBorder="1" applyAlignment="1">
      <alignment horizontal="center"/>
    </xf>
    <xf numFmtId="0" fontId="0" fillId="11" borderId="1" xfId="0" applyFill="1" applyBorder="1" applyAlignment="1">
      <alignment horizontal="left" wrapText="1"/>
    </xf>
    <xf numFmtId="165" fontId="0" fillId="3" borderId="1" xfId="1" applyNumberFormat="1" applyFont="1" applyFill="1" applyBorder="1"/>
    <xf numFmtId="165" fontId="23" fillId="3" borderId="1" xfId="1" applyNumberFormat="1" applyFont="1" applyFill="1" applyBorder="1"/>
    <xf numFmtId="0" fontId="11" fillId="3" borderId="1" xfId="0" applyFont="1" applyFill="1" applyBorder="1" applyAlignment="1">
      <alignment horizontal="left"/>
    </xf>
    <xf numFmtId="165" fontId="11" fillId="3" borderId="1" xfId="1" applyNumberFormat="1" applyFont="1" applyFill="1" applyBorder="1"/>
    <xf numFmtId="165" fontId="11" fillId="3" borderId="1" xfId="0" applyNumberFormat="1" applyFont="1" applyFill="1" applyBorder="1"/>
    <xf numFmtId="0" fontId="11" fillId="3" borderId="0" xfId="0" applyFont="1" applyFill="1"/>
    <xf numFmtId="0" fontId="0" fillId="3" borderId="1" xfId="0" quotePrefix="1" applyFill="1" applyBorder="1" applyAlignment="1">
      <alignment wrapText="1"/>
    </xf>
    <xf numFmtId="17" fontId="0" fillId="3" borderId="1" xfId="0" applyNumberFormat="1" applyFill="1" applyBorder="1"/>
    <xf numFmtId="0" fontId="0" fillId="3" borderId="1" xfId="0" applyFill="1" applyBorder="1"/>
    <xf numFmtId="165" fontId="1" fillId="3" borderId="1" xfId="1" applyNumberFormat="1" applyFont="1" applyFill="1" applyBorder="1"/>
  </cellXfs>
  <cellStyles count="6">
    <cellStyle name="40% - Accent1 2" xfId="4"/>
    <cellStyle name="60% - Accent1 2" xfId="3"/>
    <cellStyle name="Heading 3 2" xfId="5"/>
    <cellStyle name="Moneda" xfId="1" builtinId="4"/>
    <cellStyle name="Normal" xfId="0" builtinId="0"/>
    <cellStyle name="Porcentaj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5"/>
  <sheetViews>
    <sheetView showGridLines="0" tabSelected="1" topLeftCell="B1" zoomScale="70" zoomScaleNormal="70" workbookViewId="0">
      <selection activeCell="D11" sqref="D11"/>
    </sheetView>
  </sheetViews>
  <sheetFormatPr baseColWidth="10" defaultColWidth="9.109375" defaultRowHeight="13.8" x14ac:dyDescent="0.3"/>
  <cols>
    <col min="1" max="1" width="2.44140625" style="1" customWidth="1"/>
    <col min="2" max="2" width="4.88671875" style="1" customWidth="1"/>
    <col min="3" max="3" width="4.6640625" style="1" customWidth="1"/>
    <col min="4" max="4" width="87.33203125" style="1" bestFit="1" customWidth="1"/>
    <col min="5" max="5" width="12.5546875" style="1" customWidth="1"/>
    <col min="6" max="6" width="11.88671875" style="1" customWidth="1"/>
    <col min="7" max="7" width="13.5546875" style="1" customWidth="1"/>
    <col min="8" max="8" width="12.5546875" style="1" bestFit="1" customWidth="1"/>
    <col min="9" max="9" width="13.5546875" style="1" customWidth="1"/>
    <col min="10" max="10" width="18" style="1" customWidth="1"/>
    <col min="11" max="11" width="11.5546875" style="1" customWidth="1"/>
    <col min="12" max="12" width="112.33203125" style="1" customWidth="1"/>
    <col min="13" max="14" width="9.109375" style="1"/>
    <col min="15" max="15" width="9.109375" style="1" hidden="1" customWidth="1"/>
    <col min="16" max="16384" width="9.109375" style="1"/>
  </cols>
  <sheetData>
    <row r="1" spans="1:23" ht="20.25" customHeight="1" x14ac:dyDescent="0.3">
      <c r="J1" s="1" t="s">
        <v>9</v>
      </c>
    </row>
    <row r="2" spans="1:23" ht="20.25" customHeight="1" thickBot="1" x14ac:dyDescent="0.35">
      <c r="J2" s="1" t="s">
        <v>10</v>
      </c>
    </row>
    <row r="3" spans="1:23" ht="21" customHeight="1" x14ac:dyDescent="0.3">
      <c r="B3" s="136" t="s">
        <v>35</v>
      </c>
      <c r="C3" s="137"/>
      <c r="D3" s="138"/>
      <c r="E3" s="137"/>
      <c r="F3" s="137"/>
      <c r="G3" s="137"/>
      <c r="H3" s="137"/>
      <c r="I3" s="137"/>
      <c r="J3" s="137"/>
      <c r="K3" s="137"/>
      <c r="L3" s="139"/>
    </row>
    <row r="4" spans="1:23" ht="27" customHeight="1" x14ac:dyDescent="0.3">
      <c r="B4" s="152" t="s">
        <v>36</v>
      </c>
      <c r="C4" s="153"/>
      <c r="D4" s="154"/>
      <c r="E4" s="154"/>
      <c r="F4" s="154"/>
      <c r="G4" s="166" t="s">
        <v>95</v>
      </c>
      <c r="H4" s="167"/>
      <c r="I4" s="167"/>
      <c r="J4" s="167"/>
      <c r="K4" s="190" t="s">
        <v>311</v>
      </c>
      <c r="L4" s="190"/>
    </row>
    <row r="5" spans="1:23" ht="16.5" customHeight="1" x14ac:dyDescent="0.3">
      <c r="B5" s="149" t="s">
        <v>39</v>
      </c>
      <c r="C5" s="150"/>
      <c r="D5" s="151"/>
      <c r="E5" s="151"/>
      <c r="F5" s="151"/>
      <c r="G5" s="191" t="s">
        <v>40</v>
      </c>
      <c r="H5" s="192"/>
      <c r="I5" s="192"/>
      <c r="J5" s="192"/>
      <c r="K5" s="192"/>
      <c r="L5" s="192"/>
    </row>
    <row r="6" spans="1:23" ht="21" customHeight="1" x14ac:dyDescent="0.3">
      <c r="B6" s="155" t="s">
        <v>310</v>
      </c>
      <c r="C6" s="156"/>
      <c r="D6" s="157"/>
      <c r="E6" s="157"/>
      <c r="F6" s="157"/>
      <c r="G6" s="157"/>
      <c r="H6" s="157"/>
      <c r="I6" s="157"/>
      <c r="J6" s="157"/>
      <c r="K6" s="157"/>
      <c r="L6" s="158"/>
      <c r="O6" s="37" t="s">
        <v>16</v>
      </c>
    </row>
    <row r="7" spans="1:23" ht="22.5" customHeight="1" x14ac:dyDescent="0.3">
      <c r="A7" s="1" t="s">
        <v>3</v>
      </c>
      <c r="B7" s="48" t="s">
        <v>4</v>
      </c>
      <c r="C7" s="49"/>
      <c r="D7" s="50"/>
      <c r="E7" s="51" t="s">
        <v>41</v>
      </c>
      <c r="F7" s="52"/>
      <c r="G7" s="52"/>
      <c r="H7" s="126">
        <v>243154</v>
      </c>
      <c r="I7" s="51" t="s">
        <v>42</v>
      </c>
      <c r="J7" s="52"/>
      <c r="K7" s="126">
        <v>56846</v>
      </c>
      <c r="L7" s="51"/>
      <c r="O7" s="37" t="s">
        <v>17</v>
      </c>
    </row>
    <row r="8" spans="1:23" ht="12" customHeight="1" x14ac:dyDescent="0.3">
      <c r="B8" s="53"/>
      <c r="C8" s="54"/>
      <c r="D8" s="54"/>
      <c r="E8" s="54"/>
      <c r="F8" s="54"/>
      <c r="G8" s="54"/>
      <c r="H8" s="54"/>
      <c r="I8" s="54"/>
      <c r="J8" s="54"/>
      <c r="K8" s="54"/>
      <c r="L8" s="55"/>
      <c r="O8" s="37" t="s">
        <v>18</v>
      </c>
    </row>
    <row r="9" spans="1:23" s="37" customFormat="1" ht="40.5" customHeight="1" x14ac:dyDescent="0.3">
      <c r="B9" s="159" t="s">
        <v>11</v>
      </c>
      <c r="C9" s="185" t="s">
        <v>7</v>
      </c>
      <c r="D9" s="161" t="s">
        <v>12</v>
      </c>
      <c r="E9" s="163" t="s">
        <v>27</v>
      </c>
      <c r="F9" s="163" t="s">
        <v>15</v>
      </c>
      <c r="G9" s="163" t="s">
        <v>26</v>
      </c>
      <c r="H9" s="163" t="s">
        <v>0</v>
      </c>
      <c r="I9" s="163"/>
      <c r="J9" s="161" t="s">
        <v>28</v>
      </c>
      <c r="K9" s="163" t="s">
        <v>13</v>
      </c>
      <c r="L9" s="179" t="s">
        <v>2</v>
      </c>
      <c r="M9" s="38"/>
      <c r="N9" s="39"/>
      <c r="O9" s="39"/>
      <c r="P9" s="39"/>
      <c r="Q9" s="39"/>
      <c r="R9" s="39"/>
      <c r="S9" s="39"/>
      <c r="T9" s="39"/>
      <c r="U9" s="39"/>
      <c r="V9" s="39"/>
      <c r="W9" s="39"/>
    </row>
    <row r="10" spans="1:23" ht="54" customHeight="1" x14ac:dyDescent="0.3">
      <c r="B10" s="160"/>
      <c r="C10" s="186"/>
      <c r="D10" s="162"/>
      <c r="E10" s="161"/>
      <c r="F10" s="161"/>
      <c r="G10" s="161"/>
      <c r="H10" s="36" t="s">
        <v>6</v>
      </c>
      <c r="I10" s="36" t="s">
        <v>1</v>
      </c>
      <c r="J10" s="162"/>
      <c r="K10" s="161"/>
      <c r="L10" s="180"/>
      <c r="M10" s="40"/>
      <c r="N10" s="40"/>
      <c r="O10" s="38" t="s">
        <v>19</v>
      </c>
    </row>
    <row r="11" spans="1:23" s="44" customFormat="1" ht="21.75" customHeight="1" x14ac:dyDescent="0.25">
      <c r="B11" s="77"/>
      <c r="C11" s="78"/>
      <c r="D11" s="79" t="s">
        <v>47</v>
      </c>
      <c r="E11" s="80"/>
      <c r="F11" s="80"/>
      <c r="G11" s="80"/>
      <c r="H11" s="80"/>
      <c r="I11" s="80"/>
      <c r="J11" s="80"/>
      <c r="K11" s="80"/>
      <c r="L11" s="81"/>
      <c r="O11" s="45" t="s">
        <v>20</v>
      </c>
    </row>
    <row r="12" spans="1:23" s="44" customFormat="1" ht="21.75" customHeight="1" x14ac:dyDescent="0.25">
      <c r="B12" s="121"/>
      <c r="C12" s="122"/>
      <c r="D12" s="123" t="s">
        <v>287</v>
      </c>
      <c r="E12" s="124"/>
      <c r="F12" s="124"/>
      <c r="G12" s="124"/>
      <c r="H12" s="124"/>
      <c r="I12" s="124"/>
      <c r="J12" s="124"/>
      <c r="K12" s="124"/>
      <c r="L12" s="125"/>
      <c r="O12" s="45"/>
    </row>
    <row r="13" spans="1:23" s="44" customFormat="1" ht="82.2" customHeight="1" x14ac:dyDescent="0.25">
      <c r="B13" s="60" t="s">
        <v>288</v>
      </c>
      <c r="C13" s="57"/>
      <c r="D13" s="42" t="s">
        <v>102</v>
      </c>
      <c r="E13" s="58">
        <v>350</v>
      </c>
      <c r="F13" s="42" t="s">
        <v>29</v>
      </c>
      <c r="G13" s="42" t="s">
        <v>23</v>
      </c>
      <c r="H13" s="59">
        <v>1</v>
      </c>
      <c r="I13" s="59">
        <v>0</v>
      </c>
      <c r="J13" s="43" t="s">
        <v>296</v>
      </c>
      <c r="K13" s="42"/>
      <c r="L13" s="187" t="s">
        <v>329</v>
      </c>
      <c r="O13" s="45" t="s">
        <v>22</v>
      </c>
    </row>
    <row r="14" spans="1:23" s="44" customFormat="1" ht="50.4" customHeight="1" x14ac:dyDescent="0.25">
      <c r="B14" s="60" t="s">
        <v>289</v>
      </c>
      <c r="C14" s="61"/>
      <c r="D14" s="46" t="s">
        <v>103</v>
      </c>
      <c r="E14" s="58">
        <v>350</v>
      </c>
      <c r="F14" s="42" t="s">
        <v>29</v>
      </c>
      <c r="G14" s="42" t="s">
        <v>23</v>
      </c>
      <c r="H14" s="59">
        <v>1</v>
      </c>
      <c r="I14" s="59">
        <v>0</v>
      </c>
      <c r="J14" s="43" t="s">
        <v>101</v>
      </c>
      <c r="K14" s="42"/>
      <c r="L14" s="188"/>
      <c r="O14" s="45" t="s">
        <v>29</v>
      </c>
    </row>
    <row r="15" spans="1:23" s="44" customFormat="1" ht="34.950000000000003" customHeight="1" x14ac:dyDescent="0.25">
      <c r="B15" s="60"/>
      <c r="C15" s="61"/>
      <c r="D15" s="123" t="s">
        <v>290</v>
      </c>
      <c r="E15" s="58"/>
      <c r="F15" s="42"/>
      <c r="G15" s="42"/>
      <c r="H15" s="59"/>
      <c r="I15" s="59"/>
      <c r="J15" s="43"/>
      <c r="K15" s="42"/>
      <c r="L15" s="120"/>
      <c r="O15" s="45"/>
    </row>
    <row r="16" spans="1:23" s="44" customFormat="1" ht="46.2" customHeight="1" x14ac:dyDescent="0.25">
      <c r="B16" s="60" t="s">
        <v>291</v>
      </c>
      <c r="C16" s="62"/>
      <c r="D16" s="42" t="s">
        <v>297</v>
      </c>
      <c r="E16" s="128">
        <v>3432</v>
      </c>
      <c r="F16" s="42" t="s">
        <v>17</v>
      </c>
      <c r="G16" s="42" t="s">
        <v>23</v>
      </c>
      <c r="H16" s="59">
        <v>1</v>
      </c>
      <c r="I16" s="59">
        <v>0</v>
      </c>
      <c r="J16" s="63" t="s">
        <v>261</v>
      </c>
      <c r="K16" s="42"/>
      <c r="L16" s="64" t="s">
        <v>298</v>
      </c>
      <c r="O16" s="45"/>
    </row>
    <row r="17" spans="2:15" s="44" customFormat="1" ht="54.6" customHeight="1" x14ac:dyDescent="0.25">
      <c r="B17" s="60">
        <v>1.4</v>
      </c>
      <c r="C17" s="62"/>
      <c r="D17" s="42" t="s">
        <v>112</v>
      </c>
      <c r="E17" s="128">
        <v>4616</v>
      </c>
      <c r="F17" s="42" t="s">
        <v>17</v>
      </c>
      <c r="G17" s="42" t="s">
        <v>23</v>
      </c>
      <c r="H17" s="59">
        <v>1</v>
      </c>
      <c r="I17" s="59">
        <v>0</v>
      </c>
      <c r="J17" s="63" t="s">
        <v>325</v>
      </c>
      <c r="K17" s="42"/>
      <c r="L17" s="64" t="s">
        <v>314</v>
      </c>
      <c r="O17" s="45"/>
    </row>
    <row r="18" spans="2:15" s="44" customFormat="1" ht="27.6" x14ac:dyDescent="0.25">
      <c r="B18" s="60" t="s">
        <v>292</v>
      </c>
      <c r="C18" s="62"/>
      <c r="D18" s="42" t="s">
        <v>113</v>
      </c>
      <c r="E18" s="128">
        <f>12165-E14-E13</f>
        <v>11465</v>
      </c>
      <c r="F18" s="42" t="s">
        <v>17</v>
      </c>
      <c r="G18" s="42" t="s">
        <v>23</v>
      </c>
      <c r="H18" s="59">
        <v>1</v>
      </c>
      <c r="I18" s="59">
        <v>0</v>
      </c>
      <c r="J18" s="63" t="s">
        <v>101</v>
      </c>
      <c r="K18" s="42"/>
      <c r="L18" s="107" t="s">
        <v>263</v>
      </c>
      <c r="O18" s="45"/>
    </row>
    <row r="19" spans="2:15" s="44" customFormat="1" ht="29.25" customHeight="1" x14ac:dyDescent="0.25">
      <c r="B19" s="60" t="s">
        <v>294</v>
      </c>
      <c r="C19" s="62"/>
      <c r="D19" s="42" t="s">
        <v>116</v>
      </c>
      <c r="E19" s="128">
        <v>3253</v>
      </c>
      <c r="F19" s="63" t="s">
        <v>29</v>
      </c>
      <c r="G19" s="42" t="s">
        <v>23</v>
      </c>
      <c r="H19" s="59">
        <v>1</v>
      </c>
      <c r="I19" s="59">
        <v>0</v>
      </c>
      <c r="J19" s="164" t="s">
        <v>261</v>
      </c>
      <c r="K19" s="42"/>
      <c r="L19" s="127" t="s">
        <v>312</v>
      </c>
      <c r="O19" s="45"/>
    </row>
    <row r="20" spans="2:15" s="44" customFormat="1" ht="25.5" customHeight="1" x14ac:dyDescent="0.25">
      <c r="B20" s="60" t="s">
        <v>293</v>
      </c>
      <c r="C20" s="62"/>
      <c r="D20" s="42" t="s">
        <v>121</v>
      </c>
      <c r="E20" s="128">
        <v>2707</v>
      </c>
      <c r="F20" s="42" t="s">
        <v>29</v>
      </c>
      <c r="G20" s="42" t="s">
        <v>23</v>
      </c>
      <c r="H20" s="59">
        <v>1</v>
      </c>
      <c r="I20" s="59">
        <v>0</v>
      </c>
      <c r="J20" s="189"/>
      <c r="K20" s="42"/>
      <c r="L20" s="187" t="s">
        <v>318</v>
      </c>
      <c r="O20" s="45"/>
    </row>
    <row r="21" spans="2:15" s="44" customFormat="1" ht="28.5" customHeight="1" x14ac:dyDescent="0.25">
      <c r="B21" s="60" t="s">
        <v>295</v>
      </c>
      <c r="C21" s="62"/>
      <c r="D21" s="42" t="s">
        <v>114</v>
      </c>
      <c r="E21" s="128">
        <f>'GASTOS LOGISTICOS Y OPERATIVOS'!H55</f>
        <v>11494.018091625328</v>
      </c>
      <c r="F21" s="42" t="s">
        <v>29</v>
      </c>
      <c r="G21" s="42" t="s">
        <v>23</v>
      </c>
      <c r="H21" s="59">
        <v>1</v>
      </c>
      <c r="I21" s="59">
        <v>0</v>
      </c>
      <c r="J21" s="165"/>
      <c r="K21" s="42"/>
      <c r="L21" s="188"/>
      <c r="O21" s="45"/>
    </row>
    <row r="22" spans="2:15" s="44" customFormat="1" ht="18.75" customHeight="1" x14ac:dyDescent="0.25">
      <c r="B22" s="82"/>
      <c r="C22" s="78"/>
      <c r="D22" s="79" t="s">
        <v>117</v>
      </c>
      <c r="E22" s="83"/>
      <c r="F22" s="80"/>
      <c r="G22" s="80"/>
      <c r="H22" s="84"/>
      <c r="I22" s="84"/>
      <c r="J22" s="80"/>
      <c r="K22" s="80"/>
      <c r="L22" s="85"/>
      <c r="O22" s="45"/>
    </row>
    <row r="23" spans="2:15" s="44" customFormat="1" ht="27.6" x14ac:dyDescent="0.25">
      <c r="B23" s="65">
        <v>2.1</v>
      </c>
      <c r="C23" s="62"/>
      <c r="D23" s="42" t="s">
        <v>253</v>
      </c>
      <c r="E23" s="128">
        <f>'GASTOS LOGISTICOS Y OPERATIVOS'!H80</f>
        <v>21906.040268456378</v>
      </c>
      <c r="F23" s="42" t="s">
        <v>17</v>
      </c>
      <c r="G23" s="42" t="s">
        <v>23</v>
      </c>
      <c r="H23" s="59">
        <v>1</v>
      </c>
      <c r="I23" s="59">
        <v>0</v>
      </c>
      <c r="J23" s="63" t="s">
        <v>326</v>
      </c>
      <c r="K23" s="42"/>
      <c r="L23" s="107" t="s">
        <v>263</v>
      </c>
      <c r="O23" s="45"/>
    </row>
    <row r="24" spans="2:15" s="44" customFormat="1" ht="27.6" x14ac:dyDescent="0.25">
      <c r="B24" s="65">
        <v>2.2000000000000002</v>
      </c>
      <c r="C24" s="62"/>
      <c r="D24" s="42" t="s">
        <v>254</v>
      </c>
      <c r="E24" s="128">
        <f>'GASTOS LOGISTICOS Y OPERATIVOS'!P104</f>
        <v>58114.969360957119</v>
      </c>
      <c r="F24" s="42" t="s">
        <v>17</v>
      </c>
      <c r="G24" s="42" t="s">
        <v>23</v>
      </c>
      <c r="H24" s="59">
        <v>1</v>
      </c>
      <c r="I24" s="59">
        <v>0</v>
      </c>
      <c r="J24" s="63" t="s">
        <v>327</v>
      </c>
      <c r="K24" s="42"/>
      <c r="L24" s="107" t="s">
        <v>263</v>
      </c>
      <c r="O24" s="45"/>
    </row>
    <row r="25" spans="2:15" s="44" customFormat="1" ht="37.5" customHeight="1" x14ac:dyDescent="0.25">
      <c r="B25" s="65">
        <v>2.2999999999999998</v>
      </c>
      <c r="C25" s="62"/>
      <c r="D25" s="42" t="s">
        <v>255</v>
      </c>
      <c r="E25" s="128">
        <f>'GASTOS LOGISTICOS Y OPERATIVOS'!H81</f>
        <v>13462.795447913624</v>
      </c>
      <c r="F25" s="42" t="s">
        <v>29</v>
      </c>
      <c r="G25" s="42" t="s">
        <v>23</v>
      </c>
      <c r="H25" s="59">
        <v>1</v>
      </c>
      <c r="I25" s="59">
        <v>0</v>
      </c>
      <c r="J25" s="164" t="s">
        <v>261</v>
      </c>
      <c r="K25" s="42"/>
      <c r="L25" s="187" t="s">
        <v>318</v>
      </c>
      <c r="O25" s="45"/>
    </row>
    <row r="26" spans="2:15" s="44" customFormat="1" ht="37.5" customHeight="1" x14ac:dyDescent="0.25">
      <c r="B26" s="65">
        <v>2.4</v>
      </c>
      <c r="C26" s="62"/>
      <c r="D26" s="42" t="s">
        <v>256</v>
      </c>
      <c r="E26" s="58">
        <f>'GASTOS LOGISTICOS Y OPERATIVOS'!O105</f>
        <v>76691.934636708495</v>
      </c>
      <c r="F26" s="42" t="s">
        <v>29</v>
      </c>
      <c r="G26" s="42" t="s">
        <v>23</v>
      </c>
      <c r="H26" s="59">
        <v>1</v>
      </c>
      <c r="I26" s="59">
        <v>0</v>
      </c>
      <c r="J26" s="165"/>
      <c r="K26" s="42"/>
      <c r="L26" s="188"/>
      <c r="O26" s="45"/>
    </row>
    <row r="27" spans="2:15" s="44" customFormat="1" ht="22.5" customHeight="1" x14ac:dyDescent="0.25">
      <c r="B27" s="82"/>
      <c r="C27" s="78"/>
      <c r="D27" s="79" t="s">
        <v>118</v>
      </c>
      <c r="E27" s="83"/>
      <c r="F27" s="80"/>
      <c r="G27" s="80"/>
      <c r="H27" s="84"/>
      <c r="I27" s="84"/>
      <c r="J27" s="80"/>
      <c r="K27" s="80"/>
      <c r="L27" s="80"/>
      <c r="O27" s="45"/>
    </row>
    <row r="28" spans="2:15" ht="27.6" x14ac:dyDescent="0.3">
      <c r="B28" s="65">
        <v>3.1</v>
      </c>
      <c r="C28" s="56"/>
      <c r="D28" s="42" t="s">
        <v>119</v>
      </c>
      <c r="E28" s="66">
        <f>'GASTOS LOGISTICOS Y OPERATIVOS'!H128</f>
        <v>9566.2795447913613</v>
      </c>
      <c r="F28" s="42" t="s">
        <v>17</v>
      </c>
      <c r="G28" s="42" t="s">
        <v>23</v>
      </c>
      <c r="H28" s="59">
        <v>1</v>
      </c>
      <c r="I28" s="59">
        <v>0</v>
      </c>
      <c r="J28" s="63" t="s">
        <v>326</v>
      </c>
      <c r="K28" s="41"/>
      <c r="L28" s="107" t="s">
        <v>263</v>
      </c>
      <c r="O28" s="37"/>
    </row>
    <row r="29" spans="2:15" s="44" customFormat="1" ht="32.25" customHeight="1" x14ac:dyDescent="0.25">
      <c r="B29" s="65">
        <v>3.3</v>
      </c>
      <c r="C29" s="62"/>
      <c r="D29" s="42" t="s">
        <v>258</v>
      </c>
      <c r="E29" s="58">
        <v>194</v>
      </c>
      <c r="F29" s="42" t="s">
        <v>17</v>
      </c>
      <c r="G29" s="42" t="s">
        <v>23</v>
      </c>
      <c r="H29" s="59">
        <v>1</v>
      </c>
      <c r="I29" s="59">
        <v>0</v>
      </c>
      <c r="J29" s="63" t="s">
        <v>327</v>
      </c>
      <c r="K29" s="42"/>
      <c r="L29" s="107" t="s">
        <v>263</v>
      </c>
      <c r="O29" s="45"/>
    </row>
    <row r="30" spans="2:15" s="44" customFormat="1" ht="32.25" customHeight="1" x14ac:dyDescent="0.25">
      <c r="B30" s="65">
        <v>3.2</v>
      </c>
      <c r="C30" s="62"/>
      <c r="D30" s="42" t="s">
        <v>120</v>
      </c>
      <c r="E30" s="58">
        <f>'GASTOS LOGISTICOS Y OPERATIVOS'!H129</f>
        <v>7523.6766851473576</v>
      </c>
      <c r="F30" s="42" t="s">
        <v>29</v>
      </c>
      <c r="G30" s="42" t="s">
        <v>23</v>
      </c>
      <c r="H30" s="59">
        <v>1</v>
      </c>
      <c r="I30" s="59">
        <v>0</v>
      </c>
      <c r="J30" s="164" t="s">
        <v>261</v>
      </c>
      <c r="K30" s="42"/>
      <c r="L30" s="187" t="s">
        <v>115</v>
      </c>
      <c r="O30" s="45"/>
    </row>
    <row r="31" spans="2:15" s="44" customFormat="1" ht="32.25" customHeight="1" x14ac:dyDescent="0.25">
      <c r="B31" s="65">
        <v>3.3</v>
      </c>
      <c r="C31" s="62"/>
      <c r="D31" s="42" t="s">
        <v>257</v>
      </c>
      <c r="E31" s="58">
        <f>'GASTOS LOGISTICOS Y OPERATIVOS'!O147</f>
        <v>15879.778231689525</v>
      </c>
      <c r="F31" s="42" t="s">
        <v>29</v>
      </c>
      <c r="G31" s="42" t="s">
        <v>23</v>
      </c>
      <c r="H31" s="59">
        <v>1</v>
      </c>
      <c r="I31" s="59">
        <v>0</v>
      </c>
      <c r="J31" s="165"/>
      <c r="K31" s="42"/>
      <c r="L31" s="188"/>
      <c r="O31" s="45"/>
    </row>
    <row r="32" spans="2:15" ht="23.25" customHeight="1" x14ac:dyDescent="0.3">
      <c r="B32" s="82"/>
      <c r="C32" s="86"/>
      <c r="D32" s="79" t="s">
        <v>31</v>
      </c>
      <c r="E32" s="80"/>
      <c r="F32" s="80"/>
      <c r="G32" s="80"/>
      <c r="H32" s="84"/>
      <c r="I32" s="84"/>
      <c r="J32" s="87"/>
      <c r="K32" s="80"/>
      <c r="L32" s="80"/>
      <c r="O32" s="37"/>
    </row>
    <row r="33" spans="2:15" x14ac:dyDescent="0.3">
      <c r="B33" s="65">
        <v>4.0999999999999996</v>
      </c>
      <c r="C33" s="67"/>
      <c r="D33" s="68" t="s">
        <v>105</v>
      </c>
      <c r="E33" s="66">
        <v>5000</v>
      </c>
      <c r="F33" s="69" t="s">
        <v>29</v>
      </c>
      <c r="G33" s="47"/>
      <c r="H33" s="70">
        <v>1</v>
      </c>
      <c r="I33" s="59">
        <v>0</v>
      </c>
      <c r="J33" s="43" t="s">
        <v>328</v>
      </c>
      <c r="K33" s="41"/>
      <c r="L33" s="41" t="s">
        <v>30</v>
      </c>
      <c r="O33" s="37"/>
    </row>
    <row r="34" spans="2:15" x14ac:dyDescent="0.3">
      <c r="B34" s="65">
        <v>4.2</v>
      </c>
      <c r="C34" s="67"/>
      <c r="D34" s="68" t="s">
        <v>106</v>
      </c>
      <c r="E34" s="66">
        <v>8000</v>
      </c>
      <c r="F34" s="41" t="s">
        <v>44</v>
      </c>
      <c r="G34" s="42" t="s">
        <v>23</v>
      </c>
      <c r="H34" s="70">
        <v>1</v>
      </c>
      <c r="I34" s="59">
        <v>0</v>
      </c>
      <c r="J34" s="43" t="s">
        <v>328</v>
      </c>
      <c r="K34" s="41"/>
      <c r="L34" s="41" t="s">
        <v>48</v>
      </c>
      <c r="O34" s="37"/>
    </row>
    <row r="35" spans="2:15" x14ac:dyDescent="0.3">
      <c r="B35" s="65">
        <v>4.3</v>
      </c>
      <c r="C35" s="71"/>
      <c r="D35" s="68" t="s">
        <v>107</v>
      </c>
      <c r="E35" s="66">
        <v>25820</v>
      </c>
      <c r="F35" s="41" t="s">
        <v>44</v>
      </c>
      <c r="G35" s="42" t="s">
        <v>23</v>
      </c>
      <c r="H35" s="70">
        <v>1</v>
      </c>
      <c r="I35" s="59">
        <v>0</v>
      </c>
      <c r="J35" s="43" t="s">
        <v>261</v>
      </c>
      <c r="K35" s="41"/>
      <c r="L35" s="41" t="s">
        <v>48</v>
      </c>
      <c r="O35" s="37"/>
    </row>
    <row r="36" spans="2:15" s="44" customFormat="1" x14ac:dyDescent="0.3">
      <c r="B36" s="65">
        <v>4.4000000000000004</v>
      </c>
      <c r="C36" s="61"/>
      <c r="D36" s="72" t="s">
        <v>108</v>
      </c>
      <c r="E36" s="66">
        <v>17326</v>
      </c>
      <c r="F36" s="41" t="s">
        <v>44</v>
      </c>
      <c r="G36" s="42" t="s">
        <v>23</v>
      </c>
      <c r="H36" s="70">
        <v>1</v>
      </c>
      <c r="I36" s="59">
        <v>0</v>
      </c>
      <c r="J36" s="43" t="s">
        <v>261</v>
      </c>
      <c r="K36" s="42"/>
      <c r="L36" s="41" t="s">
        <v>48</v>
      </c>
      <c r="O36" s="45"/>
    </row>
    <row r="37" spans="2:15" s="44" customFormat="1" x14ac:dyDescent="0.3">
      <c r="B37" s="65">
        <v>4.5</v>
      </c>
      <c r="C37" s="105"/>
      <c r="D37" s="72" t="s">
        <v>259</v>
      </c>
      <c r="E37" s="106">
        <v>1424</v>
      </c>
      <c r="F37" s="130"/>
      <c r="G37" s="63" t="s">
        <v>23</v>
      </c>
      <c r="H37" s="70">
        <v>1</v>
      </c>
      <c r="I37" s="131">
        <v>0</v>
      </c>
      <c r="J37" s="132"/>
      <c r="K37" s="133"/>
      <c r="L37" s="134"/>
      <c r="O37" s="45"/>
    </row>
    <row r="38" spans="2:15" s="44" customFormat="1" ht="14.4" thickBot="1" x14ac:dyDescent="0.35">
      <c r="B38" s="65">
        <v>4.5999999999999996</v>
      </c>
      <c r="C38" s="73"/>
      <c r="D38" s="74" t="s">
        <v>260</v>
      </c>
      <c r="E38" s="106">
        <v>1424</v>
      </c>
      <c r="F38" s="133"/>
      <c r="G38" s="63" t="s">
        <v>23</v>
      </c>
      <c r="H38" s="70">
        <v>1</v>
      </c>
      <c r="I38" s="131">
        <v>0</v>
      </c>
      <c r="J38" s="133"/>
      <c r="K38" s="133"/>
      <c r="L38" s="135"/>
    </row>
    <row r="39" spans="2:15" ht="19.5" customHeight="1" thickBot="1" x14ac:dyDescent="0.35">
      <c r="B39" s="143" t="s">
        <v>5</v>
      </c>
      <c r="C39" s="144"/>
      <c r="D39" s="145"/>
      <c r="E39" s="75">
        <f>SUM(E13:E38)</f>
        <v>300000.4922672892</v>
      </c>
      <c r="F39" s="146" t="s">
        <v>37</v>
      </c>
      <c r="G39" s="147"/>
      <c r="H39" s="148"/>
      <c r="I39" s="146" t="s">
        <v>38</v>
      </c>
      <c r="J39" s="147"/>
      <c r="K39" s="148"/>
      <c r="L39" s="76"/>
    </row>
    <row r="40" spans="2:15" ht="58.5" customHeight="1" thickBot="1" x14ac:dyDescent="0.35">
      <c r="B40" s="172" t="s">
        <v>14</v>
      </c>
      <c r="C40" s="173"/>
      <c r="D40" s="177"/>
      <c r="E40" s="177"/>
      <c r="F40" s="177"/>
      <c r="G40" s="177"/>
      <c r="H40" s="177"/>
      <c r="I40" s="177"/>
      <c r="J40" s="177"/>
      <c r="K40" s="177"/>
      <c r="L40" s="178"/>
    </row>
    <row r="41" spans="2:15" ht="21.75" customHeight="1" thickBot="1" x14ac:dyDescent="0.35">
      <c r="B41" s="140" t="s">
        <v>46</v>
      </c>
      <c r="C41" s="141"/>
      <c r="D41" s="141"/>
      <c r="E41" s="141"/>
      <c r="F41" s="141"/>
      <c r="G41" s="141"/>
      <c r="H41" s="141"/>
      <c r="I41" s="141"/>
      <c r="J41" s="141"/>
      <c r="K41" s="141"/>
      <c r="L41" s="142"/>
    </row>
    <row r="42" spans="2:15" ht="39" customHeight="1" thickBot="1" x14ac:dyDescent="0.35">
      <c r="B42" s="172" t="s">
        <v>34</v>
      </c>
      <c r="C42" s="173"/>
      <c r="D42" s="173"/>
      <c r="E42" s="173"/>
      <c r="F42" s="173"/>
      <c r="G42" s="173"/>
      <c r="H42" s="173"/>
      <c r="I42" s="173"/>
      <c r="J42" s="173"/>
      <c r="K42" s="173"/>
      <c r="L42" s="174"/>
    </row>
    <row r="43" spans="2:15" ht="26.25" customHeight="1" thickBot="1" x14ac:dyDescent="0.35">
      <c r="B43" s="175" t="s">
        <v>32</v>
      </c>
      <c r="C43" s="176"/>
      <c r="D43" s="177"/>
      <c r="E43" s="177"/>
      <c r="F43" s="177"/>
      <c r="G43" s="177"/>
      <c r="H43" s="177"/>
      <c r="I43" s="177"/>
      <c r="J43" s="177"/>
      <c r="K43" s="177"/>
      <c r="L43" s="178"/>
    </row>
    <row r="44" spans="2:15" ht="26.25" customHeight="1" thickBot="1" x14ac:dyDescent="0.35">
      <c r="B44" s="175" t="s">
        <v>33</v>
      </c>
      <c r="C44" s="176"/>
      <c r="D44" s="177"/>
      <c r="E44" s="177"/>
      <c r="F44" s="177"/>
      <c r="G44" s="177"/>
      <c r="H44" s="177"/>
      <c r="I44" s="177"/>
      <c r="J44" s="177"/>
      <c r="K44" s="177"/>
      <c r="L44" s="178"/>
    </row>
    <row r="45" spans="2:15" ht="29.25" customHeight="1" thickBot="1" x14ac:dyDescent="0.35">
      <c r="B45" s="181" t="s">
        <v>25</v>
      </c>
      <c r="C45" s="182"/>
      <c r="D45" s="183"/>
      <c r="E45" s="183"/>
      <c r="F45" s="183"/>
      <c r="G45" s="183"/>
      <c r="H45" s="183"/>
      <c r="I45" s="183"/>
      <c r="J45" s="183"/>
      <c r="K45" s="183"/>
      <c r="L45" s="184"/>
    </row>
    <row r="46" spans="2:15" ht="30" customHeight="1" thickBot="1" x14ac:dyDescent="0.35">
      <c r="B46" s="168" t="s">
        <v>8</v>
      </c>
      <c r="C46" s="169"/>
      <c r="D46" s="170"/>
      <c r="E46" s="170"/>
      <c r="F46" s="170"/>
      <c r="G46" s="170"/>
      <c r="H46" s="170"/>
      <c r="I46" s="170"/>
      <c r="J46" s="170"/>
      <c r="K46" s="170"/>
      <c r="L46" s="171"/>
    </row>
    <row r="47" spans="2:15" x14ac:dyDescent="0.3">
      <c r="D47" s="37"/>
      <c r="E47" s="37"/>
      <c r="F47" s="37"/>
      <c r="G47" s="37"/>
      <c r="H47" s="37"/>
      <c r="I47" s="37"/>
      <c r="J47" s="37"/>
      <c r="K47" s="37"/>
      <c r="L47" s="37"/>
    </row>
    <row r="50" spans="4:5" hidden="1" x14ac:dyDescent="0.3"/>
    <row r="51" spans="4:5" hidden="1" x14ac:dyDescent="0.3">
      <c r="D51" s="1" t="s">
        <v>16</v>
      </c>
      <c r="E51" s="1" t="s">
        <v>24</v>
      </c>
    </row>
    <row r="52" spans="4:5" hidden="1" x14ac:dyDescent="0.3">
      <c r="D52" s="1" t="s">
        <v>17</v>
      </c>
      <c r="E52" s="1" t="s">
        <v>23</v>
      </c>
    </row>
    <row r="53" spans="4:5" hidden="1" x14ac:dyDescent="0.3">
      <c r="D53" s="1" t="s">
        <v>18</v>
      </c>
    </row>
    <row r="54" spans="4:5" hidden="1" x14ac:dyDescent="0.3"/>
    <row r="55" spans="4:5" hidden="1" x14ac:dyDescent="0.3">
      <c r="D55" s="1" t="s">
        <v>43</v>
      </c>
    </row>
    <row r="56" spans="4:5" hidden="1" x14ac:dyDescent="0.3">
      <c r="D56" s="1" t="s">
        <v>19</v>
      </c>
    </row>
    <row r="57" spans="4:5" hidden="1" x14ac:dyDescent="0.3">
      <c r="D57" s="1" t="s">
        <v>20</v>
      </c>
    </row>
    <row r="58" spans="4:5" hidden="1" x14ac:dyDescent="0.3">
      <c r="D58" s="1" t="s">
        <v>21</v>
      </c>
    </row>
    <row r="59" spans="4:5" hidden="1" x14ac:dyDescent="0.3">
      <c r="D59" s="1" t="s">
        <v>29</v>
      </c>
    </row>
    <row r="60" spans="4:5" hidden="1" x14ac:dyDescent="0.3">
      <c r="D60" s="1" t="s">
        <v>22</v>
      </c>
    </row>
    <row r="61" spans="4:5" hidden="1" x14ac:dyDescent="0.3"/>
    <row r="62" spans="4:5" hidden="1" x14ac:dyDescent="0.3">
      <c r="D62" s="1" t="s">
        <v>44</v>
      </c>
    </row>
    <row r="63" spans="4:5" hidden="1" x14ac:dyDescent="0.3">
      <c r="D63" s="1" t="s">
        <v>29</v>
      </c>
    </row>
    <row r="64" spans="4:5" hidden="1" x14ac:dyDescent="0.3"/>
    <row r="65" spans="4:4" hidden="1" x14ac:dyDescent="0.3">
      <c r="D65" s="1" t="s">
        <v>45</v>
      </c>
    </row>
  </sheetData>
  <mergeCells count="34">
    <mergeCell ref="K4:L4"/>
    <mergeCell ref="G5:L5"/>
    <mergeCell ref="B46:L46"/>
    <mergeCell ref="B42:L42"/>
    <mergeCell ref="B43:L43"/>
    <mergeCell ref="H9:I9"/>
    <mergeCell ref="K9:K10"/>
    <mergeCell ref="L9:L10"/>
    <mergeCell ref="B45:L45"/>
    <mergeCell ref="B40:L40"/>
    <mergeCell ref="C9:C10"/>
    <mergeCell ref="B44:L44"/>
    <mergeCell ref="L13:L14"/>
    <mergeCell ref="L25:L26"/>
    <mergeCell ref="L30:L31"/>
    <mergeCell ref="J19:J21"/>
    <mergeCell ref="J9:J10"/>
    <mergeCell ref="L20:L21"/>
    <mergeCell ref="B3:L3"/>
    <mergeCell ref="B41:L41"/>
    <mergeCell ref="B39:D39"/>
    <mergeCell ref="F39:H39"/>
    <mergeCell ref="I39:K39"/>
    <mergeCell ref="B5:F5"/>
    <mergeCell ref="B4:F4"/>
    <mergeCell ref="B6:L6"/>
    <mergeCell ref="B9:B10"/>
    <mergeCell ref="D9:D10"/>
    <mergeCell ref="E9:E10"/>
    <mergeCell ref="F9:F10"/>
    <mergeCell ref="G9:G10"/>
    <mergeCell ref="J25:J26"/>
    <mergeCell ref="J30:J31"/>
    <mergeCell ref="G4:J4"/>
  </mergeCells>
  <phoneticPr fontId="0" type="noConversion"/>
  <dataValidations count="3">
    <dataValidation type="list" allowBlank="1" showInputMessage="1" showErrorMessage="1" sqref="F38">
      <formula1>$O$6:$O$14</formula1>
    </dataValidation>
    <dataValidation type="list" allowBlank="1" showInputMessage="1" showErrorMessage="1" sqref="G13:G38">
      <formula1>$E$51:$E$52</formula1>
    </dataValidation>
    <dataValidation type="list" allowBlank="1" showInputMessage="1" showErrorMessage="1" sqref="F13:F37">
      <formula1>$D$51:$D$65</formula1>
    </dataValidation>
  </dataValidations>
  <printOptions horizontalCentered="1"/>
  <pageMargins left="0.23622047244094491" right="0.23622047244094491" top="0.6692913385826772" bottom="0.62992125984251968" header="0.27559055118110237" footer="0.35433070866141736"/>
  <pageSetup scale="40" orientation="landscape" r:id="rId1"/>
  <headerFooter alignWithMargins="0">
    <oddHeader xml:space="preserve">&amp;R&amp;8Banco Interamericano de Desarrollo
</oddHeader>
    <oddFooter>&amp;L &amp;RPágina &amp;P de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52"/>
  <sheetViews>
    <sheetView zoomScale="50" zoomScaleNormal="50" workbookViewId="0">
      <selection sqref="A1:L1"/>
    </sheetView>
  </sheetViews>
  <sheetFormatPr baseColWidth="10" defaultColWidth="8.88671875" defaultRowHeight="13.2" x14ac:dyDescent="0.25"/>
  <cols>
    <col min="1" max="1" width="9.33203125" customWidth="1"/>
    <col min="2" max="2" width="37.33203125" style="31" customWidth="1"/>
    <col min="3" max="3" width="59.6640625" customWidth="1"/>
    <col min="4" max="4" width="15.6640625" customWidth="1"/>
    <col min="5" max="5" width="7.6640625" customWidth="1"/>
    <col min="6" max="6" width="19.6640625" bestFit="1" customWidth="1"/>
    <col min="7" max="7" width="21.33203125" bestFit="1" customWidth="1"/>
    <col min="8" max="8" width="15.6640625" bestFit="1" customWidth="1"/>
    <col min="9" max="9" width="25.109375" style="31" customWidth="1"/>
    <col min="10" max="10" width="43" customWidth="1"/>
    <col min="11" max="11" width="14.5546875" bestFit="1" customWidth="1"/>
    <col min="12" max="12" width="9.44140625" customWidth="1"/>
    <col min="13" max="13" width="19.6640625" bestFit="1" customWidth="1"/>
    <col min="14" max="14" width="21" bestFit="1" customWidth="1"/>
    <col min="15" max="15" width="17.6640625" style="24" customWidth="1"/>
    <col min="16" max="16" width="15.33203125" bestFit="1" customWidth="1"/>
    <col min="17" max="17" width="20.5546875" bestFit="1" customWidth="1"/>
  </cols>
  <sheetData>
    <row r="1" spans="1:17" ht="18" x14ac:dyDescent="0.25">
      <c r="A1" s="213" t="s">
        <v>96</v>
      </c>
      <c r="B1" s="213"/>
      <c r="C1" s="213"/>
      <c r="D1" s="213"/>
      <c r="E1" s="213"/>
      <c r="F1" s="213"/>
      <c r="G1" s="213"/>
      <c r="H1" s="213"/>
      <c r="I1" s="213"/>
      <c r="J1" s="213"/>
      <c r="K1" s="213"/>
      <c r="L1" s="213"/>
      <c r="M1" s="4"/>
      <c r="O1"/>
    </row>
    <row r="2" spans="1:17" ht="13.8" x14ac:dyDescent="0.25">
      <c r="A2" s="214" t="s">
        <v>49</v>
      </c>
      <c r="B2" s="214"/>
      <c r="C2" s="214"/>
      <c r="D2" s="214"/>
      <c r="E2" s="214"/>
      <c r="F2" s="214"/>
      <c r="G2" s="214"/>
      <c r="H2" s="214"/>
      <c r="I2" s="214"/>
      <c r="J2" s="214"/>
      <c r="K2" s="214"/>
      <c r="L2" s="214"/>
      <c r="M2" s="5"/>
      <c r="O2"/>
    </row>
    <row r="3" spans="1:17" ht="48.6" customHeight="1" x14ac:dyDescent="0.25">
      <c r="A3" s="6" t="s">
        <v>50</v>
      </c>
      <c r="B3" s="215" t="s">
        <v>122</v>
      </c>
      <c r="C3" s="216"/>
      <c r="D3" s="216"/>
      <c r="E3" s="216"/>
      <c r="F3" s="216"/>
      <c r="G3" s="216"/>
      <c r="H3" s="216"/>
      <c r="I3" s="5"/>
      <c r="J3" s="7"/>
      <c r="K3" s="7"/>
      <c r="O3"/>
    </row>
    <row r="4" spans="1:17" x14ac:dyDescent="0.25">
      <c r="A4" t="s">
        <v>51</v>
      </c>
      <c r="B4" s="27">
        <v>3427</v>
      </c>
      <c r="O4"/>
    </row>
    <row r="5" spans="1:17" ht="14.4" x14ac:dyDescent="0.25">
      <c r="A5" s="8"/>
      <c r="B5" s="9"/>
      <c r="C5" s="217" t="s">
        <v>52</v>
      </c>
      <c r="D5" s="217"/>
      <c r="E5" s="217"/>
      <c r="F5" s="217"/>
      <c r="G5" s="217"/>
      <c r="H5" s="217"/>
      <c r="I5" s="217" t="s">
        <v>53</v>
      </c>
      <c r="J5" s="217"/>
      <c r="K5" s="217"/>
      <c r="L5" s="217"/>
      <c r="M5" s="217"/>
      <c r="N5" s="217"/>
      <c r="O5" s="10"/>
      <c r="P5" s="108" t="s">
        <v>61</v>
      </c>
    </row>
    <row r="6" spans="1:17" ht="28.95" customHeight="1" x14ac:dyDescent="0.25">
      <c r="A6" s="11" t="s">
        <v>54</v>
      </c>
      <c r="B6" s="12" t="s">
        <v>55</v>
      </c>
      <c r="C6" s="13" t="s">
        <v>104</v>
      </c>
      <c r="D6" s="14" t="s">
        <v>56</v>
      </c>
      <c r="E6" s="14" t="s">
        <v>57</v>
      </c>
      <c r="F6" s="13" t="s">
        <v>58</v>
      </c>
      <c r="G6" s="13" t="s">
        <v>59</v>
      </c>
      <c r="H6" s="13" t="s">
        <v>60</v>
      </c>
      <c r="I6" s="12" t="s">
        <v>55</v>
      </c>
      <c r="J6" s="13" t="s">
        <v>104</v>
      </c>
      <c r="K6" s="14" t="s">
        <v>56</v>
      </c>
      <c r="L6" s="14" t="s">
        <v>57</v>
      </c>
      <c r="M6" s="13" t="s">
        <v>58</v>
      </c>
      <c r="N6" s="13" t="s">
        <v>59</v>
      </c>
      <c r="O6" s="13" t="s">
        <v>60</v>
      </c>
      <c r="P6" s="13" t="s">
        <v>61</v>
      </c>
    </row>
    <row r="7" spans="1:17" ht="14.4" customHeight="1" x14ac:dyDescent="0.25">
      <c r="A7" s="206" t="s">
        <v>62</v>
      </c>
      <c r="B7" s="111" t="s">
        <v>109</v>
      </c>
      <c r="C7" s="112"/>
      <c r="D7" s="112"/>
      <c r="E7" s="112"/>
      <c r="F7" s="112"/>
      <c r="G7" s="112"/>
      <c r="H7" s="112"/>
      <c r="I7" s="112"/>
      <c r="J7" s="112"/>
      <c r="K7" s="112"/>
      <c r="L7" s="112"/>
      <c r="M7" s="112"/>
      <c r="N7" s="112"/>
      <c r="O7" s="112"/>
    </row>
    <row r="8" spans="1:17" x14ac:dyDescent="0.25">
      <c r="A8" s="207"/>
      <c r="B8" s="204" t="s">
        <v>299</v>
      </c>
      <c r="C8" s="25" t="s">
        <v>300</v>
      </c>
      <c r="D8" s="110">
        <v>44044</v>
      </c>
      <c r="E8" s="2">
        <v>2</v>
      </c>
      <c r="F8" s="88">
        <f>G8/E8</f>
        <v>992116.5</v>
      </c>
      <c r="G8" s="88">
        <f>H8*$B$4</f>
        <v>1984233</v>
      </c>
      <c r="H8" s="89">
        <v>579</v>
      </c>
      <c r="I8" s="32"/>
      <c r="J8" s="16"/>
      <c r="K8" s="16"/>
      <c r="L8" s="2"/>
      <c r="M8" s="2"/>
      <c r="N8" s="16">
        <f>M8*L8</f>
        <v>0</v>
      </c>
      <c r="O8" s="17">
        <f>N8/$B$4</f>
        <v>0</v>
      </c>
    </row>
    <row r="9" spans="1:17" x14ac:dyDescent="0.25">
      <c r="A9" s="207"/>
      <c r="B9" s="204"/>
      <c r="C9" s="25" t="s">
        <v>301</v>
      </c>
      <c r="D9" s="110">
        <v>44044</v>
      </c>
      <c r="E9" s="2">
        <v>2</v>
      </c>
      <c r="F9" s="88">
        <f t="shared" ref="F9:F14" si="0">G9/E9</f>
        <v>1984233</v>
      </c>
      <c r="G9" s="88">
        <f t="shared" ref="G9:G14" si="1">H9*$B$4</f>
        <v>3968466</v>
      </c>
      <c r="H9" s="89">
        <v>1158</v>
      </c>
      <c r="I9" s="32"/>
      <c r="J9" s="16"/>
      <c r="K9" s="16"/>
      <c r="L9" s="2"/>
      <c r="M9" s="2"/>
      <c r="N9" s="16">
        <f t="shared" ref="N9:N32" si="2">M9*L9</f>
        <v>0</v>
      </c>
      <c r="O9" s="17">
        <f t="shared" ref="O9:O32" si="3">N9/$B$4</f>
        <v>0</v>
      </c>
    </row>
    <row r="10" spans="1:17" x14ac:dyDescent="0.25">
      <c r="A10" s="207"/>
      <c r="B10" s="28" t="s">
        <v>302</v>
      </c>
      <c r="C10" s="25" t="s">
        <v>303</v>
      </c>
      <c r="D10" s="110">
        <v>44044</v>
      </c>
      <c r="E10" s="2">
        <v>1</v>
      </c>
      <c r="F10" s="88">
        <f t="shared" si="0"/>
        <v>226182</v>
      </c>
      <c r="G10" s="88">
        <f t="shared" si="1"/>
        <v>226182</v>
      </c>
      <c r="H10" s="89">
        <v>66</v>
      </c>
      <c r="I10" s="32"/>
      <c r="J10" s="16"/>
      <c r="K10" s="16"/>
      <c r="L10" s="2"/>
      <c r="M10" s="2"/>
      <c r="N10" s="16">
        <f t="shared" si="2"/>
        <v>0</v>
      </c>
      <c r="O10" s="17">
        <f t="shared" si="3"/>
        <v>0</v>
      </c>
    </row>
    <row r="11" spans="1:17" x14ac:dyDescent="0.25">
      <c r="A11" s="207"/>
      <c r="B11" s="205" t="s">
        <v>304</v>
      </c>
      <c r="C11" s="25" t="s">
        <v>306</v>
      </c>
      <c r="D11" s="110">
        <v>44044</v>
      </c>
      <c r="E11" s="2">
        <v>2</v>
      </c>
      <c r="F11" s="88">
        <f t="shared" si="0"/>
        <v>251884.5</v>
      </c>
      <c r="G11" s="223">
        <f t="shared" si="1"/>
        <v>503769</v>
      </c>
      <c r="H11" s="89">
        <v>147</v>
      </c>
      <c r="I11" s="32"/>
      <c r="J11" s="16"/>
      <c r="K11" s="16"/>
      <c r="L11" s="2"/>
      <c r="M11" s="2"/>
      <c r="N11" s="16">
        <f t="shared" si="2"/>
        <v>0</v>
      </c>
      <c r="O11" s="17">
        <f t="shared" si="3"/>
        <v>0</v>
      </c>
    </row>
    <row r="12" spans="1:17" x14ac:dyDescent="0.25">
      <c r="A12" s="207"/>
      <c r="B12" s="205"/>
      <c r="C12" s="25" t="s">
        <v>305</v>
      </c>
      <c r="D12" s="110">
        <v>44044</v>
      </c>
      <c r="E12" s="2">
        <v>2</v>
      </c>
      <c r="F12" s="88">
        <f t="shared" si="0"/>
        <v>342700</v>
      </c>
      <c r="G12" s="223">
        <f t="shared" si="1"/>
        <v>685400</v>
      </c>
      <c r="H12" s="89">
        <v>200</v>
      </c>
      <c r="I12" s="32"/>
      <c r="J12" s="16"/>
      <c r="K12" s="16"/>
      <c r="L12" s="2"/>
      <c r="M12" s="2"/>
      <c r="N12" s="16">
        <f t="shared" si="2"/>
        <v>0</v>
      </c>
      <c r="O12" s="17">
        <f t="shared" si="3"/>
        <v>0</v>
      </c>
    </row>
    <row r="13" spans="1:17" ht="26.4" x14ac:dyDescent="0.25">
      <c r="A13" s="207"/>
      <c r="B13" s="204" t="s">
        <v>307</v>
      </c>
      <c r="C13" s="25" t="s">
        <v>308</v>
      </c>
      <c r="D13" s="110">
        <v>44044</v>
      </c>
      <c r="E13" s="34">
        <v>2</v>
      </c>
      <c r="F13" s="90">
        <f t="shared" si="0"/>
        <v>4523640</v>
      </c>
      <c r="G13" s="223">
        <f t="shared" si="1"/>
        <v>9047280</v>
      </c>
      <c r="H13" s="89">
        <v>2640</v>
      </c>
      <c r="I13" s="32"/>
      <c r="J13" s="16"/>
      <c r="K13" s="16"/>
      <c r="L13" s="2"/>
      <c r="M13" s="2"/>
      <c r="N13" s="16">
        <f t="shared" si="2"/>
        <v>0</v>
      </c>
      <c r="O13" s="17">
        <f t="shared" si="3"/>
        <v>0</v>
      </c>
    </row>
    <row r="14" spans="1:17" ht="26.4" x14ac:dyDescent="0.25">
      <c r="A14" s="207"/>
      <c r="B14" s="204"/>
      <c r="C14" s="25" t="s">
        <v>309</v>
      </c>
      <c r="D14" s="110">
        <v>44044</v>
      </c>
      <c r="E14" s="34">
        <v>2</v>
      </c>
      <c r="F14" s="90">
        <f t="shared" si="0"/>
        <v>3247082.5</v>
      </c>
      <c r="G14" s="223">
        <f t="shared" si="1"/>
        <v>6494165</v>
      </c>
      <c r="H14" s="89">
        <v>1895</v>
      </c>
      <c r="I14" s="32"/>
      <c r="J14" s="16"/>
      <c r="K14" s="16"/>
      <c r="L14" s="2"/>
      <c r="M14" s="2"/>
      <c r="N14" s="16">
        <f t="shared" si="2"/>
        <v>0</v>
      </c>
      <c r="O14" s="17">
        <f t="shared" si="3"/>
        <v>0</v>
      </c>
    </row>
    <row r="15" spans="1:17" s="20" customFormat="1" ht="13.95" customHeight="1" x14ac:dyDescent="0.3">
      <c r="A15" s="207"/>
      <c r="B15" s="198" t="s">
        <v>65</v>
      </c>
      <c r="C15" s="199"/>
      <c r="D15" s="199"/>
      <c r="E15" s="200"/>
      <c r="F15" s="91">
        <f>SUM(F8:F14)</f>
        <v>11567838.5</v>
      </c>
      <c r="G15" s="91">
        <f>SUM(G8:G14)</f>
        <v>22909495</v>
      </c>
      <c r="H15" s="92">
        <f>SUM(H8:H14)</f>
        <v>6685</v>
      </c>
      <c r="I15" s="18"/>
      <c r="J15" s="18"/>
      <c r="K15" s="18"/>
      <c r="L15" s="19"/>
      <c r="M15" s="19"/>
      <c r="N15" s="16">
        <f t="shared" si="2"/>
        <v>0</v>
      </c>
      <c r="O15" s="17">
        <f t="shared" si="3"/>
        <v>0</v>
      </c>
      <c r="P15" s="102">
        <f>H15+O15</f>
        <v>6685</v>
      </c>
      <c r="Q15" s="103" t="s">
        <v>178</v>
      </c>
    </row>
    <row r="16" spans="1:17" s="20" customFormat="1" ht="14.4" x14ac:dyDescent="0.3">
      <c r="A16" s="207"/>
      <c r="B16" s="201" t="s">
        <v>66</v>
      </c>
      <c r="C16" s="201"/>
      <c r="D16" s="201"/>
      <c r="E16" s="201"/>
      <c r="F16" s="91">
        <f>+F8+F10+F11+F13</f>
        <v>5993823</v>
      </c>
      <c r="G16" s="91">
        <f>+G8+G10+G11+G13</f>
        <v>11761464</v>
      </c>
      <c r="H16" s="92">
        <f>+H8+H10+H11+H13</f>
        <v>3432</v>
      </c>
      <c r="I16" s="18"/>
      <c r="J16" s="18"/>
      <c r="K16" s="18"/>
      <c r="L16" s="19"/>
      <c r="M16" s="19"/>
      <c r="N16" s="16">
        <f t="shared" si="2"/>
        <v>0</v>
      </c>
      <c r="O16" s="17">
        <f t="shared" si="3"/>
        <v>0</v>
      </c>
      <c r="P16" s="102">
        <f>H16+O16</f>
        <v>3432</v>
      </c>
      <c r="Q16" s="103" t="s">
        <v>179</v>
      </c>
    </row>
    <row r="17" spans="1:17" s="20" customFormat="1" ht="14.4" x14ac:dyDescent="0.3">
      <c r="A17" s="207"/>
      <c r="B17" s="201" t="s">
        <v>67</v>
      </c>
      <c r="C17" s="201"/>
      <c r="D17" s="201"/>
      <c r="E17" s="201"/>
      <c r="F17" s="91">
        <f>+F9+F12+F14</f>
        <v>5574015.5</v>
      </c>
      <c r="G17" s="91">
        <f>+G9+G12+G14</f>
        <v>11148031</v>
      </c>
      <c r="H17" s="92">
        <f>+H9+H12+H14</f>
        <v>3253</v>
      </c>
      <c r="I17" s="18"/>
      <c r="J17" s="18"/>
      <c r="K17" s="18"/>
      <c r="L17" s="19"/>
      <c r="M17" s="19"/>
      <c r="N17" s="16">
        <f t="shared" si="2"/>
        <v>0</v>
      </c>
      <c r="O17" s="17">
        <f t="shared" si="3"/>
        <v>0</v>
      </c>
      <c r="P17" s="102">
        <f t="shared" ref="P17" si="4">H17+O17</f>
        <v>3253</v>
      </c>
      <c r="Q17" s="103" t="s">
        <v>180</v>
      </c>
    </row>
    <row r="18" spans="1:17" ht="14.4" customHeight="1" x14ac:dyDescent="0.25">
      <c r="A18" s="207"/>
      <c r="B18" s="193" t="s">
        <v>110</v>
      </c>
      <c r="C18" s="194"/>
      <c r="D18" s="194"/>
      <c r="E18" s="194"/>
      <c r="F18" s="194"/>
      <c r="G18" s="194"/>
      <c r="H18" s="194"/>
      <c r="I18" s="194"/>
      <c r="J18" s="194"/>
      <c r="K18" s="194"/>
      <c r="L18" s="194"/>
      <c r="M18" s="194"/>
      <c r="N18" s="194"/>
      <c r="O18" s="194"/>
    </row>
    <row r="19" spans="1:17" x14ac:dyDescent="0.25">
      <c r="A19" s="207"/>
      <c r="B19" s="3" t="s">
        <v>68</v>
      </c>
      <c r="C19" s="21" t="s">
        <v>69</v>
      </c>
      <c r="D19" s="109">
        <v>44256</v>
      </c>
      <c r="E19" s="2">
        <v>2</v>
      </c>
      <c r="F19" s="88">
        <v>800000</v>
      </c>
      <c r="G19" s="88">
        <f t="shared" ref="G19:G32" si="5">F19*E19</f>
        <v>1600000</v>
      </c>
      <c r="H19" s="89">
        <f t="shared" ref="H19:H32" si="6">G19/$B$4</f>
        <v>466.88065363291508</v>
      </c>
      <c r="I19" s="3" t="s">
        <v>68</v>
      </c>
      <c r="J19" s="21" t="s">
        <v>70</v>
      </c>
      <c r="K19" s="109">
        <v>44470</v>
      </c>
      <c r="L19" s="2">
        <v>2</v>
      </c>
      <c r="M19" s="97">
        <v>800000</v>
      </c>
      <c r="N19" s="88">
        <f t="shared" si="2"/>
        <v>1600000</v>
      </c>
      <c r="O19" s="89">
        <f t="shared" si="3"/>
        <v>466.88065363291508</v>
      </c>
    </row>
    <row r="20" spans="1:17" x14ac:dyDescent="0.25">
      <c r="A20" s="207"/>
      <c r="B20" s="28" t="s">
        <v>71</v>
      </c>
      <c r="C20" s="26" t="s">
        <v>72</v>
      </c>
      <c r="D20" s="109">
        <v>44256</v>
      </c>
      <c r="E20" s="2">
        <v>2</v>
      </c>
      <c r="F20" s="88">
        <v>264000</v>
      </c>
      <c r="G20" s="88">
        <f t="shared" si="5"/>
        <v>528000</v>
      </c>
      <c r="H20" s="89">
        <f t="shared" si="6"/>
        <v>154.07061569886199</v>
      </c>
      <c r="I20" s="28" t="s">
        <v>71</v>
      </c>
      <c r="J20" s="21" t="s">
        <v>72</v>
      </c>
      <c r="K20" s="109">
        <v>44470</v>
      </c>
      <c r="L20" s="2">
        <v>2</v>
      </c>
      <c r="M20" s="88">
        <v>264000</v>
      </c>
      <c r="N20" s="88">
        <f t="shared" si="2"/>
        <v>528000</v>
      </c>
      <c r="O20" s="89">
        <f t="shared" si="3"/>
        <v>154.07061569886199</v>
      </c>
    </row>
    <row r="21" spans="1:17" x14ac:dyDescent="0.25">
      <c r="A21" s="207"/>
      <c r="B21" s="29" t="s">
        <v>73</v>
      </c>
      <c r="C21" s="21" t="s">
        <v>74</v>
      </c>
      <c r="D21" s="109">
        <v>44256</v>
      </c>
      <c r="E21" s="2">
        <v>2</v>
      </c>
      <c r="F21" s="88">
        <v>800000</v>
      </c>
      <c r="G21" s="88">
        <f t="shared" si="5"/>
        <v>1600000</v>
      </c>
      <c r="H21" s="89">
        <f t="shared" si="6"/>
        <v>466.88065363291508</v>
      </c>
      <c r="I21" s="29" t="s">
        <v>73</v>
      </c>
      <c r="J21" s="21" t="s">
        <v>74</v>
      </c>
      <c r="K21" s="109">
        <v>44470</v>
      </c>
      <c r="L21" s="2">
        <v>2</v>
      </c>
      <c r="M21" s="88">
        <v>800000</v>
      </c>
      <c r="N21" s="88">
        <f t="shared" si="2"/>
        <v>1600000</v>
      </c>
      <c r="O21" s="89">
        <f t="shared" si="3"/>
        <v>466.88065363291508</v>
      </c>
    </row>
    <row r="22" spans="1:17" x14ac:dyDescent="0.25">
      <c r="A22" s="207"/>
      <c r="B22" s="211" t="s">
        <v>75</v>
      </c>
      <c r="C22" s="15" t="s">
        <v>76</v>
      </c>
      <c r="D22" s="109">
        <v>44256</v>
      </c>
      <c r="E22" s="2">
        <v>2</v>
      </c>
      <c r="F22" s="88">
        <v>180000</v>
      </c>
      <c r="G22" s="88">
        <f t="shared" si="5"/>
        <v>360000</v>
      </c>
      <c r="H22" s="89">
        <f t="shared" si="6"/>
        <v>105.04814706740589</v>
      </c>
      <c r="I22" s="211" t="s">
        <v>75</v>
      </c>
      <c r="J22" s="15" t="s">
        <v>76</v>
      </c>
      <c r="K22" s="109">
        <v>44470</v>
      </c>
      <c r="L22" s="2">
        <v>2</v>
      </c>
      <c r="M22" s="88">
        <v>180000</v>
      </c>
      <c r="N22" s="88">
        <f t="shared" si="2"/>
        <v>360000</v>
      </c>
      <c r="O22" s="89">
        <f t="shared" si="3"/>
        <v>105.04814706740589</v>
      </c>
    </row>
    <row r="23" spans="1:17" x14ac:dyDescent="0.25">
      <c r="A23" s="207"/>
      <c r="B23" s="212"/>
      <c r="C23" s="15" t="s">
        <v>77</v>
      </c>
      <c r="D23" s="109">
        <v>44256</v>
      </c>
      <c r="E23" s="2">
        <v>2</v>
      </c>
      <c r="F23" s="88">
        <v>180000</v>
      </c>
      <c r="G23" s="88">
        <f t="shared" si="5"/>
        <v>360000</v>
      </c>
      <c r="H23" s="89">
        <f t="shared" si="6"/>
        <v>105.04814706740589</v>
      </c>
      <c r="I23" s="212"/>
      <c r="J23" s="15" t="s">
        <v>77</v>
      </c>
      <c r="K23" s="109">
        <v>44470</v>
      </c>
      <c r="L23" s="2">
        <v>2</v>
      </c>
      <c r="M23" s="88">
        <v>180000</v>
      </c>
      <c r="N23" s="88">
        <f t="shared" si="2"/>
        <v>360000</v>
      </c>
      <c r="O23" s="89">
        <f t="shared" si="3"/>
        <v>105.04814706740589</v>
      </c>
    </row>
    <row r="24" spans="1:17" x14ac:dyDescent="0.25">
      <c r="A24" s="207"/>
      <c r="B24" s="211" t="s">
        <v>78</v>
      </c>
      <c r="C24" s="15" t="s">
        <v>79</v>
      </c>
      <c r="D24" s="109">
        <v>44256</v>
      </c>
      <c r="E24" s="2">
        <v>2</v>
      </c>
      <c r="F24" s="88">
        <v>140000</v>
      </c>
      <c r="G24" s="88">
        <f t="shared" si="5"/>
        <v>280000</v>
      </c>
      <c r="H24" s="89">
        <f t="shared" si="6"/>
        <v>81.704114385760136</v>
      </c>
      <c r="I24" s="211" t="s">
        <v>78</v>
      </c>
      <c r="J24" s="15" t="s">
        <v>79</v>
      </c>
      <c r="K24" s="109">
        <v>44470</v>
      </c>
      <c r="L24" s="2">
        <v>2</v>
      </c>
      <c r="M24" s="88">
        <v>140000</v>
      </c>
      <c r="N24" s="88">
        <f t="shared" si="2"/>
        <v>280000</v>
      </c>
      <c r="O24" s="89">
        <f t="shared" si="3"/>
        <v>81.704114385760136</v>
      </c>
    </row>
    <row r="25" spans="1:17" x14ac:dyDescent="0.25">
      <c r="A25" s="207"/>
      <c r="B25" s="212"/>
      <c r="C25" s="15" t="s">
        <v>80</v>
      </c>
      <c r="D25" s="109">
        <v>44256</v>
      </c>
      <c r="E25" s="2">
        <v>2</v>
      </c>
      <c r="F25" s="88">
        <v>140000</v>
      </c>
      <c r="G25" s="88">
        <f t="shared" si="5"/>
        <v>280000</v>
      </c>
      <c r="H25" s="89">
        <f t="shared" si="6"/>
        <v>81.704114385760136</v>
      </c>
      <c r="I25" s="212"/>
      <c r="J25" s="15" t="s">
        <v>80</v>
      </c>
      <c r="K25" s="109">
        <v>44470</v>
      </c>
      <c r="L25" s="2">
        <v>2</v>
      </c>
      <c r="M25" s="88">
        <v>140000</v>
      </c>
      <c r="N25" s="88">
        <f t="shared" si="2"/>
        <v>280000</v>
      </c>
      <c r="O25" s="89">
        <f t="shared" si="3"/>
        <v>81.704114385760136</v>
      </c>
    </row>
    <row r="26" spans="1:17" x14ac:dyDescent="0.25">
      <c r="A26" s="207"/>
      <c r="B26" s="204" t="s">
        <v>100</v>
      </c>
      <c r="C26" s="15" t="s">
        <v>82</v>
      </c>
      <c r="D26" s="109">
        <v>44256</v>
      </c>
      <c r="E26" s="2">
        <v>2</v>
      </c>
      <c r="F26" s="223">
        <v>150000</v>
      </c>
      <c r="G26" s="223">
        <f>F26*E26*5</f>
        <v>1500000</v>
      </c>
      <c r="H26" s="89">
        <f t="shared" si="6"/>
        <v>437.70061278085791</v>
      </c>
      <c r="I26" s="204" t="s">
        <v>81</v>
      </c>
      <c r="J26" s="15" t="s">
        <v>82</v>
      </c>
      <c r="K26" s="109">
        <v>44470</v>
      </c>
      <c r="L26" s="2">
        <v>2</v>
      </c>
      <c r="M26" s="223">
        <v>150000</v>
      </c>
      <c r="N26" s="223">
        <f>M26*L26*5</f>
        <v>1500000</v>
      </c>
      <c r="O26" s="89">
        <f t="shared" si="3"/>
        <v>437.70061278085791</v>
      </c>
    </row>
    <row r="27" spans="1:17" x14ac:dyDescent="0.25">
      <c r="A27" s="207"/>
      <c r="B27" s="204"/>
      <c r="C27" s="25" t="s">
        <v>123</v>
      </c>
      <c r="D27" s="109">
        <v>44256</v>
      </c>
      <c r="E27" s="2">
        <v>2</v>
      </c>
      <c r="F27" s="223">
        <v>150000</v>
      </c>
      <c r="G27" s="223">
        <f>F27*E27*5</f>
        <v>1500000</v>
      </c>
      <c r="H27" s="89">
        <f t="shared" si="6"/>
        <v>437.70061278085791</v>
      </c>
      <c r="I27" s="204"/>
      <c r="J27" s="15" t="s">
        <v>83</v>
      </c>
      <c r="K27" s="109">
        <v>44470</v>
      </c>
      <c r="L27" s="2">
        <v>2</v>
      </c>
      <c r="M27" s="223">
        <v>150000</v>
      </c>
      <c r="N27" s="223">
        <f>M27*L27*5</f>
        <v>1500000</v>
      </c>
      <c r="O27" s="89">
        <f t="shared" si="3"/>
        <v>437.70061278085791</v>
      </c>
    </row>
    <row r="28" spans="1:17" ht="26.4" x14ac:dyDescent="0.25">
      <c r="A28" s="207"/>
      <c r="B28" s="204" t="s">
        <v>84</v>
      </c>
      <c r="C28" s="25" t="s">
        <v>85</v>
      </c>
      <c r="D28" s="109">
        <v>44256</v>
      </c>
      <c r="E28" s="2">
        <v>2</v>
      </c>
      <c r="F28" s="223">
        <v>150000</v>
      </c>
      <c r="G28" s="223">
        <f>F28*E28*6</f>
        <v>1800000</v>
      </c>
      <c r="H28" s="89">
        <f>G28/$B$4</f>
        <v>525.24073533702949</v>
      </c>
      <c r="I28" s="204" t="s">
        <v>84</v>
      </c>
      <c r="J28" s="15" t="s">
        <v>85</v>
      </c>
      <c r="K28" s="109">
        <v>44470</v>
      </c>
      <c r="L28" s="2">
        <v>2</v>
      </c>
      <c r="M28" s="223">
        <v>150000</v>
      </c>
      <c r="N28" s="223">
        <f>M28*L28*6</f>
        <v>1800000</v>
      </c>
      <c r="O28" s="89">
        <f t="shared" si="3"/>
        <v>525.24073533702949</v>
      </c>
    </row>
    <row r="29" spans="1:17" ht="26.4" x14ac:dyDescent="0.25">
      <c r="A29" s="207"/>
      <c r="B29" s="204"/>
      <c r="C29" s="15" t="s">
        <v>86</v>
      </c>
      <c r="D29" s="109">
        <v>44256</v>
      </c>
      <c r="E29" s="2">
        <v>2</v>
      </c>
      <c r="F29" s="223">
        <v>150000</v>
      </c>
      <c r="G29" s="223">
        <f>F29*E29*6</f>
        <v>1800000</v>
      </c>
      <c r="H29" s="89">
        <f t="shared" si="6"/>
        <v>525.24073533702949</v>
      </c>
      <c r="I29" s="204"/>
      <c r="J29" s="15" t="s">
        <v>86</v>
      </c>
      <c r="K29" s="109">
        <v>44470</v>
      </c>
      <c r="L29" s="2">
        <v>2</v>
      </c>
      <c r="M29" s="223">
        <v>150000</v>
      </c>
      <c r="N29" s="223">
        <f>M29*L29*6</f>
        <v>1800000</v>
      </c>
      <c r="O29" s="89">
        <f t="shared" si="3"/>
        <v>525.24073533702949</v>
      </c>
    </row>
    <row r="30" spans="1:17" x14ac:dyDescent="0.25">
      <c r="A30" s="207"/>
      <c r="B30" s="30" t="s">
        <v>87</v>
      </c>
      <c r="C30" s="129" t="s">
        <v>313</v>
      </c>
      <c r="D30" s="109">
        <v>44256</v>
      </c>
      <c r="E30" s="2">
        <v>1</v>
      </c>
      <c r="F30" s="88">
        <v>800000</v>
      </c>
      <c r="G30" s="88">
        <f t="shared" si="5"/>
        <v>800000</v>
      </c>
      <c r="H30" s="89">
        <f t="shared" si="6"/>
        <v>233.44032681645754</v>
      </c>
      <c r="I30" s="30" t="s">
        <v>87</v>
      </c>
      <c r="J30" s="2" t="s">
        <v>88</v>
      </c>
      <c r="K30" s="109">
        <v>44470</v>
      </c>
      <c r="L30" s="2">
        <v>1</v>
      </c>
      <c r="M30" s="88">
        <v>800000</v>
      </c>
      <c r="N30" s="88">
        <f t="shared" si="2"/>
        <v>800000</v>
      </c>
      <c r="O30" s="89">
        <f t="shared" si="3"/>
        <v>233.44032681645754</v>
      </c>
    </row>
    <row r="31" spans="1:17" x14ac:dyDescent="0.25">
      <c r="A31" s="207"/>
      <c r="B31" s="209" t="s">
        <v>89</v>
      </c>
      <c r="C31" s="33" t="s">
        <v>63</v>
      </c>
      <c r="D31" s="109">
        <v>44256</v>
      </c>
      <c r="E31" s="34">
        <v>2</v>
      </c>
      <c r="F31" s="90">
        <v>35000</v>
      </c>
      <c r="G31" s="90">
        <f t="shared" si="5"/>
        <v>70000</v>
      </c>
      <c r="H31" s="89">
        <f t="shared" si="6"/>
        <v>20.426028596440034</v>
      </c>
      <c r="I31" s="209" t="s">
        <v>89</v>
      </c>
      <c r="J31" s="33" t="s">
        <v>63</v>
      </c>
      <c r="K31" s="109">
        <v>44470</v>
      </c>
      <c r="L31" s="34">
        <v>2</v>
      </c>
      <c r="M31" s="90">
        <v>35000</v>
      </c>
      <c r="N31" s="90">
        <f t="shared" si="2"/>
        <v>70000</v>
      </c>
      <c r="O31" s="89">
        <f t="shared" si="3"/>
        <v>20.426028596440034</v>
      </c>
    </row>
    <row r="32" spans="1:17" x14ac:dyDescent="0.25">
      <c r="A32" s="207"/>
      <c r="B32" s="210"/>
      <c r="C32" s="33" t="s">
        <v>64</v>
      </c>
      <c r="D32" s="109">
        <v>44256</v>
      </c>
      <c r="E32" s="34">
        <v>2</v>
      </c>
      <c r="F32" s="90">
        <v>35000</v>
      </c>
      <c r="G32" s="90">
        <f t="shared" si="5"/>
        <v>70000</v>
      </c>
      <c r="H32" s="89">
        <f t="shared" si="6"/>
        <v>20.426028596440034</v>
      </c>
      <c r="I32" s="210"/>
      <c r="J32" s="33" t="s">
        <v>64</v>
      </c>
      <c r="K32" s="109">
        <v>44470</v>
      </c>
      <c r="L32" s="34">
        <v>2</v>
      </c>
      <c r="M32" s="90">
        <v>35000</v>
      </c>
      <c r="N32" s="90">
        <f t="shared" si="2"/>
        <v>70000</v>
      </c>
      <c r="O32" s="89">
        <f t="shared" si="3"/>
        <v>20.426028596440034</v>
      </c>
    </row>
    <row r="33" spans="1:17" s="20" customFormat="1" ht="14.4" x14ac:dyDescent="0.3">
      <c r="A33" s="207"/>
      <c r="B33" s="198" t="s">
        <v>177</v>
      </c>
      <c r="C33" s="199"/>
      <c r="D33" s="199"/>
      <c r="E33" s="200"/>
      <c r="F33" s="93">
        <f>SUM(F19:F32)</f>
        <v>3974000</v>
      </c>
      <c r="G33" s="93">
        <f t="shared" ref="G33:H33" si="7">SUM(G19:G32)</f>
        <v>12548000</v>
      </c>
      <c r="H33" s="92">
        <f t="shared" si="7"/>
        <v>3661.5115261161363</v>
      </c>
      <c r="I33" s="198" t="s">
        <v>176</v>
      </c>
      <c r="J33" s="199"/>
      <c r="K33" s="199"/>
      <c r="L33" s="200"/>
      <c r="M33" s="93">
        <f>SUM(M19:M32)</f>
        <v>3974000</v>
      </c>
      <c r="N33" s="93">
        <f t="shared" ref="N33:O33" si="8">SUM(N19:N32)</f>
        <v>12548000</v>
      </c>
      <c r="O33" s="92">
        <f t="shared" si="8"/>
        <v>3661.5115261161363</v>
      </c>
      <c r="P33" s="102">
        <f>H33+O33</f>
        <v>7323.0230522322727</v>
      </c>
      <c r="Q33" s="103" t="s">
        <v>178</v>
      </c>
    </row>
    <row r="34" spans="1:17" s="20" customFormat="1" ht="14.4" x14ac:dyDescent="0.3">
      <c r="A34" s="207"/>
      <c r="B34" s="201" t="s">
        <v>90</v>
      </c>
      <c r="C34" s="201"/>
      <c r="D34" s="201"/>
      <c r="E34" s="201"/>
      <c r="F34" s="93">
        <f>F21+F22+F24+F26+F28+F30+F31</f>
        <v>2255000</v>
      </c>
      <c r="G34" s="93">
        <f t="shared" ref="G34" si="9">G21+G22+G24+G26+G28+G30+G31</f>
        <v>6410000</v>
      </c>
      <c r="H34" s="94">
        <f>H21+H22+H24+H26+H27+H28+H30+H31</f>
        <v>2308.1412313977239</v>
      </c>
      <c r="I34" s="201" t="s">
        <v>90</v>
      </c>
      <c r="J34" s="201"/>
      <c r="K34" s="201"/>
      <c r="L34" s="201"/>
      <c r="M34" s="93">
        <f>M21+M22+M24+M26+M28+M30+M31</f>
        <v>2255000</v>
      </c>
      <c r="N34" s="93">
        <f t="shared" ref="N34" si="10">N21+N22+N24+N26+N28+N30+N31</f>
        <v>6410000</v>
      </c>
      <c r="O34" s="94">
        <f>O21+O22+O24+O26+O27+O28+O30+O31</f>
        <v>2308.1412313977239</v>
      </c>
      <c r="P34" s="102">
        <f>H34+O34</f>
        <v>4616.2824627954478</v>
      </c>
      <c r="Q34" s="103" t="s">
        <v>179</v>
      </c>
    </row>
    <row r="35" spans="1:17" s="20" customFormat="1" ht="14.4" x14ac:dyDescent="0.3">
      <c r="A35" s="207"/>
      <c r="B35" s="201" t="s">
        <v>91</v>
      </c>
      <c r="C35" s="201"/>
      <c r="D35" s="201"/>
      <c r="E35" s="201"/>
      <c r="F35" s="93">
        <f>F19+F20+F23+F25+F27+F29+F32</f>
        <v>1719000</v>
      </c>
      <c r="G35" s="93">
        <f t="shared" ref="G35" si="11">G19+G20+G23+G25+G27+G29+G32</f>
        <v>6138000</v>
      </c>
      <c r="H35" s="94">
        <f>H19+H20+H23+H25+H29+H32</f>
        <v>1353.3702947184129</v>
      </c>
      <c r="I35" s="201" t="s">
        <v>91</v>
      </c>
      <c r="J35" s="201"/>
      <c r="K35" s="201"/>
      <c r="L35" s="201"/>
      <c r="M35" s="93">
        <f>M19+M20+M23+M25+M27+M29+M32</f>
        <v>1719000</v>
      </c>
      <c r="N35" s="93">
        <f t="shared" ref="N35" si="12">N19+N20+N23+N25+N27+N29+N32</f>
        <v>6138000</v>
      </c>
      <c r="O35" s="94">
        <f>O19+O20+O23+O25+O29+O32</f>
        <v>1353.3702947184129</v>
      </c>
      <c r="P35" s="102">
        <f t="shared" ref="P35" si="13">H35+O35</f>
        <v>2706.7405894368258</v>
      </c>
      <c r="Q35" s="103" t="s">
        <v>180</v>
      </c>
    </row>
    <row r="36" spans="1:17" ht="14.4" customHeight="1" x14ac:dyDescent="0.25">
      <c r="A36" s="207"/>
      <c r="B36" s="193" t="s">
        <v>111</v>
      </c>
      <c r="C36" s="194"/>
      <c r="D36" s="194"/>
      <c r="E36" s="194"/>
      <c r="F36" s="194"/>
      <c r="G36" s="194"/>
      <c r="H36" s="194"/>
      <c r="I36" s="194"/>
      <c r="J36" s="194"/>
      <c r="K36" s="194"/>
      <c r="L36" s="194"/>
      <c r="M36" s="194"/>
      <c r="N36" s="194"/>
      <c r="O36" s="194"/>
    </row>
    <row r="37" spans="1:17" ht="26.4" x14ac:dyDescent="0.25">
      <c r="A37" s="207"/>
      <c r="B37" s="28" t="s">
        <v>92</v>
      </c>
      <c r="C37" s="15" t="s">
        <v>170</v>
      </c>
      <c r="D37" s="109">
        <v>44317</v>
      </c>
      <c r="E37" s="2">
        <v>6</v>
      </c>
      <c r="F37" s="223">
        <v>70000</v>
      </c>
      <c r="G37" s="88">
        <f t="shared" ref="G37:G43" si="14">F37*E37</f>
        <v>420000</v>
      </c>
      <c r="H37" s="89">
        <f t="shared" ref="H37:H151" si="15">G37/$B$4</f>
        <v>122.5561715786402</v>
      </c>
      <c r="I37" s="28"/>
      <c r="J37" s="2"/>
      <c r="K37" s="2"/>
      <c r="L37" s="2"/>
      <c r="M37" s="2"/>
      <c r="N37" s="2"/>
      <c r="O37" s="22"/>
    </row>
    <row r="38" spans="1:17" ht="20.399999999999999" customHeight="1" x14ac:dyDescent="0.25">
      <c r="A38" s="207"/>
      <c r="B38" s="195" t="s">
        <v>93</v>
      </c>
      <c r="C38" s="21" t="s">
        <v>169</v>
      </c>
      <c r="D38" s="109">
        <v>44317</v>
      </c>
      <c r="E38" s="2">
        <v>10</v>
      </c>
      <c r="F38" s="88">
        <v>800000</v>
      </c>
      <c r="G38" s="88">
        <f t="shared" si="14"/>
        <v>8000000</v>
      </c>
      <c r="H38" s="89">
        <f t="shared" si="15"/>
        <v>2334.4032681645754</v>
      </c>
      <c r="I38" s="28"/>
      <c r="J38" s="2"/>
      <c r="K38" s="2"/>
      <c r="L38" s="2"/>
      <c r="M38" s="2"/>
      <c r="N38" s="2"/>
      <c r="O38" s="22"/>
    </row>
    <row r="39" spans="1:17" ht="21" customHeight="1" x14ac:dyDescent="0.25">
      <c r="A39" s="207"/>
      <c r="B39" s="196"/>
      <c r="C39" s="21" t="s">
        <v>94</v>
      </c>
      <c r="D39" s="109">
        <v>44317</v>
      </c>
      <c r="E39" s="2">
        <v>2</v>
      </c>
      <c r="F39" s="88">
        <v>800000</v>
      </c>
      <c r="G39" s="88">
        <f t="shared" si="14"/>
        <v>1600000</v>
      </c>
      <c r="H39" s="89">
        <f t="shared" si="15"/>
        <v>466.88065363291508</v>
      </c>
      <c r="I39" s="28"/>
      <c r="J39" s="2"/>
      <c r="K39" s="2"/>
      <c r="L39" s="2"/>
      <c r="M39" s="2"/>
      <c r="N39" s="2"/>
      <c r="O39" s="22"/>
    </row>
    <row r="40" spans="1:17" ht="26.4" x14ac:dyDescent="0.25">
      <c r="A40" s="207"/>
      <c r="B40" s="196"/>
      <c r="C40" s="15" t="s">
        <v>168</v>
      </c>
      <c r="D40" s="109">
        <v>44317</v>
      </c>
      <c r="E40" s="2">
        <v>10</v>
      </c>
      <c r="F40" s="88">
        <v>910000</v>
      </c>
      <c r="G40" s="88">
        <f t="shared" ref="G40" si="16">F40*E40</f>
        <v>9100000</v>
      </c>
      <c r="H40" s="89">
        <f t="shared" ref="H40" si="17">G40/$B$4</f>
        <v>2655.3837175372046</v>
      </c>
      <c r="I40" s="28"/>
      <c r="J40" s="2"/>
      <c r="K40" s="2"/>
      <c r="L40" s="2"/>
      <c r="M40" s="2"/>
      <c r="N40" s="2"/>
      <c r="O40" s="22"/>
    </row>
    <row r="41" spans="1:17" ht="26.4" x14ac:dyDescent="0.25">
      <c r="A41" s="207"/>
      <c r="B41" s="197"/>
      <c r="C41" s="25" t="s">
        <v>315</v>
      </c>
      <c r="D41" s="109">
        <v>44317</v>
      </c>
      <c r="E41" s="2">
        <v>2</v>
      </c>
      <c r="F41" s="88">
        <v>910000</v>
      </c>
      <c r="G41" s="88">
        <f t="shared" ref="G41" si="18">F41*E41</f>
        <v>1820000</v>
      </c>
      <c r="H41" s="89">
        <f t="shared" ref="H41" si="19">G41/$B$4</f>
        <v>531.07674350744094</v>
      </c>
      <c r="I41" s="28"/>
      <c r="J41" s="2"/>
      <c r="K41" s="2"/>
      <c r="L41" s="2"/>
      <c r="M41" s="2"/>
      <c r="N41" s="2"/>
      <c r="O41" s="22"/>
    </row>
    <row r="42" spans="1:17" ht="26.4" x14ac:dyDescent="0.25">
      <c r="A42" s="207"/>
      <c r="B42" s="195" t="s">
        <v>124</v>
      </c>
      <c r="C42" s="15" t="s">
        <v>130</v>
      </c>
      <c r="D42" s="109">
        <v>44317</v>
      </c>
      <c r="E42" s="2">
        <v>8</v>
      </c>
      <c r="F42" s="88">
        <v>400000</v>
      </c>
      <c r="G42" s="88">
        <f t="shared" si="14"/>
        <v>3200000</v>
      </c>
      <c r="H42" s="89">
        <f t="shared" si="15"/>
        <v>933.76130726583017</v>
      </c>
      <c r="I42" s="28"/>
      <c r="J42" s="2"/>
      <c r="K42" s="2"/>
      <c r="L42" s="2"/>
      <c r="M42" s="2"/>
      <c r="N42" s="2"/>
      <c r="O42" s="22"/>
    </row>
    <row r="43" spans="1:17" ht="26.4" x14ac:dyDescent="0.25">
      <c r="A43" s="207"/>
      <c r="B43" s="197"/>
      <c r="C43" s="15" t="s">
        <v>131</v>
      </c>
      <c r="D43" s="109">
        <v>44317</v>
      </c>
      <c r="E43" s="2">
        <v>8</v>
      </c>
      <c r="F43" s="88">
        <v>400000</v>
      </c>
      <c r="G43" s="88">
        <f t="shared" si="14"/>
        <v>3200000</v>
      </c>
      <c r="H43" s="89">
        <f t="shared" si="15"/>
        <v>933.76130726583017</v>
      </c>
      <c r="I43" s="28"/>
      <c r="J43" s="2"/>
      <c r="K43" s="2"/>
      <c r="L43" s="2"/>
      <c r="M43" s="2"/>
      <c r="N43" s="2"/>
      <c r="O43" s="22"/>
    </row>
    <row r="44" spans="1:17" ht="26.4" x14ac:dyDescent="0.25">
      <c r="A44" s="207"/>
      <c r="B44" s="195" t="s">
        <v>125</v>
      </c>
      <c r="C44" s="15" t="s">
        <v>132</v>
      </c>
      <c r="D44" s="109">
        <v>44317</v>
      </c>
      <c r="E44" s="2">
        <v>12</v>
      </c>
      <c r="F44" s="223">
        <v>150000</v>
      </c>
      <c r="G44" s="223">
        <f>F44*E44*7</f>
        <v>12600000</v>
      </c>
      <c r="H44" s="89">
        <f t="shared" si="15"/>
        <v>3676.6851473592064</v>
      </c>
      <c r="I44" s="28"/>
      <c r="J44" s="2"/>
      <c r="K44" s="2"/>
      <c r="L44" s="2"/>
      <c r="M44" s="2"/>
      <c r="N44" s="2"/>
      <c r="O44" s="22"/>
    </row>
    <row r="45" spans="1:17" x14ac:dyDescent="0.25">
      <c r="A45" s="207"/>
      <c r="B45" s="197"/>
      <c r="C45" s="15" t="s">
        <v>133</v>
      </c>
      <c r="D45" s="109">
        <v>44317</v>
      </c>
      <c r="E45" s="2">
        <v>12</v>
      </c>
      <c r="F45" s="223">
        <v>150000</v>
      </c>
      <c r="G45" s="223">
        <f>F45*E45*7</f>
        <v>12600000</v>
      </c>
      <c r="H45" s="89">
        <f t="shared" si="15"/>
        <v>3676.6851473592064</v>
      </c>
      <c r="I45" s="28"/>
      <c r="J45" s="2"/>
      <c r="K45" s="2"/>
      <c r="L45" s="2"/>
      <c r="M45" s="2"/>
      <c r="N45" s="2"/>
      <c r="O45" s="22"/>
    </row>
    <row r="46" spans="1:17" ht="27" x14ac:dyDescent="0.3">
      <c r="A46" s="207"/>
      <c r="B46" s="195" t="s">
        <v>126</v>
      </c>
      <c r="C46" s="15" t="s">
        <v>135</v>
      </c>
      <c r="D46" s="109">
        <v>44317</v>
      </c>
      <c r="E46" s="2">
        <v>12</v>
      </c>
      <c r="F46" s="224">
        <v>120000</v>
      </c>
      <c r="G46" s="223">
        <f>F46*E46*8</f>
        <v>11520000</v>
      </c>
      <c r="H46" s="89">
        <f t="shared" si="15"/>
        <v>3361.5407061569886</v>
      </c>
      <c r="I46" s="28"/>
      <c r="J46" s="2"/>
      <c r="K46" s="2"/>
      <c r="L46" s="2"/>
      <c r="M46" s="2"/>
      <c r="N46" s="2"/>
      <c r="O46" s="22"/>
    </row>
    <row r="47" spans="1:17" ht="27" x14ac:dyDescent="0.3">
      <c r="A47" s="207"/>
      <c r="B47" s="197"/>
      <c r="C47" s="15" t="s">
        <v>134</v>
      </c>
      <c r="D47" s="109">
        <v>44317</v>
      </c>
      <c r="E47" s="2">
        <v>12</v>
      </c>
      <c r="F47" s="224">
        <v>120000</v>
      </c>
      <c r="G47" s="223">
        <f>F47*E47*8</f>
        <v>11520000</v>
      </c>
      <c r="H47" s="89">
        <f t="shared" ref="H47" si="20">G47/$B$4</f>
        <v>3361.5407061569886</v>
      </c>
      <c r="I47" s="28"/>
      <c r="J47" s="2"/>
      <c r="K47" s="2"/>
      <c r="L47" s="2"/>
      <c r="M47" s="2"/>
      <c r="N47" s="2"/>
      <c r="O47" s="22"/>
    </row>
    <row r="48" spans="1:17" ht="14.4" x14ac:dyDescent="0.3">
      <c r="A48" s="207"/>
      <c r="B48" s="195" t="s">
        <v>127</v>
      </c>
      <c r="C48" s="95" t="s">
        <v>316</v>
      </c>
      <c r="D48" s="109">
        <v>44317</v>
      </c>
      <c r="E48" s="2">
        <v>8</v>
      </c>
      <c r="F48" s="88">
        <v>200000</v>
      </c>
      <c r="G48" s="88">
        <f t="shared" ref="G48:G151" si="21">F48*E48</f>
        <v>1600000</v>
      </c>
      <c r="H48" s="89">
        <f t="shared" si="15"/>
        <v>466.88065363291508</v>
      </c>
      <c r="I48" s="28"/>
      <c r="J48" s="2"/>
      <c r="K48" s="2"/>
      <c r="L48" s="2"/>
      <c r="M48" s="2"/>
      <c r="N48" s="2"/>
      <c r="O48" s="22"/>
    </row>
    <row r="49" spans="1:17" ht="14.4" x14ac:dyDescent="0.3">
      <c r="A49" s="207"/>
      <c r="B49" s="197"/>
      <c r="C49" s="95" t="s">
        <v>136</v>
      </c>
      <c r="D49" s="109">
        <v>44317</v>
      </c>
      <c r="E49" s="2">
        <v>1</v>
      </c>
      <c r="F49" s="88">
        <v>800000</v>
      </c>
      <c r="G49" s="88">
        <f t="shared" ref="G49" si="22">F49*E49</f>
        <v>800000</v>
      </c>
      <c r="H49" s="89">
        <f t="shared" ref="H49" si="23">G49/$B$4</f>
        <v>233.44032681645754</v>
      </c>
      <c r="I49" s="28"/>
      <c r="J49" s="2"/>
      <c r="K49" s="2"/>
      <c r="L49" s="2"/>
      <c r="M49" s="2"/>
      <c r="N49" s="2"/>
      <c r="O49" s="22"/>
    </row>
    <row r="50" spans="1:17" x14ac:dyDescent="0.25">
      <c r="A50" s="207"/>
      <c r="B50" s="202" t="s">
        <v>128</v>
      </c>
      <c r="C50" s="96" t="s">
        <v>138</v>
      </c>
      <c r="D50" s="109">
        <v>44317</v>
      </c>
      <c r="E50" s="34">
        <v>10</v>
      </c>
      <c r="F50" s="90">
        <v>35000</v>
      </c>
      <c r="G50" s="90">
        <f t="shared" si="21"/>
        <v>350000</v>
      </c>
      <c r="H50" s="89">
        <f t="shared" si="15"/>
        <v>102.13014298220017</v>
      </c>
      <c r="I50" s="35"/>
      <c r="J50" s="34"/>
      <c r="K50" s="34"/>
      <c r="L50" s="34"/>
      <c r="M50" s="34"/>
      <c r="N50" s="34"/>
      <c r="O50" s="22"/>
    </row>
    <row r="51" spans="1:17" x14ac:dyDescent="0.25">
      <c r="A51" s="207"/>
      <c r="B51" s="203"/>
      <c r="C51" s="96" t="s">
        <v>137</v>
      </c>
      <c r="D51" s="109">
        <v>44317</v>
      </c>
      <c r="E51" s="34">
        <v>10</v>
      </c>
      <c r="F51" s="90">
        <v>35000</v>
      </c>
      <c r="G51" s="90">
        <f t="shared" ref="G51" si="24">F51*E51</f>
        <v>350000</v>
      </c>
      <c r="H51" s="89">
        <f t="shared" ref="H51" si="25">G51/$B$4</f>
        <v>102.13014298220017</v>
      </c>
      <c r="I51" s="35"/>
      <c r="J51" s="34"/>
      <c r="K51" s="34"/>
      <c r="L51" s="34"/>
      <c r="M51" s="34"/>
      <c r="N51" s="34"/>
      <c r="O51" s="22"/>
    </row>
    <row r="52" spans="1:17" x14ac:dyDescent="0.25">
      <c r="A52" s="207"/>
      <c r="B52" s="28" t="s">
        <v>129</v>
      </c>
      <c r="C52" s="2"/>
      <c r="D52" s="2"/>
      <c r="E52" s="2"/>
      <c r="F52" s="88"/>
      <c r="G52" s="88">
        <f t="shared" si="21"/>
        <v>0</v>
      </c>
      <c r="H52" s="89">
        <f t="shared" si="15"/>
        <v>0</v>
      </c>
      <c r="I52" s="28"/>
      <c r="J52" s="2"/>
      <c r="K52" s="2"/>
      <c r="L52" s="2"/>
      <c r="M52" s="2"/>
      <c r="N52" s="2"/>
      <c r="O52" s="22"/>
    </row>
    <row r="53" spans="1:17" s="20" customFormat="1" ht="14.4" x14ac:dyDescent="0.3">
      <c r="A53" s="207"/>
      <c r="B53" s="198" t="s">
        <v>97</v>
      </c>
      <c r="C53" s="199"/>
      <c r="D53" s="199"/>
      <c r="E53" s="200"/>
      <c r="F53" s="91">
        <f>SUM(F37:F52)</f>
        <v>5900000</v>
      </c>
      <c r="G53" s="91">
        <f>SUM(G37:G52)</f>
        <v>78680000</v>
      </c>
      <c r="H53" s="92">
        <f>SUM(H37:H52)</f>
        <v>22958.856142398603</v>
      </c>
      <c r="I53" s="19"/>
      <c r="J53" s="19"/>
      <c r="K53" s="19"/>
      <c r="L53" s="19"/>
      <c r="M53" s="19"/>
      <c r="N53" s="19"/>
      <c r="O53" s="23"/>
      <c r="P53" s="102">
        <f>H53+O53</f>
        <v>22958.856142398603</v>
      </c>
      <c r="Q53" s="103" t="s">
        <v>178</v>
      </c>
    </row>
    <row r="54" spans="1:17" s="20" customFormat="1" ht="14.4" x14ac:dyDescent="0.3">
      <c r="A54" s="207"/>
      <c r="B54" s="201" t="s">
        <v>98</v>
      </c>
      <c r="C54" s="201"/>
      <c r="D54" s="201"/>
      <c r="E54" s="201"/>
      <c r="F54" s="91">
        <f>+F37+F38+F39+F42+F44+F46+F48+F50</f>
        <v>2575000</v>
      </c>
      <c r="G54" s="91">
        <f>SUM(G37+G38+G39+G42+G44+G46+G48+G50)</f>
        <v>39290000</v>
      </c>
      <c r="H54" s="92">
        <f>SUM(H37+H38+H39+H42+H44+H46+H48+H50)</f>
        <v>11464.838050773273</v>
      </c>
      <c r="I54" s="19"/>
      <c r="J54" s="19"/>
      <c r="K54" s="19"/>
      <c r="L54" s="19"/>
      <c r="M54" s="19"/>
      <c r="N54" s="19"/>
      <c r="O54" s="23"/>
      <c r="P54" s="102">
        <f>H54+O54</f>
        <v>11464.838050773273</v>
      </c>
      <c r="Q54" s="103" t="s">
        <v>179</v>
      </c>
    </row>
    <row r="55" spans="1:17" s="228" customFormat="1" ht="14.4" x14ac:dyDescent="0.3">
      <c r="A55" s="208"/>
      <c r="B55" s="225" t="s">
        <v>99</v>
      </c>
      <c r="C55" s="225"/>
      <c r="D55" s="225"/>
      <c r="E55" s="225"/>
      <c r="F55" s="226">
        <f>+F40+F41+F43+F45+F47+F49+F51</f>
        <v>3325000</v>
      </c>
      <c r="G55" s="226">
        <f>+G40+G41+G43+G45+G47+G49+G51</f>
        <v>39390000</v>
      </c>
      <c r="H55" s="92">
        <f t="shared" si="15"/>
        <v>11494.018091625328</v>
      </c>
      <c r="I55" s="103"/>
      <c r="J55" s="103"/>
      <c r="K55" s="103"/>
      <c r="L55" s="103"/>
      <c r="M55" s="103"/>
      <c r="N55" s="103"/>
      <c r="O55" s="103"/>
      <c r="P55" s="227">
        <f t="shared" ref="P55" si="26">H55+O55</f>
        <v>11494.018091625328</v>
      </c>
      <c r="Q55" s="103" t="s">
        <v>180</v>
      </c>
    </row>
    <row r="56" spans="1:17" ht="14.4" customHeight="1" x14ac:dyDescent="0.25">
      <c r="A56" s="2"/>
      <c r="B56" s="193" t="s">
        <v>139</v>
      </c>
      <c r="C56" s="194"/>
      <c r="D56" s="194"/>
      <c r="E56" s="194"/>
      <c r="F56" s="194"/>
      <c r="G56" s="194"/>
      <c r="H56" s="194"/>
      <c r="I56" s="194"/>
      <c r="J56" s="194"/>
      <c r="K56" s="194"/>
      <c r="L56" s="194"/>
      <c r="M56" s="194"/>
      <c r="N56" s="194"/>
      <c r="O56" s="194"/>
    </row>
    <row r="57" spans="1:17" ht="26.4" x14ac:dyDescent="0.25">
      <c r="A57" s="2"/>
      <c r="B57" s="195" t="s">
        <v>142</v>
      </c>
      <c r="C57" s="25" t="s">
        <v>151</v>
      </c>
      <c r="D57" s="109">
        <v>44378</v>
      </c>
      <c r="E57" s="2">
        <v>26</v>
      </c>
      <c r="F57" s="90">
        <v>70000</v>
      </c>
      <c r="G57" s="88">
        <f>F57*E57*2</f>
        <v>3640000</v>
      </c>
      <c r="H57" s="89">
        <f t="shared" si="15"/>
        <v>1062.1534870148819</v>
      </c>
      <c r="I57" s="28"/>
      <c r="J57" s="15"/>
      <c r="K57" s="2"/>
      <c r="L57" s="2"/>
      <c r="M57" s="97"/>
      <c r="N57" s="88"/>
      <c r="O57" s="89"/>
    </row>
    <row r="58" spans="1:17" ht="39.6" x14ac:dyDescent="0.25">
      <c r="A58" s="2"/>
      <c r="B58" s="197"/>
      <c r="C58" s="25" t="s">
        <v>152</v>
      </c>
      <c r="D58" s="109">
        <v>44378</v>
      </c>
      <c r="E58" s="2">
        <v>52</v>
      </c>
      <c r="F58" s="88">
        <v>100000</v>
      </c>
      <c r="G58" s="88">
        <f>F58*E58*2</f>
        <v>10400000</v>
      </c>
      <c r="H58" s="89">
        <f t="shared" ref="H58" si="27">G58/$B$4</f>
        <v>3034.724248613948</v>
      </c>
      <c r="I58" s="104"/>
      <c r="J58" s="15"/>
      <c r="K58" s="2"/>
      <c r="L58" s="2"/>
      <c r="M58" s="97"/>
      <c r="N58" s="88"/>
      <c r="O58" s="89"/>
    </row>
    <row r="59" spans="1:17" x14ac:dyDescent="0.25">
      <c r="A59" s="2"/>
      <c r="B59" s="195" t="s">
        <v>143</v>
      </c>
      <c r="C59" s="26" t="s">
        <v>319</v>
      </c>
      <c r="D59" s="109">
        <v>44378</v>
      </c>
      <c r="E59" s="2">
        <v>2</v>
      </c>
      <c r="F59" s="88">
        <v>800000</v>
      </c>
      <c r="G59" s="88">
        <f t="shared" si="21"/>
        <v>1600000</v>
      </c>
      <c r="H59" s="89">
        <f t="shared" si="15"/>
        <v>466.88065363291508</v>
      </c>
      <c r="I59" s="104"/>
      <c r="J59" s="15"/>
      <c r="K59" s="2"/>
      <c r="L59" s="2"/>
      <c r="M59" s="97"/>
      <c r="N59" s="88"/>
      <c r="O59" s="89"/>
    </row>
    <row r="60" spans="1:17" x14ac:dyDescent="0.25">
      <c r="A60" s="2"/>
      <c r="B60" s="196"/>
      <c r="C60" s="26" t="s">
        <v>320</v>
      </c>
      <c r="D60" s="109">
        <v>44378</v>
      </c>
      <c r="E60" s="2">
        <v>1</v>
      </c>
      <c r="F60" s="88">
        <v>800000</v>
      </c>
      <c r="G60" s="88">
        <f t="shared" si="21"/>
        <v>800000</v>
      </c>
      <c r="H60" s="89">
        <f t="shared" si="15"/>
        <v>233.44032681645754</v>
      </c>
      <c r="I60" s="104"/>
      <c r="J60" s="15"/>
      <c r="K60" s="2"/>
      <c r="L60" s="2"/>
      <c r="M60" s="97"/>
      <c r="N60" s="88"/>
      <c r="O60" s="89"/>
    </row>
    <row r="61" spans="1:17" x14ac:dyDescent="0.25">
      <c r="A61" s="2"/>
      <c r="B61" s="196"/>
      <c r="C61" s="26" t="s">
        <v>321</v>
      </c>
      <c r="D61" s="109">
        <v>44378</v>
      </c>
      <c r="E61" s="2">
        <v>2</v>
      </c>
      <c r="F61" s="88">
        <v>800000</v>
      </c>
      <c r="G61" s="88">
        <f t="shared" si="21"/>
        <v>1600000</v>
      </c>
      <c r="H61" s="89">
        <f t="shared" si="15"/>
        <v>466.88065363291508</v>
      </c>
      <c r="I61" s="104"/>
      <c r="J61" s="15"/>
      <c r="K61" s="2"/>
      <c r="L61" s="2"/>
      <c r="M61" s="97"/>
      <c r="N61" s="88"/>
      <c r="O61" s="89"/>
    </row>
    <row r="62" spans="1:17" x14ac:dyDescent="0.25">
      <c r="A62" s="2"/>
      <c r="B62" s="197"/>
      <c r="C62" s="26" t="s">
        <v>322</v>
      </c>
      <c r="D62" s="109">
        <v>44378</v>
      </c>
      <c r="E62" s="2">
        <v>1</v>
      </c>
      <c r="F62" s="88">
        <v>800000</v>
      </c>
      <c r="G62" s="88">
        <f t="shared" si="21"/>
        <v>800000</v>
      </c>
      <c r="H62" s="89">
        <f t="shared" si="15"/>
        <v>233.44032681645754</v>
      </c>
      <c r="I62" s="104"/>
      <c r="J62" s="15"/>
      <c r="K62" s="2"/>
      <c r="L62" s="2"/>
      <c r="M62" s="97"/>
      <c r="N62" s="88"/>
      <c r="O62" s="89"/>
    </row>
    <row r="63" spans="1:17" ht="26.4" x14ac:dyDescent="0.25">
      <c r="A63" s="2"/>
      <c r="B63" s="28" t="s">
        <v>144</v>
      </c>
      <c r="C63" s="98" t="s">
        <v>153</v>
      </c>
      <c r="D63" s="109">
        <v>44378</v>
      </c>
      <c r="E63" s="2">
        <v>8</v>
      </c>
      <c r="F63" s="88">
        <v>100000</v>
      </c>
      <c r="G63" s="88">
        <f>F63*6*E63</f>
        <v>4800000</v>
      </c>
      <c r="H63" s="89">
        <f t="shared" si="15"/>
        <v>1400.6419608987453</v>
      </c>
      <c r="I63" s="104"/>
      <c r="J63" s="15"/>
      <c r="K63" s="2"/>
      <c r="L63" s="2"/>
      <c r="M63" s="97"/>
      <c r="N63" s="88"/>
      <c r="O63" s="89"/>
    </row>
    <row r="64" spans="1:17" x14ac:dyDescent="0.25">
      <c r="A64" s="2"/>
      <c r="B64" s="195" t="s">
        <v>145</v>
      </c>
      <c r="C64" s="98" t="s">
        <v>317</v>
      </c>
      <c r="D64" s="109">
        <v>44378</v>
      </c>
      <c r="E64" s="2">
        <v>38</v>
      </c>
      <c r="F64" s="88">
        <v>150000</v>
      </c>
      <c r="G64" s="88">
        <f>F64*5*E64</f>
        <v>28500000</v>
      </c>
      <c r="H64" s="89">
        <f t="shared" si="15"/>
        <v>8316.3116428362991</v>
      </c>
      <c r="I64" s="104"/>
      <c r="J64" s="15"/>
      <c r="K64" s="2"/>
      <c r="L64" s="2"/>
      <c r="M64" s="97"/>
      <c r="N64" s="88"/>
      <c r="O64" s="89"/>
    </row>
    <row r="65" spans="1:17" x14ac:dyDescent="0.25">
      <c r="A65" s="2"/>
      <c r="B65" s="196"/>
      <c r="C65" s="26" t="s">
        <v>154</v>
      </c>
      <c r="D65" s="109">
        <v>44378</v>
      </c>
      <c r="E65" s="2">
        <v>2</v>
      </c>
      <c r="F65" s="88">
        <v>120000</v>
      </c>
      <c r="G65" s="88">
        <f t="shared" ref="G65:G74" si="28">F65*E65*6</f>
        <v>1440000</v>
      </c>
      <c r="H65" s="89">
        <f t="shared" si="15"/>
        <v>420.19258826962357</v>
      </c>
      <c r="I65" s="104"/>
      <c r="J65" s="15"/>
      <c r="K65" s="2"/>
      <c r="L65" s="2"/>
      <c r="M65" s="97"/>
      <c r="N65" s="88"/>
      <c r="O65" s="89"/>
    </row>
    <row r="66" spans="1:17" x14ac:dyDescent="0.25">
      <c r="A66" s="2"/>
      <c r="B66" s="196"/>
      <c r="C66" s="26" t="s">
        <v>155</v>
      </c>
      <c r="D66" s="109">
        <v>44378</v>
      </c>
      <c r="E66" s="2">
        <v>1</v>
      </c>
      <c r="F66" s="88">
        <v>120000</v>
      </c>
      <c r="G66" s="88">
        <f t="shared" si="28"/>
        <v>720000</v>
      </c>
      <c r="H66" s="89">
        <f t="shared" si="15"/>
        <v>210.09629413481179</v>
      </c>
      <c r="I66" s="104"/>
      <c r="J66" s="15"/>
      <c r="K66" s="2"/>
      <c r="L66" s="2"/>
      <c r="M66" s="97"/>
      <c r="N66" s="88"/>
      <c r="O66" s="89"/>
    </row>
    <row r="67" spans="1:17" ht="23.4" customHeight="1" x14ac:dyDescent="0.25">
      <c r="A67" s="2"/>
      <c r="B67" s="196"/>
      <c r="C67" s="26" t="s">
        <v>156</v>
      </c>
      <c r="D67" s="109">
        <v>44378</v>
      </c>
      <c r="E67" s="2">
        <v>2</v>
      </c>
      <c r="F67" s="88">
        <v>120000</v>
      </c>
      <c r="G67" s="88">
        <f t="shared" si="28"/>
        <v>1440000</v>
      </c>
      <c r="H67" s="89">
        <f t="shared" si="15"/>
        <v>420.19258826962357</v>
      </c>
      <c r="I67" s="104"/>
      <c r="J67" s="15"/>
      <c r="K67" s="2"/>
      <c r="L67" s="2"/>
      <c r="M67" s="97"/>
      <c r="N67" s="88"/>
      <c r="O67" s="89"/>
    </row>
    <row r="68" spans="1:17" ht="13.2" customHeight="1" x14ac:dyDescent="0.25">
      <c r="A68" s="2"/>
      <c r="B68" s="197"/>
      <c r="C68" s="25" t="s">
        <v>157</v>
      </c>
      <c r="D68" s="109">
        <v>44378</v>
      </c>
      <c r="E68" s="2">
        <v>1</v>
      </c>
      <c r="F68" s="88">
        <v>120000</v>
      </c>
      <c r="G68" s="88">
        <f t="shared" si="28"/>
        <v>720000</v>
      </c>
      <c r="H68" s="89">
        <f t="shared" si="15"/>
        <v>210.09629413481179</v>
      </c>
      <c r="I68" s="104"/>
      <c r="J68" s="15"/>
      <c r="K68" s="2"/>
      <c r="L68" s="2"/>
      <c r="M68" s="97"/>
      <c r="N68" s="88"/>
      <c r="O68" s="89"/>
    </row>
    <row r="69" spans="1:17" ht="26.4" x14ac:dyDescent="0.25">
      <c r="A69" s="2"/>
      <c r="B69" s="195" t="s">
        <v>146</v>
      </c>
      <c r="C69" s="25" t="s">
        <v>158</v>
      </c>
      <c r="D69" s="109">
        <v>44378</v>
      </c>
      <c r="E69" s="2">
        <v>28</v>
      </c>
      <c r="F69" s="88">
        <v>7000</v>
      </c>
      <c r="G69" s="88">
        <f>F69*E69*6</f>
        <v>1176000</v>
      </c>
      <c r="H69" s="89">
        <f t="shared" si="15"/>
        <v>343.15728042019259</v>
      </c>
      <c r="I69" s="28"/>
      <c r="J69" s="15"/>
      <c r="K69" s="2"/>
      <c r="L69" s="2"/>
      <c r="M69" s="97"/>
      <c r="N69" s="88"/>
      <c r="O69" s="89"/>
    </row>
    <row r="70" spans="1:17" ht="26.4" x14ac:dyDescent="0.25">
      <c r="A70" s="2"/>
      <c r="B70" s="196"/>
      <c r="C70" s="25" t="s">
        <v>159</v>
      </c>
      <c r="D70" s="109">
        <v>44378</v>
      </c>
      <c r="E70" s="2">
        <v>53</v>
      </c>
      <c r="F70" s="88">
        <v>7000</v>
      </c>
      <c r="G70" s="88">
        <f t="shared" si="28"/>
        <v>2226000</v>
      </c>
      <c r="H70" s="89">
        <f t="shared" si="15"/>
        <v>649.54770936679313</v>
      </c>
      <c r="I70" s="104"/>
      <c r="J70" s="15"/>
      <c r="K70" s="2"/>
      <c r="L70" s="2"/>
      <c r="M70" s="97"/>
      <c r="N70" s="88"/>
      <c r="O70" s="89"/>
    </row>
    <row r="71" spans="1:17" ht="26.4" x14ac:dyDescent="0.25">
      <c r="A71" s="2"/>
      <c r="B71" s="196"/>
      <c r="C71" s="25" t="s">
        <v>160</v>
      </c>
      <c r="D71" s="109">
        <v>44378</v>
      </c>
      <c r="E71" s="2">
        <v>53</v>
      </c>
      <c r="F71" s="88">
        <v>40000</v>
      </c>
      <c r="G71" s="88">
        <f t="shared" si="28"/>
        <v>12720000</v>
      </c>
      <c r="H71" s="89">
        <f t="shared" si="15"/>
        <v>3711.7011963816749</v>
      </c>
      <c r="I71" s="104"/>
      <c r="J71" s="15"/>
      <c r="K71" s="2"/>
      <c r="L71" s="2"/>
      <c r="M71" s="97"/>
      <c r="N71" s="88"/>
      <c r="O71" s="89"/>
    </row>
    <row r="72" spans="1:17" ht="26.4" x14ac:dyDescent="0.25">
      <c r="A72" s="2"/>
      <c r="B72" s="196"/>
      <c r="C72" s="25" t="s">
        <v>161</v>
      </c>
      <c r="D72" s="109">
        <v>44378</v>
      </c>
      <c r="E72" s="2">
        <v>53</v>
      </c>
      <c r="F72" s="88">
        <v>40000</v>
      </c>
      <c r="G72" s="88">
        <f t="shared" si="28"/>
        <v>12720000</v>
      </c>
      <c r="H72" s="89">
        <f t="shared" si="15"/>
        <v>3711.7011963816749</v>
      </c>
      <c r="I72" s="104"/>
      <c r="J72" s="15"/>
      <c r="K72" s="2"/>
      <c r="L72" s="2"/>
      <c r="M72" s="97"/>
      <c r="N72" s="88"/>
      <c r="O72" s="89"/>
    </row>
    <row r="73" spans="1:17" ht="26.4" x14ac:dyDescent="0.25">
      <c r="A73" s="2"/>
      <c r="B73" s="196"/>
      <c r="C73" s="25" t="s">
        <v>162</v>
      </c>
      <c r="D73" s="109">
        <v>44378</v>
      </c>
      <c r="E73" s="2">
        <v>53</v>
      </c>
      <c r="F73" s="88">
        <v>40000</v>
      </c>
      <c r="G73" s="88">
        <f t="shared" si="28"/>
        <v>12720000</v>
      </c>
      <c r="H73" s="89">
        <f t="shared" si="15"/>
        <v>3711.7011963816749</v>
      </c>
      <c r="I73" s="104"/>
      <c r="J73" s="15"/>
      <c r="K73" s="2"/>
      <c r="L73" s="2"/>
      <c r="M73" s="97"/>
      <c r="N73" s="88"/>
      <c r="O73" s="89"/>
    </row>
    <row r="74" spans="1:17" ht="26.4" x14ac:dyDescent="0.25">
      <c r="A74" s="2"/>
      <c r="B74" s="196"/>
      <c r="C74" s="25" t="s">
        <v>163</v>
      </c>
      <c r="D74" s="109">
        <v>44378</v>
      </c>
      <c r="E74" s="2">
        <v>53</v>
      </c>
      <c r="F74" s="88">
        <v>40000</v>
      </c>
      <c r="G74" s="88">
        <f t="shared" si="28"/>
        <v>12720000</v>
      </c>
      <c r="H74" s="89">
        <f t="shared" si="15"/>
        <v>3711.7011963816749</v>
      </c>
      <c r="I74" s="28"/>
      <c r="J74" s="15"/>
      <c r="K74" s="2"/>
      <c r="L74" s="2"/>
      <c r="M74" s="97"/>
      <c r="N74" s="88"/>
      <c r="O74" s="89"/>
    </row>
    <row r="75" spans="1:17" ht="26.4" x14ac:dyDescent="0.25">
      <c r="A75" s="2"/>
      <c r="B75" s="196"/>
      <c r="C75" s="25" t="s">
        <v>166</v>
      </c>
      <c r="D75" s="109">
        <v>44378</v>
      </c>
      <c r="E75" s="2">
        <v>53</v>
      </c>
      <c r="F75" s="88">
        <v>6000</v>
      </c>
      <c r="G75" s="88">
        <f>F75*E75*6*2</f>
        <v>3816000</v>
      </c>
      <c r="H75" s="89">
        <f t="shared" si="15"/>
        <v>1113.5103589145024</v>
      </c>
      <c r="I75" s="104"/>
      <c r="J75" s="15"/>
      <c r="K75" s="2"/>
      <c r="L75" s="2"/>
      <c r="M75" s="97"/>
      <c r="N75" s="88"/>
      <c r="O75" s="89"/>
    </row>
    <row r="76" spans="1:17" ht="26.4" x14ac:dyDescent="0.25">
      <c r="A76" s="2"/>
      <c r="B76" s="197"/>
      <c r="C76" s="25" t="s">
        <v>167</v>
      </c>
      <c r="D76" s="109">
        <v>44378</v>
      </c>
      <c r="E76" s="2">
        <v>53</v>
      </c>
      <c r="F76" s="88">
        <v>6000</v>
      </c>
      <c r="G76" s="88">
        <f>F76*E76*6*2</f>
        <v>3816000</v>
      </c>
      <c r="H76" s="89">
        <f t="shared" si="15"/>
        <v>1113.5103589145024</v>
      </c>
      <c r="I76" s="104"/>
      <c r="J76" s="15"/>
      <c r="K76" s="2"/>
      <c r="L76" s="2"/>
      <c r="M76" s="97"/>
      <c r="N76" s="88"/>
      <c r="O76" s="89"/>
    </row>
    <row r="77" spans="1:17" x14ac:dyDescent="0.25">
      <c r="A77" s="2"/>
      <c r="B77" s="218" t="s">
        <v>147</v>
      </c>
      <c r="C77" s="26" t="s">
        <v>164</v>
      </c>
      <c r="D77" s="109">
        <v>44378</v>
      </c>
      <c r="E77" s="2">
        <v>28</v>
      </c>
      <c r="F77" s="88">
        <v>35000</v>
      </c>
      <c r="G77" s="88">
        <f t="shared" si="21"/>
        <v>980000</v>
      </c>
      <c r="H77" s="89">
        <f t="shared" si="15"/>
        <v>285.96440035016047</v>
      </c>
      <c r="I77" s="28"/>
      <c r="J77" s="99"/>
      <c r="K77" s="2"/>
      <c r="L77" s="2"/>
      <c r="M77" s="97"/>
      <c r="N77" s="88"/>
      <c r="O77" s="89"/>
    </row>
    <row r="78" spans="1:17" x14ac:dyDescent="0.25">
      <c r="A78" s="2"/>
      <c r="B78" s="219"/>
      <c r="C78" s="25" t="s">
        <v>165</v>
      </c>
      <c r="D78" s="109">
        <v>44378</v>
      </c>
      <c r="E78" s="2">
        <v>53</v>
      </c>
      <c r="F78" s="88">
        <v>35000</v>
      </c>
      <c r="G78" s="88">
        <f t="shared" si="21"/>
        <v>1855000</v>
      </c>
      <c r="H78" s="89">
        <f t="shared" si="15"/>
        <v>541.28975780566088</v>
      </c>
      <c r="I78" s="28"/>
      <c r="J78" s="99"/>
      <c r="K78" s="2"/>
      <c r="L78" s="2"/>
      <c r="M78" s="97"/>
      <c r="N78" s="88"/>
      <c r="O78" s="89"/>
    </row>
    <row r="79" spans="1:17" s="20" customFormat="1" ht="14.4" x14ac:dyDescent="0.3">
      <c r="A79" s="2"/>
      <c r="B79" s="198" t="s">
        <v>148</v>
      </c>
      <c r="C79" s="199"/>
      <c r="D79" s="199"/>
      <c r="E79" s="200"/>
      <c r="F79" s="91">
        <f>SUM(F57:F78)</f>
        <v>4356000</v>
      </c>
      <c r="G79" s="91">
        <f t="shared" ref="G79:H79" si="29">SUM(G57:G78)</f>
        <v>121209000</v>
      </c>
      <c r="H79" s="91">
        <f t="shared" si="29"/>
        <v>35368.835716369998</v>
      </c>
      <c r="I79" s="19"/>
      <c r="J79" s="101"/>
      <c r="K79" s="19"/>
      <c r="L79" s="2"/>
      <c r="M79" s="97"/>
      <c r="N79" s="88"/>
      <c r="O79" s="89"/>
      <c r="P79" s="102">
        <f>H79+O79</f>
        <v>35368.835716369998</v>
      </c>
      <c r="Q79" s="103" t="s">
        <v>178</v>
      </c>
    </row>
    <row r="80" spans="1:17" s="20" customFormat="1" ht="14.4" x14ac:dyDescent="0.3">
      <c r="A80" s="2"/>
      <c r="B80" s="198" t="s">
        <v>149</v>
      </c>
      <c r="C80" s="199"/>
      <c r="D80" s="199"/>
      <c r="E80" s="200"/>
      <c r="F80" s="91">
        <f>+F57+F59+F60+F63+F64+F65+F66+F67+F68+F69+F71+F73+F75+F77</f>
        <v>2528000</v>
      </c>
      <c r="G80" s="91">
        <f>+G57+G59+G60+G63+G64+G65+G66+G67+G68+G69+G71+G73+G75+G77</f>
        <v>75072000</v>
      </c>
      <c r="H80" s="91">
        <f>+H57+H59+H60+H63+H64+H65+H66+H67+H68+H69+H71+H73+H75+H77</f>
        <v>21906.040268456378</v>
      </c>
      <c r="I80" s="19"/>
      <c r="J80" s="101"/>
      <c r="K80" s="19"/>
      <c r="L80" s="2"/>
      <c r="M80" s="97"/>
      <c r="N80" s="88"/>
      <c r="O80" s="89"/>
      <c r="P80" s="102">
        <f>H80+O80</f>
        <v>21906.040268456378</v>
      </c>
      <c r="Q80" s="103" t="s">
        <v>179</v>
      </c>
    </row>
    <row r="81" spans="1:17" s="20" customFormat="1" ht="14.4" x14ac:dyDescent="0.3">
      <c r="A81" s="2"/>
      <c r="B81" s="198" t="s">
        <v>150</v>
      </c>
      <c r="C81" s="199"/>
      <c r="D81" s="199"/>
      <c r="E81" s="200"/>
      <c r="F81" s="91">
        <f>+F58+F61+F62+F70+F72+F74+F76+F78</f>
        <v>1828000</v>
      </c>
      <c r="G81" s="91">
        <f>+G58+G61+G62+G70+G72+G74+G76+G78</f>
        <v>46137000</v>
      </c>
      <c r="H81" s="91">
        <f>+H58+H61+H62+H70+H72+H74+H76+H78</f>
        <v>13462.795447913624</v>
      </c>
      <c r="I81" s="19"/>
      <c r="J81" s="101"/>
      <c r="K81" s="19"/>
      <c r="L81" s="2"/>
      <c r="M81" s="97"/>
      <c r="N81" s="88"/>
      <c r="O81" s="89"/>
      <c r="P81" s="102">
        <f t="shared" ref="P81" si="30">H81+O81</f>
        <v>13462.795447913624</v>
      </c>
      <c r="Q81" s="103" t="s">
        <v>180</v>
      </c>
    </row>
    <row r="82" spans="1:17" ht="14.4" customHeight="1" x14ac:dyDescent="0.25">
      <c r="A82" s="2"/>
      <c r="B82" s="193" t="s">
        <v>140</v>
      </c>
      <c r="C82" s="194"/>
      <c r="D82" s="194"/>
      <c r="E82" s="194"/>
      <c r="F82" s="194"/>
      <c r="G82" s="194"/>
      <c r="H82" s="194"/>
      <c r="I82" s="194"/>
      <c r="J82" s="194"/>
      <c r="K82" s="194"/>
      <c r="L82" s="194"/>
      <c r="M82" s="194"/>
      <c r="N82" s="194"/>
      <c r="O82" s="194"/>
    </row>
    <row r="83" spans="1:17" ht="39.6" x14ac:dyDescent="0.25">
      <c r="A83" s="2"/>
      <c r="B83" s="28"/>
      <c r="C83" s="2"/>
      <c r="D83" s="2"/>
      <c r="E83" s="2"/>
      <c r="F83" s="16"/>
      <c r="G83" s="16">
        <f t="shared" si="21"/>
        <v>0</v>
      </c>
      <c r="H83" s="17">
        <f t="shared" si="15"/>
        <v>0</v>
      </c>
      <c r="I83" s="28" t="s">
        <v>194</v>
      </c>
      <c r="J83" s="15" t="s">
        <v>182</v>
      </c>
      <c r="K83" s="109">
        <v>44621</v>
      </c>
      <c r="L83" s="2">
        <v>52</v>
      </c>
      <c r="M83" s="97">
        <v>222755</v>
      </c>
      <c r="N83" s="88">
        <f>M83*L83</f>
        <v>11583260</v>
      </c>
      <c r="O83" s="89">
        <f>N83/$B$4</f>
        <v>3380</v>
      </c>
    </row>
    <row r="84" spans="1:17" x14ac:dyDescent="0.25">
      <c r="A84" s="2"/>
      <c r="B84" s="28"/>
      <c r="C84" s="2"/>
      <c r="D84" s="2"/>
      <c r="E84" s="2"/>
      <c r="F84" s="16"/>
      <c r="G84" s="16">
        <f t="shared" si="21"/>
        <v>0</v>
      </c>
      <c r="H84" s="17">
        <f t="shared" si="15"/>
        <v>0</v>
      </c>
      <c r="I84" s="195" t="s">
        <v>195</v>
      </c>
      <c r="J84" s="15" t="s">
        <v>171</v>
      </c>
      <c r="K84" s="109">
        <v>44621</v>
      </c>
      <c r="L84" s="2">
        <v>1</v>
      </c>
      <c r="M84" s="97">
        <v>1600000</v>
      </c>
      <c r="N84" s="88">
        <f t="shared" ref="N84:N88" si="31">M84*L84</f>
        <v>1600000</v>
      </c>
      <c r="O84" s="89">
        <f t="shared" ref="O84:O102" si="32">N84/$B$4</f>
        <v>466.88065363291508</v>
      </c>
    </row>
    <row r="85" spans="1:17" ht="39.6" x14ac:dyDescent="0.25">
      <c r="A85" s="2"/>
      <c r="B85" s="28"/>
      <c r="C85" s="2"/>
      <c r="D85" s="2"/>
      <c r="E85" s="2"/>
      <c r="F85" s="16"/>
      <c r="G85" s="16">
        <f t="shared" si="21"/>
        <v>0</v>
      </c>
      <c r="H85" s="17">
        <f t="shared" si="15"/>
        <v>0</v>
      </c>
      <c r="I85" s="196"/>
      <c r="J85" s="15" t="s">
        <v>174</v>
      </c>
      <c r="K85" s="109">
        <v>44621</v>
      </c>
      <c r="L85" s="2">
        <v>52</v>
      </c>
      <c r="M85" s="97">
        <v>910000</v>
      </c>
      <c r="N85" s="88">
        <f t="shared" si="31"/>
        <v>47320000</v>
      </c>
      <c r="O85" s="89">
        <f t="shared" si="32"/>
        <v>13807.995331193464</v>
      </c>
    </row>
    <row r="86" spans="1:17" ht="26.4" x14ac:dyDescent="0.25">
      <c r="A86" s="2"/>
      <c r="B86" s="28"/>
      <c r="C86" s="2"/>
      <c r="D86" s="2"/>
      <c r="E86" s="2"/>
      <c r="F86" s="16"/>
      <c r="G86" s="16">
        <f t="shared" si="21"/>
        <v>0</v>
      </c>
      <c r="H86" s="17">
        <f t="shared" si="15"/>
        <v>0</v>
      </c>
      <c r="I86" s="196"/>
      <c r="J86" s="15" t="s">
        <v>172</v>
      </c>
      <c r="K86" s="109">
        <v>44621</v>
      </c>
      <c r="L86" s="2">
        <v>52</v>
      </c>
      <c r="M86" s="97">
        <v>1600000</v>
      </c>
      <c r="N86" s="88">
        <f>M86*L86</f>
        <v>83200000</v>
      </c>
      <c r="O86" s="89">
        <f t="shared" si="32"/>
        <v>24277.793988911584</v>
      </c>
    </row>
    <row r="87" spans="1:17" ht="26.4" x14ac:dyDescent="0.25">
      <c r="A87" s="2"/>
      <c r="B87" s="28"/>
      <c r="C87" s="2"/>
      <c r="D87" s="2"/>
      <c r="E87" s="2"/>
      <c r="F87" s="16"/>
      <c r="G87" s="16">
        <f t="shared" si="21"/>
        <v>0</v>
      </c>
      <c r="H87" s="17">
        <f t="shared" si="15"/>
        <v>0</v>
      </c>
      <c r="I87" s="196"/>
      <c r="J87" s="15" t="s">
        <v>173</v>
      </c>
      <c r="K87" s="109">
        <v>44621</v>
      </c>
      <c r="L87" s="2">
        <v>3</v>
      </c>
      <c r="M87" s="97">
        <v>1600000</v>
      </c>
      <c r="N87" s="88">
        <f t="shared" si="31"/>
        <v>4800000</v>
      </c>
      <c r="O87" s="89">
        <f t="shared" si="32"/>
        <v>1400.6419608987453</v>
      </c>
    </row>
    <row r="88" spans="1:17" ht="26.4" x14ac:dyDescent="0.25">
      <c r="A88" s="2"/>
      <c r="B88" s="28"/>
      <c r="C88" s="2"/>
      <c r="D88" s="2"/>
      <c r="E88" s="2"/>
      <c r="F88" s="16"/>
      <c r="G88" s="16">
        <f t="shared" si="21"/>
        <v>0</v>
      </c>
      <c r="H88" s="17">
        <f t="shared" si="15"/>
        <v>0</v>
      </c>
      <c r="I88" s="197"/>
      <c r="J88" s="15" t="s">
        <v>175</v>
      </c>
      <c r="K88" s="109">
        <v>44621</v>
      </c>
      <c r="L88" s="2">
        <v>52</v>
      </c>
      <c r="M88" s="97">
        <v>910000</v>
      </c>
      <c r="N88" s="88">
        <f t="shared" si="31"/>
        <v>47320000</v>
      </c>
      <c r="O88" s="89">
        <f t="shared" si="32"/>
        <v>13807.995331193464</v>
      </c>
    </row>
    <row r="89" spans="1:17" ht="26.4" x14ac:dyDescent="0.25">
      <c r="A89" s="2"/>
      <c r="B89" s="28"/>
      <c r="C89" s="2"/>
      <c r="D89" s="2"/>
      <c r="E89" s="2"/>
      <c r="F89" s="16"/>
      <c r="G89" s="16">
        <f t="shared" si="21"/>
        <v>0</v>
      </c>
      <c r="H89" s="17">
        <f t="shared" si="15"/>
        <v>0</v>
      </c>
      <c r="I89" s="195" t="s">
        <v>196</v>
      </c>
      <c r="J89" s="15" t="s">
        <v>205</v>
      </c>
      <c r="K89" s="109">
        <v>44621</v>
      </c>
      <c r="L89" s="2">
        <v>1</v>
      </c>
      <c r="M89" s="97">
        <v>40000</v>
      </c>
      <c r="N89" s="88">
        <f>M89*L89*5</f>
        <v>200000</v>
      </c>
      <c r="O89" s="89">
        <f t="shared" si="32"/>
        <v>58.360081704114386</v>
      </c>
    </row>
    <row r="90" spans="1:17" ht="26.4" x14ac:dyDescent="0.25">
      <c r="A90" s="2"/>
      <c r="B90" s="28"/>
      <c r="C90" s="2"/>
      <c r="D90" s="2"/>
      <c r="E90" s="2"/>
      <c r="F90" s="16"/>
      <c r="G90" s="16">
        <v>0</v>
      </c>
      <c r="H90" s="17">
        <v>0</v>
      </c>
      <c r="I90" s="196"/>
      <c r="J90" s="15" t="s">
        <v>204</v>
      </c>
      <c r="K90" s="109">
        <v>44621</v>
      </c>
      <c r="L90" s="2">
        <v>1</v>
      </c>
      <c r="M90" s="97">
        <v>40000</v>
      </c>
      <c r="N90" s="88">
        <f>M90*L90*5</f>
        <v>200000</v>
      </c>
      <c r="O90" s="89">
        <f t="shared" si="32"/>
        <v>58.360081704114386</v>
      </c>
    </row>
    <row r="91" spans="1:17" ht="52.8" x14ac:dyDescent="0.25">
      <c r="A91" s="2"/>
      <c r="B91" s="28"/>
      <c r="C91" s="2"/>
      <c r="D91" s="2"/>
      <c r="E91" s="2"/>
      <c r="F91" s="16"/>
      <c r="G91" s="16">
        <v>0</v>
      </c>
      <c r="H91" s="17">
        <v>0</v>
      </c>
      <c r="I91" s="197"/>
      <c r="J91" s="229" t="s">
        <v>183</v>
      </c>
      <c r="K91" s="230">
        <v>44621</v>
      </c>
      <c r="L91" s="231">
        <v>210</v>
      </c>
      <c r="M91" s="232">
        <v>400000</v>
      </c>
      <c r="N91" s="223">
        <f>M91*5*2*5</f>
        <v>20000000</v>
      </c>
      <c r="O91" s="89">
        <f t="shared" si="32"/>
        <v>5836.0081704114382</v>
      </c>
    </row>
    <row r="92" spans="1:17" ht="26.4" x14ac:dyDescent="0.25">
      <c r="A92" s="2"/>
      <c r="B92" s="28"/>
      <c r="C92" s="2"/>
      <c r="D92" s="2"/>
      <c r="E92" s="2"/>
      <c r="F92" s="16"/>
      <c r="G92" s="16">
        <v>0</v>
      </c>
      <c r="H92" s="17">
        <v>0</v>
      </c>
      <c r="I92" s="195" t="s">
        <v>197</v>
      </c>
      <c r="J92" s="229" t="s">
        <v>181</v>
      </c>
      <c r="K92" s="230">
        <v>44621</v>
      </c>
      <c r="L92" s="231">
        <v>50</v>
      </c>
      <c r="M92" s="232">
        <v>300000</v>
      </c>
      <c r="N92" s="223">
        <f>M92*L92*6</f>
        <v>90000000</v>
      </c>
      <c r="O92" s="89">
        <f t="shared" si="32"/>
        <v>26262.036766851474</v>
      </c>
    </row>
    <row r="93" spans="1:17" ht="39.6" x14ac:dyDescent="0.25">
      <c r="A93" s="2"/>
      <c r="B93" s="28"/>
      <c r="C93" s="2"/>
      <c r="D93" s="2"/>
      <c r="E93" s="2"/>
      <c r="F93" s="16"/>
      <c r="G93" s="16">
        <v>0</v>
      </c>
      <c r="H93" s="17">
        <v>0</v>
      </c>
      <c r="I93" s="196"/>
      <c r="J93" s="229" t="s">
        <v>184</v>
      </c>
      <c r="K93" s="230">
        <v>44621</v>
      </c>
      <c r="L93" s="231">
        <v>4</v>
      </c>
      <c r="M93" s="232">
        <v>150000</v>
      </c>
      <c r="N93" s="223">
        <f>M93*L93*6</f>
        <v>3600000</v>
      </c>
      <c r="O93" s="89">
        <f t="shared" si="32"/>
        <v>1050.481470674059</v>
      </c>
    </row>
    <row r="94" spans="1:17" ht="39.6" x14ac:dyDescent="0.25">
      <c r="A94" s="2"/>
      <c r="B94" s="28"/>
      <c r="C94" s="2"/>
      <c r="D94" s="2"/>
      <c r="E94" s="2"/>
      <c r="F94" s="16"/>
      <c r="G94" s="16">
        <v>0</v>
      </c>
      <c r="H94" s="17">
        <v>0</v>
      </c>
      <c r="I94" s="197"/>
      <c r="J94" s="229" t="s">
        <v>185</v>
      </c>
      <c r="K94" s="230">
        <v>44621</v>
      </c>
      <c r="L94" s="231">
        <v>3</v>
      </c>
      <c r="M94" s="232">
        <v>150000</v>
      </c>
      <c r="N94" s="223">
        <f>M94*L94*6</f>
        <v>2700000</v>
      </c>
      <c r="O94" s="89">
        <f t="shared" si="32"/>
        <v>787.86110300554424</v>
      </c>
    </row>
    <row r="95" spans="1:17" ht="39.6" x14ac:dyDescent="0.25">
      <c r="A95" s="2"/>
      <c r="B95" s="28"/>
      <c r="C95" s="2"/>
      <c r="D95" s="2"/>
      <c r="E95" s="2"/>
      <c r="F95" s="16"/>
      <c r="G95" s="16">
        <v>0</v>
      </c>
      <c r="H95" s="17">
        <v>0</v>
      </c>
      <c r="I95" s="195" t="s">
        <v>198</v>
      </c>
      <c r="J95" s="229" t="s">
        <v>186</v>
      </c>
      <c r="K95" s="230">
        <v>44621</v>
      </c>
      <c r="L95" s="231">
        <v>56</v>
      </c>
      <c r="M95" s="232">
        <v>40000</v>
      </c>
      <c r="N95" s="223">
        <f>M95*L95*3*7</f>
        <v>47040000</v>
      </c>
      <c r="O95" s="89">
        <f t="shared" si="32"/>
        <v>13726.291216807704</v>
      </c>
    </row>
    <row r="96" spans="1:17" ht="39.6" x14ac:dyDescent="0.25">
      <c r="A96" s="2"/>
      <c r="B96" s="28"/>
      <c r="C96" s="2"/>
      <c r="D96" s="2"/>
      <c r="E96" s="2"/>
      <c r="F96" s="16"/>
      <c r="G96" s="16">
        <v>0</v>
      </c>
      <c r="H96" s="17">
        <v>0</v>
      </c>
      <c r="I96" s="196"/>
      <c r="J96" s="229" t="s">
        <v>187</v>
      </c>
      <c r="K96" s="230">
        <v>44621</v>
      </c>
      <c r="L96" s="231">
        <v>55</v>
      </c>
      <c r="M96" s="232">
        <v>40000</v>
      </c>
      <c r="N96" s="223">
        <f>M96*L96*3*7</f>
        <v>46200000</v>
      </c>
      <c r="O96" s="89">
        <f t="shared" si="32"/>
        <v>13481.178873650422</v>
      </c>
    </row>
    <row r="97" spans="1:17" ht="26.4" x14ac:dyDescent="0.25">
      <c r="A97" s="2"/>
      <c r="B97" s="28"/>
      <c r="C97" s="2"/>
      <c r="D97" s="2"/>
      <c r="E97" s="2"/>
      <c r="F97" s="16"/>
      <c r="G97" s="16">
        <v>0</v>
      </c>
      <c r="H97" s="17">
        <v>0</v>
      </c>
      <c r="I97" s="196"/>
      <c r="J97" s="229" t="s">
        <v>188</v>
      </c>
      <c r="K97" s="230">
        <v>44621</v>
      </c>
      <c r="L97" s="231">
        <v>100</v>
      </c>
      <c r="M97" s="232">
        <v>40000</v>
      </c>
      <c r="N97" s="223">
        <f>M97*L97*5</f>
        <v>20000000</v>
      </c>
      <c r="O97" s="89">
        <f t="shared" si="32"/>
        <v>5836.0081704114382</v>
      </c>
    </row>
    <row r="98" spans="1:17" ht="39.6" x14ac:dyDescent="0.25">
      <c r="A98" s="2"/>
      <c r="B98" s="28"/>
      <c r="C98" s="2"/>
      <c r="D98" s="2"/>
      <c r="E98" s="2"/>
      <c r="F98" s="16"/>
      <c r="G98" s="16">
        <v>0</v>
      </c>
      <c r="H98" s="17">
        <v>0</v>
      </c>
      <c r="I98" s="196"/>
      <c r="J98" s="229" t="s">
        <v>189</v>
      </c>
      <c r="K98" s="230">
        <v>44621</v>
      </c>
      <c r="L98" s="231">
        <v>55</v>
      </c>
      <c r="M98" s="232">
        <v>12000</v>
      </c>
      <c r="N98" s="223">
        <f>M98*L98*2*5</f>
        <v>6600000</v>
      </c>
      <c r="O98" s="89">
        <f t="shared" si="32"/>
        <v>1925.8826962357748</v>
      </c>
    </row>
    <row r="99" spans="1:17" ht="52.8" x14ac:dyDescent="0.25">
      <c r="A99" s="2"/>
      <c r="B99" s="28"/>
      <c r="C99" s="2"/>
      <c r="D99" s="2"/>
      <c r="E99" s="2"/>
      <c r="F99" s="16"/>
      <c r="G99" s="16">
        <v>0</v>
      </c>
      <c r="H99" s="17">
        <v>0</v>
      </c>
      <c r="I99" s="197"/>
      <c r="J99" s="229" t="s">
        <v>190</v>
      </c>
      <c r="K99" s="230">
        <v>44621</v>
      </c>
      <c r="L99" s="231">
        <v>155</v>
      </c>
      <c r="M99" s="232">
        <v>12000</v>
      </c>
      <c r="N99" s="223">
        <f>M99*L99*5*2</f>
        <v>18600000</v>
      </c>
      <c r="O99" s="89">
        <f t="shared" si="32"/>
        <v>5427.4875984826376</v>
      </c>
    </row>
    <row r="100" spans="1:17" ht="26.4" x14ac:dyDescent="0.25">
      <c r="A100" s="2"/>
      <c r="B100" s="28"/>
      <c r="C100" s="2"/>
      <c r="D100" s="2"/>
      <c r="E100" s="2"/>
      <c r="F100" s="16"/>
      <c r="G100" s="16">
        <v>0</v>
      </c>
      <c r="H100" s="17">
        <v>0</v>
      </c>
      <c r="I100" s="28" t="s">
        <v>199</v>
      </c>
      <c r="J100" s="15" t="s">
        <v>191</v>
      </c>
      <c r="K100" s="109">
        <v>44621</v>
      </c>
      <c r="L100" s="2">
        <v>1</v>
      </c>
      <c r="M100" s="97">
        <v>400000</v>
      </c>
      <c r="N100" s="88">
        <f>M100*L100*2</f>
        <v>800000</v>
      </c>
      <c r="O100" s="89">
        <f t="shared" si="32"/>
        <v>233.44032681645754</v>
      </c>
    </row>
    <row r="101" spans="1:17" ht="26.4" x14ac:dyDescent="0.25">
      <c r="A101" s="2"/>
      <c r="B101" s="28"/>
      <c r="C101" s="2"/>
      <c r="D101" s="2"/>
      <c r="E101" s="2"/>
      <c r="F101" s="16"/>
      <c r="G101" s="16">
        <v>0</v>
      </c>
      <c r="H101" s="17">
        <v>0</v>
      </c>
      <c r="I101" s="195" t="s">
        <v>200</v>
      </c>
      <c r="J101" s="15" t="s">
        <v>192</v>
      </c>
      <c r="K101" s="109">
        <v>44621</v>
      </c>
      <c r="L101" s="2">
        <v>52</v>
      </c>
      <c r="M101" s="97">
        <v>35000</v>
      </c>
      <c r="N101" s="88">
        <f t="shared" ref="N101" si="33">M101*L101</f>
        <v>1820000</v>
      </c>
      <c r="O101" s="89">
        <f t="shared" si="32"/>
        <v>531.07674350744094</v>
      </c>
    </row>
    <row r="102" spans="1:17" ht="39.6" x14ac:dyDescent="0.25">
      <c r="A102" s="2"/>
      <c r="B102" s="28"/>
      <c r="C102" s="2"/>
      <c r="D102" s="2"/>
      <c r="E102" s="2"/>
      <c r="F102" s="16"/>
      <c r="G102" s="16">
        <v>0</v>
      </c>
      <c r="H102" s="17">
        <v>0</v>
      </c>
      <c r="I102" s="197"/>
      <c r="J102" s="15" t="s">
        <v>193</v>
      </c>
      <c r="K102" s="109">
        <v>44621</v>
      </c>
      <c r="L102" s="2">
        <v>56</v>
      </c>
      <c r="M102" s="97">
        <v>150000</v>
      </c>
      <c r="N102" s="88">
        <f>M102*L102</f>
        <v>8400000</v>
      </c>
      <c r="O102" s="89">
        <f t="shared" si="32"/>
        <v>2451.1234315728043</v>
      </c>
    </row>
    <row r="103" spans="1:17" ht="14.4" x14ac:dyDescent="0.3">
      <c r="A103" s="2"/>
      <c r="B103" s="28"/>
      <c r="C103" s="2"/>
      <c r="D103" s="2"/>
      <c r="E103" s="2"/>
      <c r="F103" s="16"/>
      <c r="G103" s="16">
        <v>0</v>
      </c>
      <c r="H103" s="17">
        <v>0</v>
      </c>
      <c r="I103" s="198" t="s">
        <v>201</v>
      </c>
      <c r="J103" s="199"/>
      <c r="K103" s="199"/>
      <c r="L103" s="200"/>
      <c r="M103" s="91">
        <f>SUM(M81:M102)</f>
        <v>8651755</v>
      </c>
      <c r="N103" s="91">
        <f t="shared" ref="N103:O103" si="34">SUM(N81:N102)</f>
        <v>461983260</v>
      </c>
      <c r="O103" s="91">
        <f t="shared" si="34"/>
        <v>134806.90399766562</v>
      </c>
      <c r="P103" s="102">
        <f>H103+O103</f>
        <v>134806.90399766562</v>
      </c>
      <c r="Q103" s="103" t="s">
        <v>178</v>
      </c>
    </row>
    <row r="104" spans="1:17" ht="14.4" x14ac:dyDescent="0.3">
      <c r="A104" s="2"/>
      <c r="B104" s="28"/>
      <c r="C104" s="2"/>
      <c r="D104" s="2"/>
      <c r="E104" s="2"/>
      <c r="F104" s="16"/>
      <c r="G104" s="16">
        <v>0</v>
      </c>
      <c r="H104" s="17">
        <v>0</v>
      </c>
      <c r="I104" s="198" t="s">
        <v>202</v>
      </c>
      <c r="J104" s="199"/>
      <c r="K104" s="199"/>
      <c r="L104" s="200"/>
      <c r="M104" s="91">
        <f>+M84+M85+M86+M87+M90+M95+M98+M102</f>
        <v>5952000</v>
      </c>
      <c r="N104" s="91">
        <f t="shared" ref="N104:O104" si="35">+N84+N85+N86+N87+N90+N95+N98+N102</f>
        <v>199160000</v>
      </c>
      <c r="O104" s="91">
        <f t="shared" si="35"/>
        <v>58114.969360957119</v>
      </c>
      <c r="P104" s="102">
        <f>H104+O104</f>
        <v>58114.969360957119</v>
      </c>
      <c r="Q104" s="103" t="s">
        <v>179</v>
      </c>
    </row>
    <row r="105" spans="1:17" ht="14.4" x14ac:dyDescent="0.3">
      <c r="A105" s="2"/>
      <c r="B105" s="28"/>
      <c r="C105" s="2"/>
      <c r="D105" s="2"/>
      <c r="E105" s="2"/>
      <c r="F105" s="16"/>
      <c r="G105" s="16">
        <v>0</v>
      </c>
      <c r="H105" s="17">
        <v>0</v>
      </c>
      <c r="I105" s="198" t="s">
        <v>203</v>
      </c>
      <c r="J105" s="199"/>
      <c r="K105" s="199"/>
      <c r="L105" s="200"/>
      <c r="M105" s="91">
        <f>+M83+M88+M89+M91+M92+M93+M94+M96+M97+M99+M100+M101</f>
        <v>2699755</v>
      </c>
      <c r="N105" s="91">
        <f t="shared" ref="N105:O105" si="36">+N83+N88+N89+N91+N92+N93+N94+N96+N97+N99+N100+N101</f>
        <v>262823260</v>
      </c>
      <c r="O105" s="91">
        <f t="shared" si="36"/>
        <v>76691.934636708495</v>
      </c>
      <c r="P105" s="102">
        <f t="shared" ref="P105" si="37">H105+O105</f>
        <v>76691.934636708495</v>
      </c>
      <c r="Q105" s="103" t="s">
        <v>180</v>
      </c>
    </row>
    <row r="106" spans="1:17" ht="14.4" customHeight="1" x14ac:dyDescent="0.25">
      <c r="A106" s="2"/>
      <c r="B106" s="193" t="s">
        <v>206</v>
      </c>
      <c r="C106" s="194"/>
      <c r="D106" s="194"/>
      <c r="E106" s="194"/>
      <c r="F106" s="194"/>
      <c r="G106" s="194"/>
      <c r="H106" s="194"/>
      <c r="I106" s="194"/>
      <c r="J106" s="194"/>
      <c r="K106" s="194"/>
      <c r="L106" s="194"/>
      <c r="M106" s="194"/>
      <c r="N106" s="194"/>
      <c r="O106" s="194"/>
    </row>
    <row r="107" spans="1:17" x14ac:dyDescent="0.25">
      <c r="A107" s="2"/>
      <c r="B107" s="195" t="s">
        <v>242</v>
      </c>
      <c r="C107" s="15" t="s">
        <v>207</v>
      </c>
      <c r="D107" s="109" t="s">
        <v>323</v>
      </c>
      <c r="E107" s="2">
        <v>1</v>
      </c>
      <c r="F107" s="88">
        <v>8700000</v>
      </c>
      <c r="G107" s="88">
        <f t="shared" si="21"/>
        <v>8700000</v>
      </c>
      <c r="H107" s="89">
        <f t="shared" si="15"/>
        <v>2538.6635541289756</v>
      </c>
      <c r="I107" s="28"/>
      <c r="J107" s="2"/>
      <c r="K107" s="2"/>
      <c r="L107" s="2"/>
      <c r="M107" s="2"/>
      <c r="N107" s="2"/>
      <c r="O107" s="22"/>
    </row>
    <row r="108" spans="1:17" x14ac:dyDescent="0.25">
      <c r="A108" s="2"/>
      <c r="B108" s="196"/>
      <c r="C108" s="15" t="s">
        <v>208</v>
      </c>
      <c r="D108" s="109" t="s">
        <v>323</v>
      </c>
      <c r="E108" s="2">
        <v>1</v>
      </c>
      <c r="F108" s="88">
        <v>8700000</v>
      </c>
      <c r="G108" s="88">
        <f t="shared" si="21"/>
        <v>8700000</v>
      </c>
      <c r="H108" s="89">
        <f t="shared" si="15"/>
        <v>2538.6635541289756</v>
      </c>
      <c r="I108" s="28"/>
      <c r="J108" s="2"/>
      <c r="K108" s="2"/>
      <c r="L108" s="2"/>
      <c r="M108" s="2"/>
      <c r="N108" s="2"/>
      <c r="O108" s="22"/>
    </row>
    <row r="109" spans="1:17" x14ac:dyDescent="0.25">
      <c r="A109" s="2"/>
      <c r="B109" s="196"/>
      <c r="C109" s="15" t="s">
        <v>209</v>
      </c>
      <c r="D109" s="109" t="s">
        <v>323</v>
      </c>
      <c r="E109" s="2">
        <v>4</v>
      </c>
      <c r="F109" s="88">
        <v>100000</v>
      </c>
      <c r="G109" s="88">
        <f t="shared" si="21"/>
        <v>400000</v>
      </c>
      <c r="H109" s="89">
        <f t="shared" si="15"/>
        <v>116.72016340822877</v>
      </c>
      <c r="I109" s="28"/>
      <c r="J109" s="2"/>
      <c r="K109" s="2"/>
      <c r="L109" s="2"/>
      <c r="M109" s="2"/>
      <c r="N109" s="2"/>
      <c r="O109" s="22"/>
    </row>
    <row r="110" spans="1:17" x14ac:dyDescent="0.25">
      <c r="A110" s="2"/>
      <c r="B110" s="196"/>
      <c r="C110" s="15" t="s">
        <v>210</v>
      </c>
      <c r="D110" s="109" t="s">
        <v>323</v>
      </c>
      <c r="E110" s="2">
        <v>4</v>
      </c>
      <c r="F110" s="223">
        <v>100000</v>
      </c>
      <c r="G110" s="223">
        <f t="shared" si="21"/>
        <v>400000</v>
      </c>
      <c r="H110" s="89">
        <f t="shared" si="15"/>
        <v>116.72016340822877</v>
      </c>
      <c r="I110" s="28"/>
      <c r="J110" s="2"/>
      <c r="K110" s="2"/>
      <c r="L110" s="2"/>
      <c r="M110" s="2"/>
      <c r="N110" s="2"/>
      <c r="O110" s="22"/>
    </row>
    <row r="111" spans="1:17" x14ac:dyDescent="0.25">
      <c r="A111" s="2"/>
      <c r="B111" s="196"/>
      <c r="C111" s="15" t="s">
        <v>211</v>
      </c>
      <c r="D111" s="109" t="s">
        <v>323</v>
      </c>
      <c r="E111" s="2">
        <v>1</v>
      </c>
      <c r="F111" s="223">
        <v>1500000</v>
      </c>
      <c r="G111" s="223">
        <f t="shared" si="21"/>
        <v>1500000</v>
      </c>
      <c r="H111" s="89">
        <f t="shared" si="15"/>
        <v>437.70061278085791</v>
      </c>
      <c r="I111" s="28"/>
      <c r="J111" s="2"/>
      <c r="K111" s="2"/>
      <c r="L111" s="2"/>
      <c r="M111" s="2"/>
      <c r="N111" s="2"/>
      <c r="O111" s="22"/>
    </row>
    <row r="112" spans="1:17" x14ac:dyDescent="0.25">
      <c r="A112" s="2"/>
      <c r="B112" s="197"/>
      <c r="C112" s="15" t="s">
        <v>212</v>
      </c>
      <c r="D112" s="109" t="s">
        <v>323</v>
      </c>
      <c r="E112" s="2">
        <v>1</v>
      </c>
      <c r="F112" s="223">
        <v>1500000</v>
      </c>
      <c r="G112" s="223">
        <f t="shared" ref="G112:G122" si="38">F112*E112</f>
        <v>1500000</v>
      </c>
      <c r="H112" s="89">
        <f t="shared" ref="H112:H122" si="39">G112/$B$4</f>
        <v>437.70061278085791</v>
      </c>
      <c r="I112" s="28"/>
      <c r="J112" s="2"/>
      <c r="K112" s="2"/>
      <c r="L112" s="2"/>
      <c r="M112" s="2"/>
      <c r="N112" s="2"/>
      <c r="O112" s="22"/>
    </row>
    <row r="113" spans="1:17" x14ac:dyDescent="0.25">
      <c r="A113" s="2"/>
      <c r="B113" s="195" t="s">
        <v>241</v>
      </c>
      <c r="C113" s="15" t="s">
        <v>213</v>
      </c>
      <c r="D113" s="109" t="s">
        <v>323</v>
      </c>
      <c r="E113" s="2">
        <v>55</v>
      </c>
      <c r="F113" s="223">
        <v>4523640</v>
      </c>
      <c r="G113" s="223">
        <f>F113</f>
        <v>4523640</v>
      </c>
      <c r="H113" s="89">
        <f t="shared" si="39"/>
        <v>1320</v>
      </c>
      <c r="I113" s="28"/>
      <c r="J113" s="2"/>
      <c r="K113" s="2"/>
      <c r="L113" s="2"/>
      <c r="M113" s="2"/>
      <c r="N113" s="2"/>
      <c r="O113" s="22"/>
    </row>
    <row r="114" spans="1:17" ht="26.4" x14ac:dyDescent="0.25">
      <c r="A114" s="2"/>
      <c r="B114" s="197"/>
      <c r="C114" s="15" t="s">
        <v>214</v>
      </c>
      <c r="D114" s="109" t="s">
        <v>323</v>
      </c>
      <c r="E114" s="2">
        <v>55</v>
      </c>
      <c r="F114" s="223">
        <v>4523640</v>
      </c>
      <c r="G114" s="223">
        <f>F114</f>
        <v>4523640</v>
      </c>
      <c r="H114" s="89">
        <f t="shared" si="39"/>
        <v>1320</v>
      </c>
      <c r="I114" s="28"/>
      <c r="J114" s="2"/>
      <c r="K114" s="2"/>
      <c r="L114" s="2"/>
      <c r="M114" s="2"/>
      <c r="N114" s="2"/>
      <c r="O114" s="22"/>
    </row>
    <row r="115" spans="1:17" ht="26.4" x14ac:dyDescent="0.25">
      <c r="A115" s="2"/>
      <c r="B115" s="195" t="s">
        <v>243</v>
      </c>
      <c r="C115" s="15" t="s">
        <v>219</v>
      </c>
      <c r="D115" s="109" t="s">
        <v>323</v>
      </c>
      <c r="E115" s="2">
        <v>55</v>
      </c>
      <c r="F115" s="223">
        <v>6000</v>
      </c>
      <c r="G115" s="223">
        <f t="shared" si="38"/>
        <v>330000</v>
      </c>
      <c r="H115" s="89">
        <f t="shared" si="39"/>
        <v>96.294134811788737</v>
      </c>
      <c r="I115" s="28"/>
      <c r="J115" s="2"/>
      <c r="K115" s="2"/>
      <c r="L115" s="2"/>
      <c r="M115" s="2"/>
      <c r="N115" s="2"/>
      <c r="O115" s="22"/>
    </row>
    <row r="116" spans="1:17" ht="26.4" x14ac:dyDescent="0.25">
      <c r="A116" s="2"/>
      <c r="B116" s="196"/>
      <c r="C116" s="15" t="s">
        <v>218</v>
      </c>
      <c r="D116" s="109" t="s">
        <v>323</v>
      </c>
      <c r="E116" s="2">
        <v>55</v>
      </c>
      <c r="F116" s="223">
        <v>6000</v>
      </c>
      <c r="G116" s="223">
        <f t="shared" si="38"/>
        <v>330000</v>
      </c>
      <c r="H116" s="89">
        <f t="shared" si="39"/>
        <v>96.294134811788737</v>
      </c>
      <c r="I116" s="28"/>
      <c r="J116" s="2"/>
      <c r="K116" s="2"/>
      <c r="L116" s="2"/>
      <c r="M116" s="2"/>
      <c r="N116" s="2"/>
      <c r="O116" s="22"/>
    </row>
    <row r="117" spans="1:17" ht="26.4" x14ac:dyDescent="0.25">
      <c r="A117" s="2"/>
      <c r="B117" s="196"/>
      <c r="C117" s="15" t="s">
        <v>223</v>
      </c>
      <c r="D117" s="109" t="s">
        <v>323</v>
      </c>
      <c r="E117" s="2">
        <v>55</v>
      </c>
      <c r="F117" s="223">
        <v>6000</v>
      </c>
      <c r="G117" s="223">
        <f t="shared" si="38"/>
        <v>330000</v>
      </c>
      <c r="H117" s="89">
        <f t="shared" si="39"/>
        <v>96.294134811788737</v>
      </c>
      <c r="I117" s="28"/>
      <c r="J117" s="2"/>
      <c r="K117" s="2"/>
      <c r="L117" s="2"/>
      <c r="M117" s="2"/>
      <c r="N117" s="2"/>
      <c r="O117" s="22"/>
    </row>
    <row r="118" spans="1:17" ht="26.4" x14ac:dyDescent="0.25">
      <c r="A118" s="2"/>
      <c r="B118" s="196"/>
      <c r="C118" s="15" t="s">
        <v>222</v>
      </c>
      <c r="D118" s="109" t="s">
        <v>323</v>
      </c>
      <c r="E118" s="2">
        <v>55</v>
      </c>
      <c r="F118" s="223">
        <v>6000</v>
      </c>
      <c r="G118" s="223">
        <f t="shared" si="38"/>
        <v>330000</v>
      </c>
      <c r="H118" s="89">
        <f t="shared" si="39"/>
        <v>96.294134811788737</v>
      </c>
      <c r="I118" s="28"/>
      <c r="J118" s="2"/>
      <c r="K118" s="2"/>
      <c r="L118" s="2"/>
      <c r="M118" s="2"/>
      <c r="N118" s="2"/>
      <c r="O118" s="22"/>
    </row>
    <row r="119" spans="1:17" x14ac:dyDescent="0.25">
      <c r="A119" s="2"/>
      <c r="B119" s="196"/>
      <c r="C119" s="15" t="s">
        <v>220</v>
      </c>
      <c r="D119" s="109" t="s">
        <v>323</v>
      </c>
      <c r="E119" s="2">
        <v>55</v>
      </c>
      <c r="F119" s="223">
        <v>50000</v>
      </c>
      <c r="G119" s="223">
        <f t="shared" si="38"/>
        <v>2750000</v>
      </c>
      <c r="H119" s="89">
        <f t="shared" si="39"/>
        <v>802.4511234315728</v>
      </c>
      <c r="I119" s="28"/>
      <c r="J119" s="2"/>
      <c r="K119" s="2"/>
      <c r="L119" s="2"/>
      <c r="M119" s="2"/>
      <c r="N119" s="2"/>
      <c r="O119" s="22"/>
    </row>
    <row r="120" spans="1:17" x14ac:dyDescent="0.25">
      <c r="A120" s="2"/>
      <c r="B120" s="196"/>
      <c r="C120" s="15" t="s">
        <v>221</v>
      </c>
      <c r="D120" s="109" t="s">
        <v>323</v>
      </c>
      <c r="E120" s="2">
        <v>55</v>
      </c>
      <c r="F120" s="223">
        <v>50000</v>
      </c>
      <c r="G120" s="223">
        <f t="shared" si="38"/>
        <v>2750000</v>
      </c>
      <c r="H120" s="89">
        <f t="shared" si="39"/>
        <v>802.4511234315728</v>
      </c>
      <c r="I120" s="28"/>
      <c r="J120" s="2"/>
      <c r="K120" s="2"/>
      <c r="L120" s="2"/>
      <c r="M120" s="2"/>
      <c r="N120" s="2"/>
      <c r="O120" s="22"/>
    </row>
    <row r="121" spans="1:17" x14ac:dyDescent="0.25">
      <c r="A121" s="2"/>
      <c r="B121" s="196"/>
      <c r="C121" s="15" t="s">
        <v>224</v>
      </c>
      <c r="D121" s="109" t="s">
        <v>323</v>
      </c>
      <c r="E121" s="2">
        <v>55</v>
      </c>
      <c r="F121" s="223">
        <v>50000</v>
      </c>
      <c r="G121" s="223">
        <f t="shared" si="38"/>
        <v>2750000</v>
      </c>
      <c r="H121" s="89">
        <f t="shared" si="39"/>
        <v>802.4511234315728</v>
      </c>
      <c r="I121" s="28"/>
      <c r="J121" s="2"/>
      <c r="K121" s="2"/>
      <c r="L121" s="2"/>
      <c r="M121" s="2"/>
      <c r="N121" s="2"/>
      <c r="O121" s="22"/>
    </row>
    <row r="122" spans="1:17" x14ac:dyDescent="0.25">
      <c r="A122" s="2"/>
      <c r="B122" s="197"/>
      <c r="C122" s="15" t="s">
        <v>225</v>
      </c>
      <c r="D122" s="109" t="s">
        <v>323</v>
      </c>
      <c r="E122" s="2">
        <v>55</v>
      </c>
      <c r="F122" s="223">
        <v>50000</v>
      </c>
      <c r="G122" s="223">
        <f t="shared" si="38"/>
        <v>2750000</v>
      </c>
      <c r="H122" s="89">
        <f t="shared" si="39"/>
        <v>802.4511234315728</v>
      </c>
      <c r="I122" s="28"/>
      <c r="J122" s="2"/>
      <c r="K122" s="2"/>
      <c r="L122" s="2"/>
      <c r="M122" s="2"/>
      <c r="N122" s="2"/>
      <c r="O122" s="22"/>
    </row>
    <row r="123" spans="1:17" x14ac:dyDescent="0.25">
      <c r="A123" s="2"/>
      <c r="B123" s="195" t="s">
        <v>244</v>
      </c>
      <c r="C123" s="15" t="s">
        <v>215</v>
      </c>
      <c r="D123" s="109" t="s">
        <v>323</v>
      </c>
      <c r="E123" s="2">
        <v>1</v>
      </c>
      <c r="F123" s="223">
        <v>4500000</v>
      </c>
      <c r="G123" s="223">
        <f>F123*E123</f>
        <v>4500000</v>
      </c>
      <c r="H123" s="89">
        <f>G123/$B$4</f>
        <v>1313.1018383425737</v>
      </c>
      <c r="I123" s="28"/>
      <c r="J123" s="2"/>
      <c r="K123" s="2"/>
      <c r="L123" s="2"/>
      <c r="M123" s="2"/>
      <c r="N123" s="2"/>
      <c r="O123" s="22"/>
    </row>
    <row r="124" spans="1:17" x14ac:dyDescent="0.25">
      <c r="A124" s="2"/>
      <c r="B124" s="197"/>
      <c r="C124" s="15" t="s">
        <v>216</v>
      </c>
      <c r="D124" s="109" t="s">
        <v>323</v>
      </c>
      <c r="E124" s="2">
        <v>1</v>
      </c>
      <c r="F124" s="223">
        <v>4500000</v>
      </c>
      <c r="G124" s="223">
        <f t="shared" ref="G124:G126" si="40">F124*E124</f>
        <v>4500000</v>
      </c>
      <c r="H124" s="89">
        <f t="shared" ref="H124:H126" si="41">G124/$B$4</f>
        <v>1313.1018383425737</v>
      </c>
      <c r="I124" s="28"/>
      <c r="J124" s="2"/>
      <c r="K124" s="2"/>
      <c r="L124" s="2"/>
      <c r="M124" s="2"/>
      <c r="N124" s="2"/>
      <c r="O124" s="22"/>
    </row>
    <row r="125" spans="1:17" x14ac:dyDescent="0.25">
      <c r="A125" s="2"/>
      <c r="B125" s="28" t="s">
        <v>245</v>
      </c>
      <c r="C125" s="15" t="s">
        <v>217</v>
      </c>
      <c r="D125" s="109" t="s">
        <v>323</v>
      </c>
      <c r="E125" s="2">
        <v>100</v>
      </c>
      <c r="F125" s="223">
        <v>20000</v>
      </c>
      <c r="G125" s="223">
        <f t="shared" si="40"/>
        <v>2000000</v>
      </c>
      <c r="H125" s="89">
        <f t="shared" si="41"/>
        <v>583.60081704114384</v>
      </c>
      <c r="I125" s="28"/>
      <c r="J125" s="2"/>
      <c r="K125" s="2"/>
      <c r="L125" s="2"/>
      <c r="M125" s="2"/>
      <c r="N125" s="2"/>
      <c r="O125" s="22"/>
    </row>
    <row r="126" spans="1:17" ht="15.6" customHeight="1" x14ac:dyDescent="0.25">
      <c r="A126" s="2"/>
      <c r="B126" s="28" t="s">
        <v>246</v>
      </c>
      <c r="C126" s="15" t="s">
        <v>324</v>
      </c>
      <c r="D126" s="109" t="s">
        <v>323</v>
      </c>
      <c r="E126" s="2">
        <v>1</v>
      </c>
      <c r="F126" s="223">
        <v>5000000</v>
      </c>
      <c r="G126" s="223">
        <f t="shared" si="40"/>
        <v>5000000</v>
      </c>
      <c r="H126" s="89">
        <f t="shared" si="41"/>
        <v>1459.0020426028595</v>
      </c>
      <c r="I126" s="28"/>
      <c r="J126" s="2"/>
      <c r="K126" s="2"/>
      <c r="L126" s="2"/>
      <c r="M126" s="2"/>
      <c r="N126" s="2"/>
      <c r="O126" s="22"/>
    </row>
    <row r="127" spans="1:17" ht="14.4" x14ac:dyDescent="0.3">
      <c r="A127" s="2"/>
      <c r="B127" s="198" t="s">
        <v>226</v>
      </c>
      <c r="C127" s="199"/>
      <c r="D127" s="199"/>
      <c r="E127" s="200"/>
      <c r="F127" s="91">
        <f>SUM(F107:F126)</f>
        <v>43891280</v>
      </c>
      <c r="G127" s="91">
        <f t="shared" ref="G127:H127" si="42">SUM(G107:G126)</f>
        <v>58567280</v>
      </c>
      <c r="H127" s="91">
        <f t="shared" si="42"/>
        <v>17089.956229938725</v>
      </c>
      <c r="I127" s="28"/>
      <c r="J127" s="2"/>
      <c r="K127" s="2"/>
      <c r="L127" s="2"/>
      <c r="M127" s="2"/>
      <c r="N127" s="2"/>
      <c r="O127" s="22"/>
      <c r="P127" s="102">
        <f>H127+O127</f>
        <v>17089.956229938725</v>
      </c>
      <c r="Q127" s="103" t="s">
        <v>178</v>
      </c>
    </row>
    <row r="128" spans="1:17" ht="14.4" x14ac:dyDescent="0.3">
      <c r="A128" s="2"/>
      <c r="B128" s="198" t="s">
        <v>227</v>
      </c>
      <c r="C128" s="199"/>
      <c r="D128" s="199"/>
      <c r="E128" s="200"/>
      <c r="F128" s="91">
        <f>+F107+F109+F111+F113+F115+F117+F119+F121+F123+F125+F126</f>
        <v>24455640</v>
      </c>
      <c r="G128" s="91">
        <f t="shared" ref="G128:H128" si="43">+G107+G109+G111+G113+G115+G117+G119+G121+G123+G125+G126</f>
        <v>32783640</v>
      </c>
      <c r="H128" s="91">
        <f t="shared" si="43"/>
        <v>9566.2795447913613</v>
      </c>
      <c r="I128" s="28"/>
      <c r="J128" s="2"/>
      <c r="K128" s="2"/>
      <c r="L128" s="2"/>
      <c r="M128" s="2"/>
      <c r="N128" s="2"/>
      <c r="O128" s="22"/>
      <c r="P128" s="102">
        <f>H128+O128</f>
        <v>9566.2795447913613</v>
      </c>
      <c r="Q128" s="103" t="s">
        <v>179</v>
      </c>
    </row>
    <row r="129" spans="1:17" ht="14.4" x14ac:dyDescent="0.3">
      <c r="A129" s="2"/>
      <c r="B129" s="198" t="s">
        <v>228</v>
      </c>
      <c r="C129" s="199"/>
      <c r="D129" s="199"/>
      <c r="E129" s="200"/>
      <c r="F129" s="91">
        <f>+F108+F110+F112+F114+F116+F118+F120+F122+F124</f>
        <v>19435640</v>
      </c>
      <c r="G129" s="91">
        <f t="shared" ref="G129:H129" si="44">+G108+G110+G112+G114+G116+G118+G120+G122+G124</f>
        <v>25783640</v>
      </c>
      <c r="H129" s="91">
        <f t="shared" si="44"/>
        <v>7523.6766851473576</v>
      </c>
      <c r="I129" s="28"/>
      <c r="J129" s="2"/>
      <c r="K129" s="2"/>
      <c r="L129" s="2"/>
      <c r="M129" s="2"/>
      <c r="N129" s="2"/>
      <c r="O129" s="22"/>
      <c r="P129" s="102">
        <f t="shared" ref="P129" si="45">H129+O129</f>
        <v>7523.6766851473576</v>
      </c>
      <c r="Q129" s="103" t="s">
        <v>180</v>
      </c>
    </row>
    <row r="130" spans="1:17" ht="14.4" customHeight="1" x14ac:dyDescent="0.25">
      <c r="A130" s="2"/>
      <c r="B130" s="193" t="s">
        <v>141</v>
      </c>
      <c r="C130" s="194"/>
      <c r="D130" s="194"/>
      <c r="E130" s="194"/>
      <c r="F130" s="194"/>
      <c r="G130" s="194"/>
      <c r="H130" s="194"/>
      <c r="I130" s="194"/>
      <c r="J130" s="194"/>
      <c r="K130" s="194"/>
      <c r="L130" s="194"/>
      <c r="M130" s="194"/>
      <c r="N130" s="194"/>
      <c r="O130" s="194"/>
    </row>
    <row r="131" spans="1:17" x14ac:dyDescent="0.25">
      <c r="A131" s="2"/>
      <c r="B131" s="104"/>
      <c r="C131" s="21"/>
      <c r="D131" s="2"/>
      <c r="E131" s="2"/>
      <c r="F131" s="88"/>
      <c r="G131" s="88"/>
      <c r="H131" s="89"/>
      <c r="I131" s="195" t="s">
        <v>247</v>
      </c>
      <c r="J131" s="21" t="s">
        <v>229</v>
      </c>
      <c r="K131" s="109">
        <v>44621</v>
      </c>
      <c r="L131" s="2">
        <v>1</v>
      </c>
      <c r="M131" s="88">
        <v>15000000</v>
      </c>
      <c r="N131" s="88">
        <f t="shared" ref="N131:N135" si="46">M131*L131</f>
        <v>15000000</v>
      </c>
      <c r="O131" s="89">
        <f t="shared" ref="O131:O144" si="47">N131/$B$4</f>
        <v>4377.0061278085786</v>
      </c>
    </row>
    <row r="132" spans="1:17" x14ac:dyDescent="0.25">
      <c r="A132" s="2"/>
      <c r="B132" s="104"/>
      <c r="C132" s="21"/>
      <c r="D132" s="2"/>
      <c r="E132" s="2"/>
      <c r="F132" s="88"/>
      <c r="G132" s="88"/>
      <c r="H132" s="89"/>
      <c r="I132" s="196"/>
      <c r="J132" s="21" t="s">
        <v>230</v>
      </c>
      <c r="K132" s="109">
        <v>44621</v>
      </c>
      <c r="L132" s="2">
        <v>1</v>
      </c>
      <c r="M132" s="88">
        <v>2800000</v>
      </c>
      <c r="N132" s="88">
        <f t="shared" si="46"/>
        <v>2800000</v>
      </c>
      <c r="O132" s="89">
        <f t="shared" si="47"/>
        <v>817.04114385760136</v>
      </c>
    </row>
    <row r="133" spans="1:17" x14ac:dyDescent="0.25">
      <c r="A133" s="2"/>
      <c r="B133" s="104"/>
      <c r="C133" s="21"/>
      <c r="D133" s="2"/>
      <c r="E133" s="2"/>
      <c r="F133" s="88"/>
      <c r="G133" s="88"/>
      <c r="H133" s="89"/>
      <c r="I133" s="196"/>
      <c r="J133" s="21" t="s">
        <v>231</v>
      </c>
      <c r="K133" s="109">
        <v>44621</v>
      </c>
      <c r="L133" s="2">
        <v>1</v>
      </c>
      <c r="M133" s="88">
        <v>2500000</v>
      </c>
      <c r="N133" s="88">
        <f t="shared" si="46"/>
        <v>2500000</v>
      </c>
      <c r="O133" s="89">
        <f t="shared" si="47"/>
        <v>729.50102130142977</v>
      </c>
    </row>
    <row r="134" spans="1:17" x14ac:dyDescent="0.25">
      <c r="A134" s="2"/>
      <c r="B134" s="104"/>
      <c r="C134" s="21"/>
      <c r="D134" s="2"/>
      <c r="E134" s="2"/>
      <c r="F134" s="88"/>
      <c r="G134" s="88"/>
      <c r="H134" s="89"/>
      <c r="I134" s="196"/>
      <c r="J134" s="21" t="s">
        <v>232</v>
      </c>
      <c r="K134" s="109">
        <v>44621</v>
      </c>
      <c r="L134" s="2">
        <v>1</v>
      </c>
      <c r="M134" s="88">
        <v>4200000</v>
      </c>
      <c r="N134" s="88">
        <f t="shared" si="46"/>
        <v>4200000</v>
      </c>
      <c r="O134" s="89">
        <f t="shared" si="47"/>
        <v>1225.5617157864021</v>
      </c>
    </row>
    <row r="135" spans="1:17" x14ac:dyDescent="0.25">
      <c r="A135" s="2"/>
      <c r="B135" s="104"/>
      <c r="C135" s="21"/>
      <c r="D135" s="2"/>
      <c r="E135" s="2"/>
      <c r="F135" s="88"/>
      <c r="G135" s="88"/>
      <c r="H135" s="89"/>
      <c r="I135" s="196"/>
      <c r="J135" s="21" t="s">
        <v>233</v>
      </c>
      <c r="K135" s="109">
        <v>44621</v>
      </c>
      <c r="L135" s="2">
        <v>100</v>
      </c>
      <c r="M135" s="88">
        <v>25000</v>
      </c>
      <c r="N135" s="88">
        <f t="shared" si="46"/>
        <v>2500000</v>
      </c>
      <c r="O135" s="89">
        <f t="shared" si="47"/>
        <v>729.50102130142977</v>
      </c>
    </row>
    <row r="136" spans="1:17" x14ac:dyDescent="0.25">
      <c r="A136" s="2"/>
      <c r="B136" s="104"/>
      <c r="C136" s="21"/>
      <c r="D136" s="2"/>
      <c r="E136" s="2"/>
      <c r="F136" s="88"/>
      <c r="G136" s="88"/>
      <c r="H136" s="89"/>
      <c r="I136" s="196"/>
      <c r="J136" s="21" t="s">
        <v>234</v>
      </c>
      <c r="K136" s="109">
        <v>44621</v>
      </c>
      <c r="L136" s="2">
        <v>1</v>
      </c>
      <c r="M136" s="88">
        <v>430000</v>
      </c>
      <c r="N136" s="88">
        <f>M136*L136*2</f>
        <v>860000</v>
      </c>
      <c r="O136" s="89">
        <f t="shared" si="47"/>
        <v>250.94835132769185</v>
      </c>
    </row>
    <row r="137" spans="1:17" x14ac:dyDescent="0.25">
      <c r="A137" s="2"/>
      <c r="B137" s="104"/>
      <c r="C137" s="21"/>
      <c r="D137" s="2"/>
      <c r="E137" s="2"/>
      <c r="F137" s="88"/>
      <c r="G137" s="88"/>
      <c r="H137" s="89"/>
      <c r="I137" s="196"/>
      <c r="J137" s="21" t="s">
        <v>235</v>
      </c>
      <c r="K137" s="109">
        <v>44621</v>
      </c>
      <c r="L137" s="2">
        <v>4</v>
      </c>
      <c r="M137" s="88">
        <v>100000</v>
      </c>
      <c r="N137" s="88">
        <f t="shared" ref="N137" si="48">M137*L137</f>
        <v>400000</v>
      </c>
      <c r="O137" s="89">
        <f t="shared" si="47"/>
        <v>116.72016340822877</v>
      </c>
    </row>
    <row r="138" spans="1:17" x14ac:dyDescent="0.25">
      <c r="A138" s="2"/>
      <c r="B138" s="104"/>
      <c r="C138" s="21"/>
      <c r="D138" s="2"/>
      <c r="E138" s="2"/>
      <c r="F138" s="88"/>
      <c r="G138" s="88"/>
      <c r="H138" s="89"/>
      <c r="I138" s="197"/>
      <c r="J138" s="21" t="s">
        <v>262</v>
      </c>
      <c r="K138" s="109">
        <v>44621</v>
      </c>
      <c r="L138" s="2">
        <v>1</v>
      </c>
      <c r="M138" s="88">
        <v>1500000</v>
      </c>
      <c r="N138" s="88">
        <f>M138*L138*2</f>
        <v>3000000</v>
      </c>
      <c r="O138" s="89">
        <f t="shared" si="47"/>
        <v>875.40122556171582</v>
      </c>
    </row>
    <row r="139" spans="1:17" ht="39.6" x14ac:dyDescent="0.25">
      <c r="A139" s="2"/>
      <c r="B139" s="28"/>
      <c r="C139" s="15"/>
      <c r="D139" s="2"/>
      <c r="E139" s="2"/>
      <c r="F139" s="88"/>
      <c r="G139" s="88"/>
      <c r="H139" s="89"/>
      <c r="I139" s="28" t="s">
        <v>248</v>
      </c>
      <c r="J139" s="15" t="s">
        <v>236</v>
      </c>
      <c r="K139" s="109">
        <v>44621</v>
      </c>
      <c r="L139" s="2">
        <v>210</v>
      </c>
      <c r="M139" s="223">
        <v>300000</v>
      </c>
      <c r="N139" s="88">
        <f>M139*5*2</f>
        <v>3000000</v>
      </c>
      <c r="O139" s="89">
        <f t="shared" si="47"/>
        <v>875.40122556171582</v>
      </c>
    </row>
    <row r="140" spans="1:17" ht="26.4" x14ac:dyDescent="0.25">
      <c r="A140" s="2"/>
      <c r="B140" s="28"/>
      <c r="C140" s="15"/>
      <c r="D140" s="2"/>
      <c r="E140" s="2"/>
      <c r="F140" s="88"/>
      <c r="G140" s="88"/>
      <c r="H140" s="89"/>
      <c r="I140" s="28" t="s">
        <v>249</v>
      </c>
      <c r="J140" s="15" t="s">
        <v>216</v>
      </c>
      <c r="K140" s="109">
        <v>44621</v>
      </c>
      <c r="L140" s="2">
        <v>1</v>
      </c>
      <c r="M140" s="223">
        <v>4500000</v>
      </c>
      <c r="N140" s="88">
        <f t="shared" ref="N140:N144" si="49">M140*L140</f>
        <v>4500000</v>
      </c>
      <c r="O140" s="89">
        <f t="shared" si="47"/>
        <v>1313.1018383425737</v>
      </c>
    </row>
    <row r="141" spans="1:17" x14ac:dyDescent="0.25">
      <c r="A141" s="2"/>
      <c r="B141" s="28"/>
      <c r="C141" s="21"/>
      <c r="D141" s="2"/>
      <c r="E141" s="2"/>
      <c r="F141" s="88"/>
      <c r="G141" s="88"/>
      <c r="H141" s="89"/>
      <c r="I141" s="28" t="s">
        <v>250</v>
      </c>
      <c r="J141" s="21" t="s">
        <v>237</v>
      </c>
      <c r="K141" s="109">
        <v>44621</v>
      </c>
      <c r="L141" s="2">
        <v>200</v>
      </c>
      <c r="M141" s="223">
        <v>19000</v>
      </c>
      <c r="N141" s="88">
        <f t="shared" si="49"/>
        <v>3800000</v>
      </c>
      <c r="O141" s="89">
        <f t="shared" si="47"/>
        <v>1108.8415523781732</v>
      </c>
    </row>
    <row r="142" spans="1:17" x14ac:dyDescent="0.25">
      <c r="A142" s="2"/>
      <c r="B142" s="104"/>
      <c r="C142" s="21"/>
      <c r="D142" s="2"/>
      <c r="E142" s="2"/>
      <c r="F142" s="88"/>
      <c r="G142" s="88"/>
      <c r="H142" s="89"/>
      <c r="I142" s="195" t="s">
        <v>251</v>
      </c>
      <c r="J142" s="21" t="s">
        <v>238</v>
      </c>
      <c r="K142" s="109">
        <v>44621</v>
      </c>
      <c r="L142" s="2">
        <v>55</v>
      </c>
      <c r="M142" s="223">
        <v>12000</v>
      </c>
      <c r="N142" s="88">
        <f t="shared" si="49"/>
        <v>660000</v>
      </c>
      <c r="O142" s="89">
        <f t="shared" si="47"/>
        <v>192.58826962357747</v>
      </c>
    </row>
    <row r="143" spans="1:17" x14ac:dyDescent="0.25">
      <c r="A143" s="2"/>
      <c r="B143" s="104"/>
      <c r="C143" s="21"/>
      <c r="D143" s="2"/>
      <c r="E143" s="2"/>
      <c r="F143" s="88"/>
      <c r="G143" s="88"/>
      <c r="H143" s="89"/>
      <c r="I143" s="197"/>
      <c r="J143" s="21" t="s">
        <v>239</v>
      </c>
      <c r="K143" s="109">
        <v>44621</v>
      </c>
      <c r="L143" s="2">
        <v>155</v>
      </c>
      <c r="M143" s="223">
        <v>12000</v>
      </c>
      <c r="N143" s="88">
        <f t="shared" si="49"/>
        <v>1860000</v>
      </c>
      <c r="O143" s="89">
        <f t="shared" si="47"/>
        <v>542.74875984826383</v>
      </c>
    </row>
    <row r="144" spans="1:17" x14ac:dyDescent="0.25">
      <c r="A144" s="2"/>
      <c r="B144" s="28"/>
      <c r="C144" s="21"/>
      <c r="D144" s="2"/>
      <c r="E144" s="2"/>
      <c r="F144" s="88"/>
      <c r="G144" s="88"/>
      <c r="H144" s="89"/>
      <c r="I144" s="28" t="s">
        <v>252</v>
      </c>
      <c r="J144" s="21" t="s">
        <v>240</v>
      </c>
      <c r="K144" s="109">
        <v>44621</v>
      </c>
      <c r="L144" s="2">
        <v>1</v>
      </c>
      <c r="M144" s="223">
        <v>10000000</v>
      </c>
      <c r="N144" s="88">
        <f t="shared" si="49"/>
        <v>10000000</v>
      </c>
      <c r="O144" s="89">
        <f t="shared" si="47"/>
        <v>2918.0040852057191</v>
      </c>
    </row>
    <row r="145" spans="1:17" ht="14.4" x14ac:dyDescent="0.3">
      <c r="A145" s="2"/>
      <c r="B145" s="100"/>
      <c r="C145" s="100"/>
      <c r="D145" s="100"/>
      <c r="E145" s="100"/>
      <c r="F145" s="91"/>
      <c r="G145" s="91"/>
      <c r="H145" s="89"/>
      <c r="I145" s="198" t="s">
        <v>226</v>
      </c>
      <c r="J145" s="199"/>
      <c r="K145" s="199"/>
      <c r="L145" s="200"/>
      <c r="M145" s="91">
        <f>SUM(M131:M144)</f>
        <v>41398000</v>
      </c>
      <c r="N145" s="91">
        <f t="shared" ref="N145" si="50">SUM(N131:N144)</f>
        <v>55080000</v>
      </c>
      <c r="O145" s="91">
        <f t="shared" ref="O145" si="51">SUM(O131:O144)</f>
        <v>16072.366501313101</v>
      </c>
      <c r="P145" s="102">
        <f>H145+O145</f>
        <v>16072.366501313101</v>
      </c>
      <c r="Q145" s="103" t="s">
        <v>178</v>
      </c>
    </row>
    <row r="146" spans="1:17" ht="14.4" x14ac:dyDescent="0.3">
      <c r="A146" s="2"/>
      <c r="B146" s="100"/>
      <c r="C146" s="100"/>
      <c r="D146" s="100"/>
      <c r="E146" s="100"/>
      <c r="F146" s="91"/>
      <c r="G146" s="91"/>
      <c r="H146" s="89"/>
      <c r="I146" s="198" t="s">
        <v>227</v>
      </c>
      <c r="J146" s="199"/>
      <c r="K146" s="199"/>
      <c r="L146" s="200"/>
      <c r="M146" s="91">
        <f>+M142</f>
        <v>12000</v>
      </c>
      <c r="N146" s="91">
        <f t="shared" ref="N146:O146" si="52">+N142</f>
        <v>660000</v>
      </c>
      <c r="O146" s="91">
        <f t="shared" si="52"/>
        <v>192.58826962357747</v>
      </c>
      <c r="P146" s="102">
        <f>H146+O146</f>
        <v>192.58826962357747</v>
      </c>
      <c r="Q146" s="103" t="s">
        <v>179</v>
      </c>
    </row>
    <row r="147" spans="1:17" ht="14.4" x14ac:dyDescent="0.3">
      <c r="A147" s="2"/>
      <c r="B147" s="100"/>
      <c r="C147" s="100"/>
      <c r="D147" s="100"/>
      <c r="E147" s="100"/>
      <c r="F147" s="91"/>
      <c r="G147" s="91"/>
      <c r="H147" s="89"/>
      <c r="I147" s="198" t="s">
        <v>228</v>
      </c>
      <c r="J147" s="199"/>
      <c r="K147" s="199"/>
      <c r="L147" s="200"/>
      <c r="M147" s="91">
        <f>+M131+M132+M133+M134+M135+M136+M137+M138+M139+M140+M141+M143+M144</f>
        <v>41386000</v>
      </c>
      <c r="N147" s="91">
        <f t="shared" ref="N147:O147" si="53">+N131+N132+N133+N134+N135+N136+N137+N138+N139+N140+N141+N143+N144</f>
        <v>54420000</v>
      </c>
      <c r="O147" s="91">
        <f t="shared" si="53"/>
        <v>15879.778231689525</v>
      </c>
      <c r="P147" s="102">
        <f t="shared" ref="P147" si="54">H147+O147</f>
        <v>15879.778231689525</v>
      </c>
      <c r="Q147" s="103" t="s">
        <v>180</v>
      </c>
    </row>
    <row r="148" spans="1:17" ht="14.4" customHeight="1" x14ac:dyDescent="0.25">
      <c r="A148" s="2"/>
      <c r="B148" s="193"/>
      <c r="C148" s="194"/>
      <c r="D148" s="194"/>
      <c r="E148" s="194"/>
      <c r="F148" s="194"/>
      <c r="G148" s="194"/>
      <c r="H148" s="194"/>
      <c r="I148" s="194"/>
      <c r="J148" s="194"/>
      <c r="K148" s="194"/>
      <c r="L148" s="194"/>
      <c r="M148" s="194"/>
      <c r="N148" s="194"/>
      <c r="O148" s="194"/>
    </row>
    <row r="149" spans="1:17" x14ac:dyDescent="0.25">
      <c r="A149" s="2"/>
      <c r="B149" s="28"/>
      <c r="C149" s="2"/>
      <c r="D149" s="2"/>
      <c r="E149" s="2"/>
      <c r="F149" s="16"/>
      <c r="G149" s="16">
        <f t="shared" si="21"/>
        <v>0</v>
      </c>
      <c r="H149" s="17">
        <f t="shared" si="15"/>
        <v>0</v>
      </c>
      <c r="I149" s="28"/>
      <c r="J149" s="2"/>
      <c r="K149" s="2"/>
      <c r="L149" s="2"/>
      <c r="M149" s="2"/>
      <c r="N149" s="2"/>
      <c r="O149" s="22"/>
    </row>
    <row r="150" spans="1:17" x14ac:dyDescent="0.25">
      <c r="A150" s="2"/>
      <c r="B150" s="28"/>
      <c r="C150" s="2"/>
      <c r="D150" s="2"/>
      <c r="E150" s="2"/>
      <c r="F150" s="16"/>
      <c r="G150" s="16">
        <f t="shared" si="21"/>
        <v>0</v>
      </c>
      <c r="H150" s="17">
        <f t="shared" si="15"/>
        <v>0</v>
      </c>
      <c r="I150" s="28"/>
      <c r="J150" s="2"/>
      <c r="K150" s="2"/>
      <c r="L150" s="2"/>
      <c r="M150" s="2"/>
      <c r="N150" s="2"/>
      <c r="O150" s="22"/>
    </row>
    <row r="151" spans="1:17" x14ac:dyDescent="0.25">
      <c r="A151" s="2"/>
      <c r="B151" s="28"/>
      <c r="C151" s="2"/>
      <c r="D151" s="2"/>
      <c r="E151" s="2"/>
      <c r="F151" s="16"/>
      <c r="G151" s="16">
        <f t="shared" si="21"/>
        <v>0</v>
      </c>
      <c r="H151" s="17">
        <f t="shared" si="15"/>
        <v>0</v>
      </c>
      <c r="I151" s="28"/>
      <c r="J151" s="2"/>
      <c r="K151" s="2"/>
      <c r="L151" s="2"/>
      <c r="M151" s="2"/>
      <c r="N151" s="2"/>
      <c r="O151" s="22"/>
    </row>
    <row r="152" spans="1:17" ht="14.4" customHeight="1" x14ac:dyDescent="0.25">
      <c r="A152" s="2"/>
      <c r="B152" s="193"/>
      <c r="C152" s="194"/>
      <c r="D152" s="194"/>
      <c r="E152" s="194"/>
      <c r="F152" s="194"/>
      <c r="G152" s="194"/>
      <c r="H152" s="194"/>
      <c r="I152" s="194"/>
      <c r="J152" s="194"/>
      <c r="K152" s="194"/>
      <c r="L152" s="194"/>
      <c r="M152" s="194"/>
      <c r="N152" s="194"/>
      <c r="O152" s="194"/>
    </row>
  </sheetData>
  <mergeCells count="73">
    <mergeCell ref="B130:O130"/>
    <mergeCell ref="B57:B58"/>
    <mergeCell ref="B79:E79"/>
    <mergeCell ref="B80:E80"/>
    <mergeCell ref="B81:E81"/>
    <mergeCell ref="B59:B62"/>
    <mergeCell ref="B77:B78"/>
    <mergeCell ref="B64:B68"/>
    <mergeCell ref="B69:B76"/>
    <mergeCell ref="I104:L104"/>
    <mergeCell ref="I105:L105"/>
    <mergeCell ref="I95:I99"/>
    <mergeCell ref="B127:E127"/>
    <mergeCell ref="B128:E128"/>
    <mergeCell ref="B129:E129"/>
    <mergeCell ref="B107:B112"/>
    <mergeCell ref="B35:E35"/>
    <mergeCell ref="B24:B25"/>
    <mergeCell ref="I24:I25"/>
    <mergeCell ref="I26:I27"/>
    <mergeCell ref="B28:B29"/>
    <mergeCell ref="I28:I29"/>
    <mergeCell ref="B82:O82"/>
    <mergeCell ref="B106:O106"/>
    <mergeCell ref="I84:I88"/>
    <mergeCell ref="I89:I91"/>
    <mergeCell ref="I92:I94"/>
    <mergeCell ref="I101:I102"/>
    <mergeCell ref="I103:L103"/>
    <mergeCell ref="A1:L1"/>
    <mergeCell ref="A2:L2"/>
    <mergeCell ref="B3:H3"/>
    <mergeCell ref="C5:H5"/>
    <mergeCell ref="I5:N5"/>
    <mergeCell ref="B8:B9"/>
    <mergeCell ref="B11:B12"/>
    <mergeCell ref="B13:B14"/>
    <mergeCell ref="A7:A55"/>
    <mergeCell ref="B18:O18"/>
    <mergeCell ref="B36:O36"/>
    <mergeCell ref="B31:B32"/>
    <mergeCell ref="B26:B27"/>
    <mergeCell ref="I22:I23"/>
    <mergeCell ref="B16:E16"/>
    <mergeCell ref="B17:E17"/>
    <mergeCell ref="B22:B23"/>
    <mergeCell ref="B15:E15"/>
    <mergeCell ref="I31:I32"/>
    <mergeCell ref="B33:E33"/>
    <mergeCell ref="B34:E34"/>
    <mergeCell ref="B113:B114"/>
    <mergeCell ref="B115:B122"/>
    <mergeCell ref="B123:B124"/>
    <mergeCell ref="I33:L33"/>
    <mergeCell ref="I34:L34"/>
    <mergeCell ref="I35:L35"/>
    <mergeCell ref="B38:B41"/>
    <mergeCell ref="B42:B43"/>
    <mergeCell ref="B44:B45"/>
    <mergeCell ref="B56:O56"/>
    <mergeCell ref="B53:E53"/>
    <mergeCell ref="B54:E54"/>
    <mergeCell ref="B55:E55"/>
    <mergeCell ref="B46:B47"/>
    <mergeCell ref="B48:B49"/>
    <mergeCell ref="B50:B51"/>
    <mergeCell ref="B152:O152"/>
    <mergeCell ref="B148:O148"/>
    <mergeCell ref="I131:I138"/>
    <mergeCell ref="I142:I143"/>
    <mergeCell ref="I145:L145"/>
    <mergeCell ref="I146:L146"/>
    <mergeCell ref="I147:L147"/>
  </mergeCells>
  <phoneticPr fontId="0" type="noConversion"/>
  <pageMargins left="0.75" right="0.75" top="1" bottom="1" header="0.5" footer="0.5"/>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8"/>
  <sheetViews>
    <sheetView zoomScale="70" zoomScaleNormal="70" workbookViewId="0">
      <selection activeCell="F17" sqref="F17"/>
    </sheetView>
  </sheetViews>
  <sheetFormatPr baseColWidth="10" defaultColWidth="11.5546875" defaultRowHeight="13.2" x14ac:dyDescent="0.25"/>
  <cols>
    <col min="2" max="2" width="24.33203125" customWidth="1"/>
    <col min="3" max="4" width="16.6640625" customWidth="1"/>
    <col min="5" max="5" width="14.6640625" customWidth="1"/>
    <col min="6" max="6" width="12" bestFit="1" customWidth="1"/>
    <col min="8" max="8" width="24.33203125" customWidth="1"/>
    <col min="9" max="10" width="16.6640625" customWidth="1"/>
    <col min="11" max="11" width="14.6640625" customWidth="1"/>
    <col min="12" max="12" width="12" bestFit="1" customWidth="1"/>
  </cols>
  <sheetData>
    <row r="2" spans="2:12" ht="14.4" x14ac:dyDescent="0.3">
      <c r="B2" s="220" t="s">
        <v>264</v>
      </c>
      <c r="C2" s="220"/>
      <c r="D2" s="220"/>
      <c r="E2" s="220"/>
      <c r="F2" s="220"/>
      <c r="H2" s="220" t="s">
        <v>265</v>
      </c>
      <c r="I2" s="220"/>
      <c r="J2" s="220"/>
      <c r="K2" s="220"/>
      <c r="L2" s="220"/>
    </row>
    <row r="3" spans="2:12" ht="28.8" x14ac:dyDescent="0.25">
      <c r="B3" s="113" t="s">
        <v>266</v>
      </c>
      <c r="C3" s="113" t="s">
        <v>267</v>
      </c>
      <c r="D3" s="113" t="s">
        <v>268</v>
      </c>
      <c r="E3" s="113" t="s">
        <v>269</v>
      </c>
      <c r="F3" s="113" t="s">
        <v>270</v>
      </c>
      <c r="H3" s="113" t="s">
        <v>266</v>
      </c>
      <c r="I3" s="113" t="s">
        <v>267</v>
      </c>
      <c r="J3" s="113" t="s">
        <v>268</v>
      </c>
      <c r="K3" s="113" t="s">
        <v>269</v>
      </c>
      <c r="L3" s="113" t="s">
        <v>270</v>
      </c>
    </row>
    <row r="4" spans="2:12" ht="26.4" x14ac:dyDescent="0.25">
      <c r="B4" s="119" t="s">
        <v>271</v>
      </c>
      <c r="C4" s="114">
        <v>11667269.5613</v>
      </c>
      <c r="D4" s="114">
        <f>C4/3427</f>
        <v>3404.5140243069741</v>
      </c>
      <c r="E4" s="115">
        <v>0.1</v>
      </c>
      <c r="F4" s="116">
        <f>(D4*16)*10%</f>
        <v>5447.2224388911591</v>
      </c>
      <c r="H4" s="119"/>
      <c r="I4" s="114"/>
      <c r="J4" s="114"/>
      <c r="K4" s="115"/>
      <c r="L4" s="116"/>
    </row>
    <row r="5" spans="2:12" x14ac:dyDescent="0.25">
      <c r="B5" s="119" t="s">
        <v>272</v>
      </c>
      <c r="C5" s="114">
        <v>9722724.3804599997</v>
      </c>
      <c r="D5" s="114">
        <f t="shared" ref="D5:D16" si="0">C5/3427</f>
        <v>2837.0949461511527</v>
      </c>
      <c r="E5" s="115">
        <v>0.1</v>
      </c>
      <c r="F5" s="116">
        <f t="shared" ref="F5:F15" si="1">(D5*16)*10%</f>
        <v>4539.3519138418442</v>
      </c>
      <c r="H5" s="119"/>
      <c r="I5" s="114"/>
      <c r="J5" s="114"/>
      <c r="K5" s="115"/>
      <c r="L5" s="116"/>
    </row>
    <row r="6" spans="2:12" x14ac:dyDescent="0.25">
      <c r="B6" s="119" t="s">
        <v>273</v>
      </c>
      <c r="C6" s="114">
        <v>5561399.5828999998</v>
      </c>
      <c r="D6" s="114">
        <f t="shared" si="0"/>
        <v>1622.8186702363582</v>
      </c>
      <c r="E6" s="115">
        <v>0.1</v>
      </c>
      <c r="F6" s="116">
        <f t="shared" si="1"/>
        <v>2596.5098723781734</v>
      </c>
      <c r="H6" s="119"/>
      <c r="I6" s="114"/>
      <c r="J6" s="114"/>
      <c r="K6" s="115"/>
      <c r="L6" s="116"/>
    </row>
    <row r="7" spans="2:12" x14ac:dyDescent="0.25">
      <c r="B7" s="119" t="s">
        <v>274</v>
      </c>
      <c r="C7" s="114">
        <v>11667269.5613</v>
      </c>
      <c r="D7" s="114">
        <f t="shared" si="0"/>
        <v>3404.5140243069741</v>
      </c>
      <c r="E7" s="115">
        <v>0.1</v>
      </c>
      <c r="F7" s="116">
        <f t="shared" si="1"/>
        <v>5447.2224388911591</v>
      </c>
      <c r="H7" s="119"/>
      <c r="I7" s="114"/>
      <c r="J7" s="114"/>
      <c r="K7" s="115"/>
      <c r="L7" s="116"/>
    </row>
    <row r="8" spans="2:12" ht="26.4" x14ac:dyDescent="0.25">
      <c r="B8" s="119" t="s">
        <v>275</v>
      </c>
      <c r="C8" s="114">
        <v>11667269.5613</v>
      </c>
      <c r="D8" s="114">
        <f t="shared" si="0"/>
        <v>3404.5140243069741</v>
      </c>
      <c r="E8" s="115">
        <v>0.1</v>
      </c>
      <c r="F8" s="116">
        <f t="shared" si="1"/>
        <v>5447.2224388911591</v>
      </c>
      <c r="H8" s="119"/>
      <c r="I8" s="114"/>
      <c r="J8" s="114"/>
      <c r="K8" s="115"/>
      <c r="L8" s="116"/>
    </row>
    <row r="9" spans="2:12" ht="26.4" x14ac:dyDescent="0.25">
      <c r="B9" s="119" t="s">
        <v>276</v>
      </c>
      <c r="C9" s="114">
        <v>16590155.4</v>
      </c>
      <c r="D9" s="114">
        <f t="shared" si="0"/>
        <v>4841.0141231397729</v>
      </c>
      <c r="E9" s="115">
        <v>0.1</v>
      </c>
      <c r="F9" s="116">
        <f t="shared" si="1"/>
        <v>7745.6225970236374</v>
      </c>
      <c r="H9" s="119"/>
      <c r="I9" s="114"/>
      <c r="J9" s="114"/>
      <c r="K9" s="115"/>
      <c r="L9" s="116"/>
    </row>
    <row r="10" spans="2:12" x14ac:dyDescent="0.25">
      <c r="B10" s="119" t="s">
        <v>277</v>
      </c>
      <c r="C10" s="114">
        <v>2722362.6436799997</v>
      </c>
      <c r="D10" s="114">
        <f t="shared" si="0"/>
        <v>794.38653156696807</v>
      </c>
      <c r="E10" s="115">
        <v>0.1</v>
      </c>
      <c r="F10" s="116">
        <f t="shared" si="1"/>
        <v>1271.0184505071491</v>
      </c>
      <c r="H10" s="119"/>
      <c r="I10" s="114"/>
      <c r="J10" s="114"/>
      <c r="K10" s="115"/>
      <c r="L10" s="116"/>
    </row>
    <row r="11" spans="2:12" x14ac:dyDescent="0.25">
      <c r="B11" s="119" t="s">
        <v>278</v>
      </c>
      <c r="C11" s="114">
        <v>16590155.4</v>
      </c>
      <c r="D11" s="114">
        <f t="shared" si="0"/>
        <v>4841.0141231397729</v>
      </c>
      <c r="E11" s="115">
        <v>0.1</v>
      </c>
      <c r="F11" s="116">
        <f t="shared" si="1"/>
        <v>7745.6225970236374</v>
      </c>
      <c r="H11" s="119"/>
      <c r="I11" s="114"/>
      <c r="J11" s="114"/>
      <c r="K11" s="115"/>
      <c r="L11" s="116"/>
    </row>
    <row r="12" spans="2:12" ht="26.4" x14ac:dyDescent="0.25">
      <c r="B12" s="119" t="s">
        <v>279</v>
      </c>
      <c r="C12" s="114">
        <v>9722724.3804599997</v>
      </c>
      <c r="D12" s="114">
        <f t="shared" si="0"/>
        <v>2837.0949461511527</v>
      </c>
      <c r="E12" s="115">
        <v>0.1</v>
      </c>
      <c r="F12" s="116">
        <f t="shared" si="1"/>
        <v>4539.3519138418442</v>
      </c>
      <c r="H12" s="119"/>
      <c r="I12" s="114"/>
      <c r="J12" s="114"/>
      <c r="K12" s="115"/>
      <c r="L12" s="116"/>
    </row>
    <row r="13" spans="2:12" ht="26.4" x14ac:dyDescent="0.25">
      <c r="B13" s="119" t="s">
        <v>280</v>
      </c>
      <c r="C13" s="114">
        <v>9722724.3804599997</v>
      </c>
      <c r="D13" s="114">
        <f t="shared" si="0"/>
        <v>2837.0949461511527</v>
      </c>
      <c r="E13" s="115">
        <v>0.1</v>
      </c>
      <c r="F13" s="116">
        <f t="shared" si="1"/>
        <v>4539.3519138418442</v>
      </c>
      <c r="H13" s="119"/>
      <c r="I13" s="114"/>
      <c r="J13" s="114"/>
      <c r="K13" s="115"/>
      <c r="L13" s="116"/>
    </row>
    <row r="14" spans="2:12" x14ac:dyDescent="0.25">
      <c r="B14" s="119" t="s">
        <v>281</v>
      </c>
      <c r="C14" s="114">
        <v>11667269.5613</v>
      </c>
      <c r="D14" s="114">
        <f t="shared" si="0"/>
        <v>3404.5140243069741</v>
      </c>
      <c r="E14" s="115">
        <v>0.1</v>
      </c>
      <c r="F14" s="116">
        <f t="shared" si="1"/>
        <v>5447.2224388911591</v>
      </c>
      <c r="H14" s="119"/>
      <c r="I14" s="114"/>
      <c r="J14" s="114"/>
      <c r="K14" s="115"/>
      <c r="L14" s="116"/>
    </row>
    <row r="15" spans="2:12" x14ac:dyDescent="0.25">
      <c r="B15" s="119" t="s">
        <v>282</v>
      </c>
      <c r="C15" s="114">
        <v>6526502.9766199999</v>
      </c>
      <c r="D15" s="114">
        <f t="shared" si="0"/>
        <v>1904.4362347884446</v>
      </c>
      <c r="E15" s="115">
        <v>0.1</v>
      </c>
      <c r="F15" s="116">
        <f t="shared" si="1"/>
        <v>3047.0979756615116</v>
      </c>
      <c r="H15" s="119"/>
      <c r="I15" s="114"/>
      <c r="J15" s="114"/>
      <c r="K15" s="115"/>
      <c r="L15" s="116"/>
    </row>
    <row r="16" spans="2:12" x14ac:dyDescent="0.25">
      <c r="B16" s="119" t="s">
        <v>283</v>
      </c>
      <c r="C16" s="114">
        <v>265402</v>
      </c>
      <c r="D16" s="114">
        <f t="shared" si="0"/>
        <v>77.444412022176834</v>
      </c>
      <c r="E16" s="117" t="s">
        <v>284</v>
      </c>
      <c r="F16" s="116">
        <f>(D16*16)</f>
        <v>1239.1105923548294</v>
      </c>
      <c r="H16" s="119"/>
      <c r="I16" s="114"/>
      <c r="J16" s="114"/>
      <c r="K16" s="117"/>
      <c r="L16" s="116"/>
    </row>
    <row r="17" spans="2:12" ht="18" x14ac:dyDescent="0.35">
      <c r="B17" s="221" t="s">
        <v>285</v>
      </c>
      <c r="C17" s="221"/>
      <c r="D17" s="221"/>
      <c r="E17" s="221"/>
      <c r="F17" s="118">
        <f>SUM(F4:F16)</f>
        <v>59051.927582039105</v>
      </c>
      <c r="H17" s="221"/>
      <c r="I17" s="221"/>
      <c r="J17" s="221"/>
      <c r="K17" s="221"/>
      <c r="L17" s="118"/>
    </row>
    <row r="18" spans="2:12" ht="39" customHeight="1" x14ac:dyDescent="0.25">
      <c r="B18" s="222" t="s">
        <v>286</v>
      </c>
      <c r="C18" s="222"/>
      <c r="D18" s="222"/>
      <c r="E18" s="222"/>
      <c r="F18" s="222"/>
    </row>
  </sheetData>
  <mergeCells count="5">
    <mergeCell ref="B2:F2"/>
    <mergeCell ref="B17:E17"/>
    <mergeCell ref="B18:F18"/>
    <mergeCell ref="H2:L2"/>
    <mergeCell ref="H17:K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F1301D903DEF94FB101575708F7E648" ma:contentTypeVersion="2842" ma:contentTypeDescription="A content type to manage public (operations) IDB documents" ma:contentTypeScope="" ma:versionID="731f830abc75f67bcdcd2776e730552f">
  <xsd:schema xmlns:xsd="http://www.w3.org/2001/XMLSchema" xmlns:xs="http://www.w3.org/2001/XMLSchema" xmlns:p="http://schemas.microsoft.com/office/2006/metadata/properties" xmlns:ns2="cdc7663a-08f0-4737-9e8c-148ce897a09c" targetNamespace="http://schemas.microsoft.com/office/2006/metadata/properties" ma:root="true" ma:fieldsID="88175d51e1797af223cc37070fea672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CAN/CCO</Division_x0020_or_x0020_Unit>
    <IDBDocs_x0020_Number xmlns="cdc7663a-08f0-4737-9e8c-148ce897a09c">36325760</IDBDocs_x0020_Number>
    <Document_x0020_Author xmlns="cdc7663a-08f0-4737-9e8c-148ce897a09c">Goncalves da Costa, Bruno Ricardo</Document_x0020_Author>
    <TaxCatchAll xmlns="cdc7663a-08f0-4737-9e8c-148ce897a09c">
      <Value>44</Value>
      <Value>284</Value>
      <Value>107</Value>
      <Value>1</Value>
      <Value>79</Value>
    </TaxCatchAll>
    <Fiscal_x0020_Year_x0020_IDB xmlns="cdc7663a-08f0-4737-9e8c-148ce897a09c">2011</Fiscal_x0020_Year_x0020_IDB>
    <Migration_x0020_Info xmlns="cdc7663a-08f0-4737-9e8c-148ce897a09c">MS EXCELPRMProcurement0NPO-Pol-VPC-Procurement72893082</Migration_x0020_Info>
    <SISCOR_x0020_Number xmlns="cdc7663a-08f0-4737-9e8c-148ce897a09c">I-CAN/CCO-1890/2020-A</SISCOR_x0020_Number>
    <Identifier xmlns="cdc7663a-08f0-4737-9e8c-148ce897a09c" xsi:nil="true"/>
    <Document_x0020_Language_x0020_IDB xmlns="cdc7663a-08f0-4737-9e8c-148ce897a09c">Spanish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Related_x0020_SisCor_x0020_Number xmlns="cdc7663a-08f0-4737-9e8c-148ce897a09c" xsi:nil="true"/>
    <_dlc_DocId xmlns="cdc7663a-08f0-4737-9e8c-148ce897a09c">EZSHARE-888420260-3</_dlc_DocId>
    <_dlc_DocIdUrl xmlns="cdc7663a-08f0-4737-9e8c-148ce897a09c">
      <Url>https://idbg.sharepoint.com/teams/EZ-RG-TCP/RG-T3571/_layouts/15/DocIdRedir.aspx?ID=EZSHARE-888420260-3</Url>
      <Description>EZSHARE-888420260-3</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ATN/PC-17910-RG;</Approval_x0020_Number>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YOUTH AT RISK</TermName>
          <TermId xmlns="http://schemas.microsoft.com/office/infopath/2007/PartnerControls">93761788-ceec-4631-aaa4-a2734b224704</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TBD</TermName>
          <TermId xmlns="http://schemas.microsoft.com/office/infopath/2007/PartnerControls">d62f6e05-3e80-4abd-9bb4-5f10b4906ff6</TermId>
        </TermInfo>
      </Terms>
    </g511464f9e53401d84b16fa9b379a574>
    <Operation_x0020_Type xmlns="cdc7663a-08f0-4737-9e8c-148ce897a09c">Technical Cooperation</Operation_x0020_Type>
    <Package_x0020_Code xmlns="cdc7663a-08f0-4737-9e8c-148ce897a09c" xsi:nil="true"/>
    <Project_x0020_Number xmlns="cdc7663a-08f0-4737-9e8c-148ce897a09c">RG-T3571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Generic;;</Webtopic>
    <Abstract xmlns="cdc7663a-08f0-4737-9e8c-148ce897a09c" xsi:nil="true"/>
    <Publishing_x0020_House xmlns="cdc7663a-08f0-4737-9e8c-148ce897a09c" xsi:nil="true"/>
  </documentManagement>
</p:properties>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CA65DCD2-FAF1-4153-9F3A-C1B5FA86E582}"/>
</file>

<file path=customXml/itemProps2.xml><?xml version="1.0" encoding="utf-8"?>
<ds:datastoreItem xmlns:ds="http://schemas.openxmlformats.org/officeDocument/2006/customXml" ds:itemID="{7E13B772-458F-42C6-8609-EFA8EB16510F}">
  <ds:schemaRefs>
    <ds:schemaRef ds:uri="cdc7663a-08f0-4737-9e8c-148ce897a09c"/>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521BDBAB-2BFC-4474-9583-2D2B344E8F02}"/>
</file>

<file path=customXml/itemProps4.xml><?xml version="1.0" encoding="utf-8"?>
<ds:datastoreItem xmlns:ds="http://schemas.openxmlformats.org/officeDocument/2006/customXml" ds:itemID="{DA2F5723-5B28-43BA-A649-35EB43E4D1A8}">
  <ds:schemaRefs>
    <ds:schemaRef ds:uri="http://schemas.microsoft.com/sharepoint/v3/contenttype/forms"/>
  </ds:schemaRefs>
</ds:datastoreItem>
</file>

<file path=customXml/itemProps5.xml><?xml version="1.0" encoding="utf-8"?>
<ds:datastoreItem xmlns:ds="http://schemas.openxmlformats.org/officeDocument/2006/customXml" ds:itemID="{40FD3BAE-6551-405F-A4A5-98DC943E9472}">
  <ds:schemaRefs>
    <ds:schemaRef ds:uri="http://schemas.microsoft.com/sharepoint/events"/>
  </ds:schemaRefs>
</ds:datastoreItem>
</file>

<file path=customXml/itemProps6.xml><?xml version="1.0" encoding="utf-8"?>
<ds:datastoreItem xmlns:ds="http://schemas.openxmlformats.org/officeDocument/2006/customXml" ds:itemID="{CDFA5BF0-28C2-4043-A86A-D7713A7A1D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PLAN DE ADQUISICIONES</vt:lpstr>
      <vt:lpstr>GASTOS LOGISTICOS Y OPERATIVOS</vt:lpstr>
      <vt:lpstr>CONTRAPARTIDA FUNDACIONES</vt:lpstr>
      <vt:lpstr>'PLAN DE ADQUISICIONES'!Área_de_impresión</vt:lpstr>
      <vt:lpstr>'PLAN DE ADQUISICIONES'!Títulos_a_imprimir</vt:lpstr>
    </vt:vector>
  </TitlesOfParts>
  <Company>Inter-American Development Bank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 Modelo simplificado para CTNR</dc:title>
  <dc:creator>meroca</dc:creator>
  <cp:keywords/>
  <cp:lastModifiedBy>Jairo Andres Perilla</cp:lastModifiedBy>
  <cp:lastPrinted>2020-07-22T22:00:43Z</cp:lastPrinted>
  <dcterms:created xsi:type="dcterms:W3CDTF">2007-02-02T19:50:30Z</dcterms:created>
  <dcterms:modified xsi:type="dcterms:W3CDTF">2020-08-10T19:52:51Z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6;#Unclassified|a6dff32e-d477-44cd-a56b-85efe9e0a56c</vt:lpwstr>
  </property>
  <property fmtid="{D5CDD505-2E9C-101B-9397-08002B2CF9AE}" pid="5" name="TaxKeywordTaxHTField">
    <vt:lpwstr/>
  </property>
  <property fmtid="{D5CDD505-2E9C-101B-9397-08002B2CF9AE}" pid="6" name="Country">
    <vt:lpwstr>44;#Regional|2537a5b7-6d8e-482c-94dc-32c3cc44ff65</vt:lpwstr>
  </property>
  <property fmtid="{D5CDD505-2E9C-101B-9397-08002B2CF9AE}" pid="7" name="Function Corporate IDB">
    <vt:lpwstr>5;#IDBDocs|cca77002-e150-4b2d-ab1f-1d7a7cdcae16</vt:lpwstr>
  </property>
  <property fmtid="{D5CDD505-2E9C-101B-9397-08002B2CF9AE}" pid="8" name="Disclosure Activity">
    <vt:lpwstr>Procurement</vt:lpwstr>
  </property>
  <property fmtid="{D5CDD505-2E9C-101B-9397-08002B2CF9AE}" pid="9" name="Webtopic">
    <vt:lpwstr>Generic</vt:lpwstr>
  </property>
  <property fmtid="{D5CDD505-2E9C-101B-9397-08002B2CF9AE}" pid="10" name="Disclosed">
    <vt:bool>false</vt:bool>
  </property>
  <property fmtid="{D5CDD505-2E9C-101B-9397-08002B2CF9AE}" pid="11" name="URL">
    <vt:lpwstr/>
  </property>
  <property fmtid="{D5CDD505-2E9C-101B-9397-08002B2CF9AE}" pid="12" name="_dlc_DocIdItemGuid">
    <vt:lpwstr>e9bedf6d-a650-4b2c-9cbe-d448bcb25243</vt:lpwstr>
  </property>
  <property fmtid="{D5CDD505-2E9C-101B-9397-08002B2CF9AE}" pid="13" name="Series Operations IDB">
    <vt:lpwstr/>
  </property>
  <property fmtid="{D5CDD505-2E9C-101B-9397-08002B2CF9AE}" pid="14" name="Sub-Sector">
    <vt:lpwstr>284;#YOUTH AT RISK|93761788-ceec-4631-aaa4-a2734b224704</vt:lpwstr>
  </property>
  <property fmtid="{D5CDD505-2E9C-101B-9397-08002B2CF9AE}" pid="15" name="Fund IDB">
    <vt:lpwstr>107;#TBD|d62f6e05-3e80-4abd-9bb4-5f10b4906ff6</vt:lpwstr>
  </property>
  <property fmtid="{D5CDD505-2E9C-101B-9397-08002B2CF9AE}" pid="16" name="Sector IDB">
    <vt:lpwstr>79;#SOCIAL INVESTMENT|3f908695-d5b5-49f6-941f-76876b39564f</vt:lpwstr>
  </property>
  <property fmtid="{D5CDD505-2E9C-101B-9397-08002B2CF9AE}" pid="17" name="Function Operations IDB">
    <vt:lpwstr>1;#Project Preparation Planning and Design|29ca0c72-1fc4-435f-a09c-28585cb5eac9</vt:lpwstr>
  </property>
  <property fmtid="{D5CDD505-2E9C-101B-9397-08002B2CF9AE}" pid="18" name="ContentTypeId">
    <vt:lpwstr>0x0101001A458A224826124E8B45B1D613300CFC005F1301D903DEF94FB101575708F7E648</vt:lpwstr>
  </property>
</Properties>
</file>