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067"/>
  <workbookPr autoCompressPictures="0" defaultThemeVersion="124226"/>
  <mc:AlternateContent xmlns:mc="http://schemas.openxmlformats.org/markup-compatibility/2006">
    <mc:Choice Requires="x15">
      <x15ac:absPath xmlns:x15ac="http://schemas.microsoft.com/office/spreadsheetml/2010/11/ac" url="https://idbg.sharepoint.com/teams/EZ-AR-LON/AR-L1255/15 LifeCycle Milestones/Draft Area/"/>
    </mc:Choice>
  </mc:AlternateContent>
  <bookViews>
    <workbookView xWindow="0" yWindow="0" windowWidth="25200" windowHeight="12045" tabRatio="908"/>
  </bookViews>
  <sheets>
    <sheet name="Resumen" sheetId="38" r:id="rId1"/>
    <sheet name="Presupuesto Detallado" sheetId="39" r:id="rId2"/>
    <sheet name="PEP" sheetId="2" r:id="rId3"/>
    <sheet name="POA 18 Meses" sheetId="40" state="hidden" r:id="rId4"/>
    <sheet name="Matriz de Resultados" sheetId="27" state="hidden" r:id="rId5"/>
    <sheet name="Desembolsos" sheetId="41" state="hidden" r:id="rId6"/>
    <sheet name="3.2 ultimo" sheetId="37" state="hidden" r:id="rId7"/>
    <sheet name="3.2" sheetId="33" state="hidden" r:id="rId8"/>
    <sheet name="3.2.3 RP" sheetId="35" state="hidden" r:id="rId9"/>
    <sheet name="3.1 nuevo" sheetId="34" state="hidden" r:id="rId10"/>
    <sheet name="3.1 viejo" sheetId="26" state="hidden" r:id="rId11"/>
    <sheet name="2.2" sheetId="36" state="hidden" r:id="rId12"/>
    <sheet name="1.1.2" sheetId="31" state="hidden" r:id="rId13"/>
    <sheet name="1.1.1" sheetId="30" state="hidden" r:id="rId14"/>
    <sheet name="1.2" sheetId="32" state="hidden" r:id="rId15"/>
    <sheet name="1.3 ENV" sheetId="29" state="hidden" r:id="rId16"/>
    <sheet name="Metodos-$" sheetId="25" state="hidden" r:id="rId17"/>
    <sheet name="Resp" sheetId="23" state="hidden" r:id="rId18"/>
    <sheet name="Plan Financiero" sheetId="28" state="hidden" r:id="rId19"/>
  </sheets>
  <externalReferences>
    <externalReference r:id="rId20"/>
  </externalReferences>
  <definedNames>
    <definedName name="_xlnm._FilterDatabase" localSheetId="8" hidden="1">'3.2.3 RP'!$A$5:$AH$37</definedName>
    <definedName name="_xlnm._FilterDatabase" localSheetId="2" hidden="1">PEP!$B$2:$BI$83</definedName>
    <definedName name="_xlnm._FilterDatabase" localSheetId="3" hidden="1">'POA 18 Meses'!$B$2:$AT$83</definedName>
    <definedName name="_ftnref1" localSheetId="4">'Matriz de Resultados'!$E$12</definedName>
    <definedName name="_ftnref2" localSheetId="4">'Matriz de Resultados'!$E$14</definedName>
    <definedName name="_ftnref3" localSheetId="4">'Matriz de Resultados'!$E$15</definedName>
    <definedName name="aa" localSheetId="3">!#REF!</definedName>
    <definedName name="aa" localSheetId="1">!#REF!</definedName>
    <definedName name="aa">!#REF!</definedName>
    <definedName name="AÇO">"""'[1]conc 20'!#ref!"""</definedName>
    <definedName name="Área_impressão_IM" localSheetId="3">!#REF!</definedName>
    <definedName name="Área_impressão_IM" localSheetId="1">!#REF!</definedName>
    <definedName name="Área_impressão_IM">!#REF!</definedName>
    <definedName name="BDI" localSheetId="3">!#REF!</definedName>
    <definedName name="BDI" localSheetId="1">!#REF!</definedName>
    <definedName name="BDI">!#REF!</definedName>
    <definedName name="DDADOS_VOL5_0" localSheetId="3">!#REF!</definedName>
    <definedName name="DDADOS_VOL5_0" localSheetId="1">!#REF!</definedName>
    <definedName name="DDADOS_VOL5_0">!#REF!</definedName>
    <definedName name="DES" localSheetId="3">!#REF!</definedName>
    <definedName name="DES" localSheetId="1">!#REF!</definedName>
    <definedName name="DES">!#REF!</definedName>
    <definedName name="Detalhes_do_Demonstrativo_MDE">"""'[2]anexo x - ensino'!#ref!"""</definedName>
    <definedName name="Excel_BuiltIn_Database" localSheetId="3">!#REF!</definedName>
    <definedName name="Excel_BuiltIn_Database" localSheetId="1">!#REF!</definedName>
    <definedName name="Excel_BuiltIn_Database">!#REF!</definedName>
    <definedName name="Ganhos_e_perdas_de_receita" localSheetId="3">!#REF!</definedName>
    <definedName name="Ganhos_e_perdas_de_receita" localSheetId="1">!#REF!</definedName>
    <definedName name="Ganhos_e_perdas_de_receita">!#REF!</definedName>
    <definedName name="Ganhos_e_Perdas_de_Receita_99" localSheetId="3">!#REF!</definedName>
    <definedName name="Ganhos_e_Perdas_de_Receita_99" localSheetId="1">!#REF!</definedName>
    <definedName name="Ganhos_e_Perdas_de_Receita_99">!#REF!</definedName>
    <definedName name="HTML_CodePage">1252</definedName>
    <definedName name="HTML_Description">""""""""""""""</definedName>
    <definedName name="HTML_Email">""""""""""""""</definedName>
    <definedName name="HTML_Header">"""""""Tabela"""""""</definedName>
    <definedName name="HTML_LastUpdate">"""""""16/03/98"""""""</definedName>
    <definedName name="HTML_LineAfter">0</definedName>
    <definedName name="HTML_LineBefore">0</definedName>
    <definedName name="HTML_Name">"""""""Rede Integrada"""""""</definedName>
    <definedName name="HTML_OBDlg2">1</definedName>
    <definedName name="HTML_OBDlg4">1</definedName>
    <definedName name="HTML_OS">0</definedName>
    <definedName name="HTML_Title">"""""""Balpep11"""""""</definedName>
    <definedName name="MOE" localSheetId="3">!#REF!</definedName>
    <definedName name="MOE" localSheetId="1">!#REF!</definedName>
    <definedName name="MOE">!#REF!</definedName>
    <definedName name="MOH" localSheetId="3">!#REF!</definedName>
    <definedName name="MOH" localSheetId="1">!#REF!</definedName>
    <definedName name="MOH">!#REF!</definedName>
    <definedName name="Planilha_1ÁreaTotal">"""(#ref!,#ref!))"""</definedName>
    <definedName name="Planilha_1CabGráfico" localSheetId="3">!#REF!</definedName>
    <definedName name="Planilha_1CabGráfico" localSheetId="1">!#REF!</definedName>
    <definedName name="Planilha_1CabGráfico">!#REF!</definedName>
    <definedName name="Planilha_1TítCols">"""(#ref!,#ref!))"""</definedName>
    <definedName name="Planilha_1TítLins" localSheetId="3">!#REF!</definedName>
    <definedName name="Planilha_1TítLins" localSheetId="1">!#REF!</definedName>
    <definedName name="Planilha_1TítLins">!#REF!</definedName>
    <definedName name="Planilha_2ÁreaTotal">"""(#ref!,#ref!))"""</definedName>
    <definedName name="Planilha_2CabGráfico" localSheetId="3">!#REF!</definedName>
    <definedName name="Planilha_2CabGráfico" localSheetId="1">!#REF!</definedName>
    <definedName name="Planilha_2CabGráfico">!#REF!</definedName>
    <definedName name="Planilha_2TítCols">"""(#ref!,#ref!))"""</definedName>
    <definedName name="Planilha_2TítLins" localSheetId="3">!#REF!</definedName>
    <definedName name="Planilha_2TítLins" localSheetId="1">!#REF!</definedName>
    <definedName name="Planilha_2TítLins">!#REF!</definedName>
    <definedName name="Planilha_3ÁreaTotal">"""(#ref!,#ref!))"""</definedName>
    <definedName name="Planilha_3CabGráfico" localSheetId="3">!#REF!</definedName>
    <definedName name="Planilha_3CabGráfico" localSheetId="1">!#REF!</definedName>
    <definedName name="Planilha_3CabGráfico">!#REF!</definedName>
    <definedName name="Planilha_3TítCols">"""(#ref!,#ref!))"""</definedName>
    <definedName name="Planilha_3TítLins" localSheetId="3">!#REF!</definedName>
    <definedName name="Planilha_3TítLins" localSheetId="1">!#REF!</definedName>
    <definedName name="Planilha_3TítLins">!#REF!</definedName>
    <definedName name="Planilha_4ÁreaTotal">"""(#ref!,#ref!))"""</definedName>
    <definedName name="Planilha_4TítCols">"""(#ref!,#ref!))"""</definedName>
    <definedName name="_xlnm.Print_Area" localSheetId="9">'3.1 nuevo'!$B$5:$B$29</definedName>
    <definedName name="_xlnm.Print_Area" localSheetId="8">'3.2.3 RP'!$A$1:$AH$43</definedName>
    <definedName name="_xlnm.Print_Area" localSheetId="4">'Matriz de Resultados'!$C$5:$N$46</definedName>
    <definedName name="_xlnm.Print_Area" localSheetId="2">PEP!$C$1:$BI$83</definedName>
    <definedName name="_xlnm.Print_Area" localSheetId="18">'Plan Financiero'!$A$1:$N$45</definedName>
    <definedName name="_xlnm.Print_Area" localSheetId="3">'POA 18 Meses'!$B$1:$AN$83</definedName>
    <definedName name="_xlnm.Print_Area" localSheetId="0">Resumen!$B$1:$E$8</definedName>
    <definedName name="_xlnm.Print_Titles" localSheetId="8">'3.2.3 RP'!$G:$G,'3.2.3 RP'!$4:$5</definedName>
    <definedName name="_xlnm.Print_Titles" localSheetId="2">PEP!$G:$H,PEP!$2:$2</definedName>
    <definedName name="_xlnm.Print_Titles" localSheetId="3">'POA 18 Meses'!$G:$H,'POA 18 Meses'!$2:$2</definedName>
    <definedName name="sss">"""'[2]anexo x - ensino'!#ref!"""</definedName>
    <definedName name="Tabela_1___Déficit_da_Previdência_Social__RGPS" localSheetId="3">!#REF!</definedName>
    <definedName name="Tabela_1___Déficit_da_Previdência_Social__RGPS" localSheetId="1">!#REF!</definedName>
    <definedName name="Tabela_1___Déficit_da_Previdência_Social__RGPS">!#REF!</definedName>
    <definedName name="Tabela_10___Resultado_Primário_do_Governo_Central_em_1999" localSheetId="3">!#REF!</definedName>
    <definedName name="Tabela_10___Resultado_Primário_do_Governo_Central_em_1999" localSheetId="1">!#REF!</definedName>
    <definedName name="Tabela_10___Resultado_Primário_do_Governo_Central_em_1999">!#REF!</definedName>
    <definedName name="Tabela_2___Contribuições_Previdenciárias" localSheetId="3">!#REF!</definedName>
    <definedName name="Tabela_2___Contribuições_Previdenciárias" localSheetId="1">!#REF!</definedName>
    <definedName name="Tabela_2___Contribuições_Previdenciárias">!#REF!</definedName>
    <definedName name="Tabela_3___Benefícios__previsto_x_realizado" localSheetId="3">!#REF!</definedName>
    <definedName name="Tabela_3___Benefícios__previsto_x_realizado" localSheetId="1">!#REF!</definedName>
    <definedName name="Tabela_3___Benefícios__previsto_x_realizado">!#REF!</definedName>
    <definedName name="Tabela_4___Receitas_Administradas_pela_SRF__previsto_x_realizado" localSheetId="3">!#REF!</definedName>
    <definedName name="Tabela_4___Receitas_Administradas_pela_SRF__previsto_x_realizado" localSheetId="1">!#REF!</definedName>
    <definedName name="Tabela_4___Receitas_Administradas_pela_SRF__previsto_x_realizado">!#REF!</definedName>
    <definedName name="Tabela_5___Receitas_Administradas_em_Agosto" localSheetId="3">!#REF!</definedName>
    <definedName name="Tabela_5___Receitas_Administradas_em_Agosto" localSheetId="1">!#REF!</definedName>
    <definedName name="Tabela_5___Receitas_Administradas_em_Agosto">!#REF!</definedName>
    <definedName name="Tabela_6___Receitas_Diretamente_Arrecadadas" localSheetId="3">!#REF!</definedName>
    <definedName name="Tabela_6___Receitas_Diretamente_Arrecadadas" localSheetId="1">!#REF!</definedName>
    <definedName name="Tabela_6___Receitas_Diretamente_Arrecadadas">!#REF!</definedName>
    <definedName name="Tabela_7___Déficit_da_Previdência_Social_em_1999" localSheetId="3">!#REF!</definedName>
    <definedName name="Tabela_7___Déficit_da_Previdência_Social_em_1999" localSheetId="1">!#REF!</definedName>
    <definedName name="Tabela_7___Déficit_da_Previdência_Social_em_1999">!#REF!</definedName>
    <definedName name="Tabela_8___Receitas_Administradas__revisão_da_previsão" localSheetId="3">!#REF!</definedName>
    <definedName name="Tabela_8___Receitas_Administradas__revisão_da_previsão" localSheetId="1">!#REF!</definedName>
    <definedName name="Tabela_8___Receitas_Administradas__revisão_da_previsão">!#REF!</definedName>
    <definedName name="Tabela_9___Resultado_Primário_de_1999" localSheetId="3">!#REF!</definedName>
    <definedName name="Tabela_9___Resultado_Primário_de_1999" localSheetId="1">!#REF!</definedName>
    <definedName name="Tabela_9___Resultado_Primário_de_1999">!#REF!</definedName>
    <definedName name="total">"""'[4]orçamento sem preço'!#ref!"""</definedName>
  </definedNames>
  <calcPr calcId="171027"/>
</workbook>
</file>

<file path=xl/calcChain.xml><?xml version="1.0" encoding="utf-8"?>
<calcChain xmlns="http://schemas.openxmlformats.org/spreadsheetml/2006/main">
  <c r="P22" i="2" l="1"/>
  <c r="O22" i="2"/>
  <c r="H20" i="41" l="1"/>
  <c r="I18" i="41" l="1"/>
  <c r="I17" i="41"/>
  <c r="J14" i="41"/>
  <c r="H14" i="41"/>
  <c r="F14" i="41"/>
  <c r="K13" i="41" l="1"/>
  <c r="M13" i="41" s="1"/>
  <c r="M4" i="41"/>
  <c r="L4" i="41"/>
  <c r="K8" i="41" s="1"/>
  <c r="AE78" i="40" l="1"/>
  <c r="AE77" i="40"/>
  <c r="AE76" i="40"/>
  <c r="AE75" i="40"/>
  <c r="AE74" i="40"/>
  <c r="AE73" i="40"/>
  <c r="AE72" i="40"/>
  <c r="AE71" i="40"/>
  <c r="AE70" i="40"/>
  <c r="AE69" i="40"/>
  <c r="AE68" i="40"/>
  <c r="AE67" i="40"/>
  <c r="AE66" i="40"/>
  <c r="AE65" i="40"/>
  <c r="AE64" i="40"/>
  <c r="AE63" i="40"/>
  <c r="AE62" i="40"/>
  <c r="AE61" i="40"/>
  <c r="AE60" i="40"/>
  <c r="AE59" i="40"/>
  <c r="AE58" i="40"/>
  <c r="AE57" i="40"/>
  <c r="AE56" i="40"/>
  <c r="AE55" i="40"/>
  <c r="AE54" i="40"/>
  <c r="AE53" i="40"/>
  <c r="AE52" i="40"/>
  <c r="AE51" i="40"/>
  <c r="AE50" i="40"/>
  <c r="AE49" i="40"/>
  <c r="AE48" i="40"/>
  <c r="AE47" i="40"/>
  <c r="AE46" i="40"/>
  <c r="AE45" i="40"/>
  <c r="AE44" i="40"/>
  <c r="AE43" i="40"/>
  <c r="AE42" i="40"/>
  <c r="AE41" i="40"/>
  <c r="AE40" i="40"/>
  <c r="AE39" i="40"/>
  <c r="AE38" i="40"/>
  <c r="AE37" i="40"/>
  <c r="AE36" i="40"/>
  <c r="AE35" i="40"/>
  <c r="AE34" i="40"/>
  <c r="AE33" i="40"/>
  <c r="AE32" i="40"/>
  <c r="AE31" i="40"/>
  <c r="AE30" i="40"/>
  <c r="AE29" i="40"/>
  <c r="AE28" i="40"/>
  <c r="AE27" i="40"/>
  <c r="AE26" i="40"/>
  <c r="AE25" i="40"/>
  <c r="AE24" i="40"/>
  <c r="AE23" i="40"/>
  <c r="AE22" i="40"/>
  <c r="AE21" i="40"/>
  <c r="AE20" i="40"/>
  <c r="AE19" i="40"/>
  <c r="AE18" i="40"/>
  <c r="AE17" i="40"/>
  <c r="AE16" i="40"/>
  <c r="AE15" i="40"/>
  <c r="AE14" i="40"/>
  <c r="AE13" i="40"/>
  <c r="AE12" i="40"/>
  <c r="AE11" i="40"/>
  <c r="AE10" i="40"/>
  <c r="AE9" i="40"/>
  <c r="AE8" i="40"/>
  <c r="AE7" i="40"/>
  <c r="AE6" i="40"/>
  <c r="AR81" i="40"/>
  <c r="V81" i="40"/>
  <c r="J81" i="40" s="1"/>
  <c r="P81" i="40"/>
  <c r="I81" i="40" s="1"/>
  <c r="M81" i="40"/>
  <c r="G81" i="40"/>
  <c r="AR80" i="40"/>
  <c r="V80" i="40"/>
  <c r="J80" i="40" s="1"/>
  <c r="P80" i="40"/>
  <c r="I80" i="40" s="1"/>
  <c r="M80" i="40"/>
  <c r="G80" i="40"/>
  <c r="AK79" i="40"/>
  <c r="U79" i="40"/>
  <c r="T79" i="40"/>
  <c r="S79" i="40"/>
  <c r="R79" i="40"/>
  <c r="Q79" i="40"/>
  <c r="O79" i="40"/>
  <c r="N79" i="40"/>
  <c r="G79" i="40"/>
  <c r="AR78" i="40"/>
  <c r="V78" i="40"/>
  <c r="M78" i="40"/>
  <c r="J78" i="40"/>
  <c r="H78" i="40"/>
  <c r="G78" i="40"/>
  <c r="AR77" i="40"/>
  <c r="V77" i="40"/>
  <c r="M77" i="40"/>
  <c r="J77" i="40"/>
  <c r="H77" i="40"/>
  <c r="G77" i="40"/>
  <c r="AR76" i="40"/>
  <c r="V76" i="40"/>
  <c r="M76" i="40"/>
  <c r="J76" i="40"/>
  <c r="H76" i="40"/>
  <c r="G76" i="40"/>
  <c r="AR75" i="40"/>
  <c r="V75" i="40"/>
  <c r="M75" i="40"/>
  <c r="J75" i="40"/>
  <c r="H75" i="40"/>
  <c r="G75" i="40"/>
  <c r="AK74" i="40"/>
  <c r="U74" i="40"/>
  <c r="U71" i="40" s="1"/>
  <c r="T74" i="40"/>
  <c r="T71" i="40" s="1"/>
  <c r="S74" i="40"/>
  <c r="S71" i="40" s="1"/>
  <c r="R74" i="40"/>
  <c r="R71" i="40" s="1"/>
  <c r="Q74" i="40"/>
  <c r="G74" i="40"/>
  <c r="AR73" i="40"/>
  <c r="W73" i="40"/>
  <c r="V73" i="40"/>
  <c r="M73" i="40"/>
  <c r="J73" i="40"/>
  <c r="G73" i="40"/>
  <c r="AR72" i="40"/>
  <c r="W72" i="40"/>
  <c r="V72" i="40"/>
  <c r="M72" i="40"/>
  <c r="J72" i="40"/>
  <c r="G72" i="40"/>
  <c r="AK71" i="40"/>
  <c r="Q71" i="40"/>
  <c r="G71" i="40"/>
  <c r="AR70" i="40"/>
  <c r="V70" i="40"/>
  <c r="N70" i="40"/>
  <c r="M70" i="40"/>
  <c r="J70" i="40"/>
  <c r="H70" i="40"/>
  <c r="G70" i="40"/>
  <c r="AR69" i="40"/>
  <c r="V69" i="40"/>
  <c r="O69" i="40"/>
  <c r="N69" i="40"/>
  <c r="M69" i="40"/>
  <c r="J69" i="40"/>
  <c r="H69" i="40"/>
  <c r="G69" i="40"/>
  <c r="AR68" i="40"/>
  <c r="V68" i="40"/>
  <c r="N68" i="40"/>
  <c r="M68" i="40"/>
  <c r="J68" i="40"/>
  <c r="H68" i="40"/>
  <c r="G68" i="40"/>
  <c r="AR67" i="40"/>
  <c r="V67" i="40"/>
  <c r="M67" i="40"/>
  <c r="J67" i="40"/>
  <c r="H67" i="40"/>
  <c r="G67" i="40"/>
  <c r="AR66" i="40"/>
  <c r="V66" i="40"/>
  <c r="J66" i="40" s="1"/>
  <c r="O66" i="40"/>
  <c r="N66" i="40"/>
  <c r="M66" i="40"/>
  <c r="H66" i="40"/>
  <c r="G66" i="40"/>
  <c r="AK65" i="40"/>
  <c r="W65" i="40"/>
  <c r="U65" i="40"/>
  <c r="T65" i="40"/>
  <c r="S65" i="40"/>
  <c r="R65" i="40"/>
  <c r="Q65" i="40"/>
  <c r="G65" i="40"/>
  <c r="AR64" i="40"/>
  <c r="V64" i="40"/>
  <c r="J64" i="40" s="1"/>
  <c r="O64" i="40"/>
  <c r="N64" i="40"/>
  <c r="M64" i="40"/>
  <c r="H64" i="40"/>
  <c r="G64" i="40"/>
  <c r="AR63" i="40"/>
  <c r="V63" i="40"/>
  <c r="J63" i="40" s="1"/>
  <c r="O63" i="40"/>
  <c r="N63" i="40"/>
  <c r="M63" i="40"/>
  <c r="H63" i="40"/>
  <c r="G63" i="40"/>
  <c r="AR62" i="40"/>
  <c r="V62" i="40"/>
  <c r="J62" i="40" s="1"/>
  <c r="M62" i="40"/>
  <c r="H62" i="40"/>
  <c r="G62" i="40"/>
  <c r="AR61" i="40"/>
  <c r="V61" i="40"/>
  <c r="J61" i="40" s="1"/>
  <c r="M61" i="40"/>
  <c r="H61" i="40"/>
  <c r="G61" i="40"/>
  <c r="AR60" i="40"/>
  <c r="V60" i="40"/>
  <c r="M60" i="40"/>
  <c r="J60" i="40"/>
  <c r="H60" i="40"/>
  <c r="G60" i="40"/>
  <c r="AK59" i="40"/>
  <c r="W59" i="40"/>
  <c r="U59" i="40"/>
  <c r="T59" i="40"/>
  <c r="T58" i="40" s="1"/>
  <c r="S59" i="40"/>
  <c r="R59" i="40"/>
  <c r="Q59" i="40"/>
  <c r="G59" i="40"/>
  <c r="AK58" i="40"/>
  <c r="G58" i="40"/>
  <c r="AK57" i="40"/>
  <c r="G57" i="40"/>
  <c r="AR56" i="40"/>
  <c r="V56" i="40"/>
  <c r="O56" i="40"/>
  <c r="N56" i="40"/>
  <c r="M56" i="40"/>
  <c r="J56" i="40"/>
  <c r="G56" i="40"/>
  <c r="AR55" i="40"/>
  <c r="V55" i="40"/>
  <c r="J55" i="40" s="1"/>
  <c r="O55" i="40"/>
  <c r="N55" i="40"/>
  <c r="M55" i="40"/>
  <c r="G55" i="40"/>
  <c r="AR54" i="40"/>
  <c r="V54" i="40"/>
  <c r="J54" i="40" s="1"/>
  <c r="P54" i="40"/>
  <c r="I54" i="40" s="1"/>
  <c r="Z54" i="40" s="1"/>
  <c r="M54" i="40"/>
  <c r="G54" i="40"/>
  <c r="AR53" i="40"/>
  <c r="V53" i="40"/>
  <c r="J53" i="40" s="1"/>
  <c r="M53" i="40"/>
  <c r="G53" i="40"/>
  <c r="AK52" i="40"/>
  <c r="U52" i="40"/>
  <c r="T52" i="40"/>
  <c r="S52" i="40"/>
  <c r="R52" i="40"/>
  <c r="Q52" i="40"/>
  <c r="G52" i="40"/>
  <c r="AR51" i="40"/>
  <c r="V51" i="40"/>
  <c r="J51" i="40" s="1"/>
  <c r="O51" i="40"/>
  <c r="O50" i="40" s="1"/>
  <c r="M51" i="40"/>
  <c r="G51" i="40"/>
  <c r="AK50" i="40"/>
  <c r="U50" i="40"/>
  <c r="T50" i="40"/>
  <c r="S50" i="40"/>
  <c r="R50" i="40"/>
  <c r="Q50" i="40"/>
  <c r="N50" i="40"/>
  <c r="G50" i="40"/>
  <c r="AR49" i="40"/>
  <c r="V49" i="40"/>
  <c r="J49" i="40" s="1"/>
  <c r="P49" i="40"/>
  <c r="I49" i="40" s="1"/>
  <c r="Z49" i="40" s="1"/>
  <c r="M49" i="40"/>
  <c r="G49" i="40"/>
  <c r="AR48" i="40"/>
  <c r="V48" i="40"/>
  <c r="J48" i="40" s="1"/>
  <c r="P48" i="40"/>
  <c r="I48" i="40" s="1"/>
  <c r="Z48" i="40" s="1"/>
  <c r="M48" i="40"/>
  <c r="G48" i="40"/>
  <c r="AK47" i="40"/>
  <c r="U47" i="40"/>
  <c r="T47" i="40"/>
  <c r="S47" i="40"/>
  <c r="R47" i="40"/>
  <c r="Q47" i="40"/>
  <c r="O47" i="40"/>
  <c r="N47" i="40"/>
  <c r="G47" i="40"/>
  <c r="AR46" i="40"/>
  <c r="V46" i="40"/>
  <c r="P46" i="40"/>
  <c r="I46" i="40" s="1"/>
  <c r="Z46" i="40" s="1"/>
  <c r="M46" i="40"/>
  <c r="J46" i="40"/>
  <c r="G46" i="40"/>
  <c r="AR45" i="40"/>
  <c r="V45" i="40"/>
  <c r="J45" i="40" s="1"/>
  <c r="P45" i="40"/>
  <c r="I45" i="40" s="1"/>
  <c r="Z45" i="40" s="1"/>
  <c r="M45" i="40"/>
  <c r="G45" i="40"/>
  <c r="AR44" i="40"/>
  <c r="V44" i="40"/>
  <c r="J44" i="40" s="1"/>
  <c r="P44" i="40"/>
  <c r="I44" i="40" s="1"/>
  <c r="Z44" i="40" s="1"/>
  <c r="M44" i="40"/>
  <c r="G44" i="40"/>
  <c r="AK43" i="40"/>
  <c r="U43" i="40"/>
  <c r="T43" i="40"/>
  <c r="S43" i="40"/>
  <c r="R43" i="40"/>
  <c r="Q43" i="40"/>
  <c r="O43" i="40"/>
  <c r="N43" i="40"/>
  <c r="G43" i="40"/>
  <c r="AK42" i="40"/>
  <c r="G42" i="40"/>
  <c r="AK41" i="40"/>
  <c r="G41" i="40"/>
  <c r="AR40" i="40"/>
  <c r="V40" i="40"/>
  <c r="J40" i="40" s="1"/>
  <c r="P40" i="40"/>
  <c r="I40" i="40" s="1"/>
  <c r="M40" i="40"/>
  <c r="G40" i="40"/>
  <c r="AR39" i="40"/>
  <c r="V39" i="40"/>
  <c r="M39" i="40"/>
  <c r="J39" i="40"/>
  <c r="G39" i="40"/>
  <c r="AR38" i="40"/>
  <c r="V38" i="40"/>
  <c r="J38" i="40" s="1"/>
  <c r="P38" i="40"/>
  <c r="I38" i="40" s="1"/>
  <c r="Z38" i="40" s="1"/>
  <c r="M38" i="40"/>
  <c r="G38" i="40"/>
  <c r="AK37" i="40"/>
  <c r="W37" i="40"/>
  <c r="U37" i="40"/>
  <c r="T37" i="40"/>
  <c r="S37" i="40"/>
  <c r="R37" i="40"/>
  <c r="Q37" i="40"/>
  <c r="N37" i="40"/>
  <c r="G37" i="40"/>
  <c r="AR36" i="40"/>
  <c r="V36" i="40"/>
  <c r="J36" i="40" s="1"/>
  <c r="N36" i="40"/>
  <c r="P36" i="40" s="1"/>
  <c r="I36" i="40" s="1"/>
  <c r="Z36" i="40" s="1"/>
  <c r="M36" i="40"/>
  <c r="G36" i="40"/>
  <c r="AR35" i="40"/>
  <c r="V35" i="40"/>
  <c r="J35" i="40" s="1"/>
  <c r="P35" i="40"/>
  <c r="I35" i="40" s="1"/>
  <c r="M35" i="40"/>
  <c r="G35" i="40"/>
  <c r="AK34" i="40"/>
  <c r="U34" i="40"/>
  <c r="T34" i="40"/>
  <c r="S34" i="40"/>
  <c r="R34" i="40"/>
  <c r="Q34" i="40"/>
  <c r="O34" i="40"/>
  <c r="N34" i="40"/>
  <c r="G34" i="40"/>
  <c r="AR33" i="40"/>
  <c r="V33" i="40"/>
  <c r="O33" i="40"/>
  <c r="N33" i="40"/>
  <c r="M33" i="40"/>
  <c r="J33" i="40"/>
  <c r="H33" i="40"/>
  <c r="G33" i="40"/>
  <c r="AR32" i="40"/>
  <c r="V32" i="40"/>
  <c r="O32" i="40"/>
  <c r="N32" i="40"/>
  <c r="M32" i="40"/>
  <c r="J32" i="40"/>
  <c r="H32" i="40"/>
  <c r="G32" i="40"/>
  <c r="AR31" i="40"/>
  <c r="V31" i="40"/>
  <c r="O31" i="40"/>
  <c r="N31" i="40"/>
  <c r="M31" i="40"/>
  <c r="J31" i="40"/>
  <c r="H31" i="40"/>
  <c r="G31" i="40"/>
  <c r="AK30" i="40"/>
  <c r="W30" i="40"/>
  <c r="U30" i="40"/>
  <c r="T30" i="40"/>
  <c r="S30" i="40"/>
  <c r="R30" i="40"/>
  <c r="Q30" i="40"/>
  <c r="G30" i="40"/>
  <c r="AR29" i="40"/>
  <c r="V29" i="40"/>
  <c r="O29" i="40"/>
  <c r="N29" i="40"/>
  <c r="M29" i="40"/>
  <c r="J29" i="40"/>
  <c r="H29" i="40"/>
  <c r="G29" i="40"/>
  <c r="AR28" i="40"/>
  <c r="V28" i="40"/>
  <c r="O28" i="40"/>
  <c r="N28" i="40"/>
  <c r="M28" i="40"/>
  <c r="J28" i="40"/>
  <c r="H28" i="40"/>
  <c r="G28" i="40"/>
  <c r="AR27" i="40"/>
  <c r="V27" i="40"/>
  <c r="O27" i="40"/>
  <c r="N27" i="40"/>
  <c r="M27" i="40"/>
  <c r="J27" i="40"/>
  <c r="H27" i="40"/>
  <c r="G27" i="40"/>
  <c r="AR26" i="40"/>
  <c r="V26" i="40"/>
  <c r="J26" i="40" s="1"/>
  <c r="O26" i="40"/>
  <c r="N26" i="40"/>
  <c r="M26" i="40"/>
  <c r="H26" i="40"/>
  <c r="G26" i="40"/>
  <c r="AR25" i="40"/>
  <c r="V25" i="40"/>
  <c r="J25" i="40" s="1"/>
  <c r="O25" i="40"/>
  <c r="N25" i="40"/>
  <c r="M25" i="40"/>
  <c r="H25" i="40"/>
  <c r="G25" i="40"/>
  <c r="AK24" i="40"/>
  <c r="W24" i="40"/>
  <c r="U24" i="40"/>
  <c r="T24" i="40"/>
  <c r="S24" i="40"/>
  <c r="R24" i="40"/>
  <c r="Q24" i="40"/>
  <c r="G24" i="40"/>
  <c r="AR23" i="40"/>
  <c r="V23" i="40"/>
  <c r="J23" i="40" s="1"/>
  <c r="O23" i="40"/>
  <c r="N23" i="40"/>
  <c r="M23" i="40"/>
  <c r="H23" i="40"/>
  <c r="G23" i="40"/>
  <c r="AR22" i="40"/>
  <c r="V22" i="40"/>
  <c r="J22" i="40" s="1"/>
  <c r="O22" i="40"/>
  <c r="N22" i="40"/>
  <c r="M22" i="40"/>
  <c r="H22" i="40"/>
  <c r="G22" i="40"/>
  <c r="AR21" i="40"/>
  <c r="V21" i="40"/>
  <c r="J21" i="40" s="1"/>
  <c r="O21" i="40"/>
  <c r="N21" i="40"/>
  <c r="M21" i="40"/>
  <c r="H21" i="40"/>
  <c r="G21" i="40"/>
  <c r="AK20" i="40"/>
  <c r="W20" i="40"/>
  <c r="U20" i="40"/>
  <c r="T20" i="40"/>
  <c r="S20" i="40"/>
  <c r="R20" i="40"/>
  <c r="Q20" i="40"/>
  <c r="G20" i="40"/>
  <c r="AR19" i="40"/>
  <c r="V19" i="40"/>
  <c r="O19" i="40"/>
  <c r="N19" i="40"/>
  <c r="M19" i="40"/>
  <c r="J19" i="40"/>
  <c r="H19" i="40"/>
  <c r="G19" i="40"/>
  <c r="AR18" i="40"/>
  <c r="V18" i="40"/>
  <c r="J18" i="40" s="1"/>
  <c r="O18" i="40"/>
  <c r="N18" i="40"/>
  <c r="M18" i="40"/>
  <c r="H18" i="40"/>
  <c r="G18" i="40"/>
  <c r="AR17" i="40"/>
  <c r="V17" i="40"/>
  <c r="O17" i="40"/>
  <c r="N17" i="40"/>
  <c r="M17" i="40"/>
  <c r="J17" i="40"/>
  <c r="H17" i="40"/>
  <c r="G17" i="40"/>
  <c r="AR16" i="40"/>
  <c r="V16" i="40"/>
  <c r="J16" i="40" s="1"/>
  <c r="O16" i="40"/>
  <c r="N16" i="40"/>
  <c r="M16" i="40"/>
  <c r="H16" i="40"/>
  <c r="G16" i="40"/>
  <c r="AK15" i="40"/>
  <c r="W15" i="40"/>
  <c r="U15" i="40"/>
  <c r="T15" i="40"/>
  <c r="S15" i="40"/>
  <c r="R15" i="40"/>
  <c r="Q15" i="40"/>
  <c r="G15" i="40"/>
  <c r="AK14" i="40"/>
  <c r="G14" i="40"/>
  <c r="AR13" i="40"/>
  <c r="W13" i="40"/>
  <c r="V13" i="40"/>
  <c r="O13" i="40"/>
  <c r="N13" i="40"/>
  <c r="M13" i="40"/>
  <c r="J13" i="40"/>
  <c r="G13" i="40"/>
  <c r="AR12" i="40"/>
  <c r="W12" i="40"/>
  <c r="V12" i="40"/>
  <c r="O12" i="40"/>
  <c r="N12" i="40"/>
  <c r="M12" i="40"/>
  <c r="J12" i="40"/>
  <c r="G12" i="40"/>
  <c r="AR11" i="40"/>
  <c r="V11" i="40"/>
  <c r="J11" i="40" s="1"/>
  <c r="O11" i="40"/>
  <c r="N11" i="40"/>
  <c r="M11" i="40"/>
  <c r="G11" i="40"/>
  <c r="AR10" i="40"/>
  <c r="W10" i="40"/>
  <c r="V10" i="40"/>
  <c r="J10" i="40" s="1"/>
  <c r="O10" i="40"/>
  <c r="N10" i="40"/>
  <c r="M10" i="40"/>
  <c r="G10" i="40"/>
  <c r="AK9" i="40"/>
  <c r="U9" i="40"/>
  <c r="T9" i="40"/>
  <c r="S9" i="40"/>
  <c r="R9" i="40"/>
  <c r="Q9" i="40"/>
  <c r="G9" i="40"/>
  <c r="AR8" i="40"/>
  <c r="W8" i="40"/>
  <c r="V8" i="40"/>
  <c r="O8" i="40"/>
  <c r="N8" i="40"/>
  <c r="M8" i="40"/>
  <c r="J8" i="40"/>
  <c r="G8" i="40"/>
  <c r="AR7" i="40"/>
  <c r="W7" i="40"/>
  <c r="V7" i="40"/>
  <c r="O7" i="40"/>
  <c r="N7" i="40"/>
  <c r="M7" i="40"/>
  <c r="J7" i="40"/>
  <c r="G7" i="40"/>
  <c r="AR6" i="40"/>
  <c r="W6" i="40"/>
  <c r="V6" i="40"/>
  <c r="J6" i="40" s="1"/>
  <c r="P6" i="40"/>
  <c r="I6" i="40" s="1"/>
  <c r="Z6" i="40" s="1"/>
  <c r="AF6" i="40" s="1"/>
  <c r="M6" i="40"/>
  <c r="G6" i="40"/>
  <c r="U5" i="40"/>
  <c r="T5" i="40"/>
  <c r="S5" i="40"/>
  <c r="R5" i="40"/>
  <c r="Q5" i="40"/>
  <c r="Q4" i="40" s="1"/>
  <c r="G5" i="40"/>
  <c r="G4" i="40"/>
  <c r="G3" i="40"/>
  <c r="N5" i="40" l="1"/>
  <c r="R14" i="40"/>
  <c r="S58" i="40"/>
  <c r="P16" i="40"/>
  <c r="I16" i="40" s="1"/>
  <c r="Z16" i="40" s="1"/>
  <c r="Q42" i="40"/>
  <c r="Q41" i="40" s="1"/>
  <c r="T57" i="40"/>
  <c r="P11" i="40"/>
  <c r="I11" i="40" s="1"/>
  <c r="Z11" i="40" s="1"/>
  <c r="S14" i="40"/>
  <c r="P19" i="40"/>
  <c r="I19" i="40" s="1"/>
  <c r="Z19" i="40" s="1"/>
  <c r="P25" i="40"/>
  <c r="I25" i="40" s="1"/>
  <c r="Z25" i="40" s="1"/>
  <c r="N20" i="40"/>
  <c r="K46" i="40"/>
  <c r="P33" i="40"/>
  <c r="I33" i="40" s="1"/>
  <c r="Z33" i="40" s="1"/>
  <c r="S3" i="40"/>
  <c r="V37" i="40"/>
  <c r="J37" i="40" s="1"/>
  <c r="U42" i="40"/>
  <c r="U41" i="40" s="1"/>
  <c r="K45" i="40"/>
  <c r="P47" i="40"/>
  <c r="I47" i="40" s="1"/>
  <c r="T42" i="40"/>
  <c r="T41" i="40" s="1"/>
  <c r="R42" i="40"/>
  <c r="R41" i="40" s="1"/>
  <c r="R58" i="40"/>
  <c r="R57" i="40" s="1"/>
  <c r="J43" i="40"/>
  <c r="O24" i="40"/>
  <c r="S57" i="40"/>
  <c r="S4" i="40"/>
  <c r="R4" i="40"/>
  <c r="P10" i="40"/>
  <c r="I10" i="40" s="1"/>
  <c r="Z10" i="40" s="1"/>
  <c r="R3" i="40"/>
  <c r="P29" i="40"/>
  <c r="I29" i="40" s="1"/>
  <c r="Z29" i="40" s="1"/>
  <c r="N42" i="40"/>
  <c r="S42" i="40"/>
  <c r="S41" i="40" s="1"/>
  <c r="K6" i="40"/>
  <c r="N15" i="40"/>
  <c r="T14" i="40"/>
  <c r="T3" i="40" s="1"/>
  <c r="T82" i="40" s="1"/>
  <c r="V65" i="40"/>
  <c r="J65" i="40" s="1"/>
  <c r="U58" i="40"/>
  <c r="U57" i="40" s="1"/>
  <c r="T4" i="40"/>
  <c r="V20" i="40"/>
  <c r="J20" i="40" s="1"/>
  <c r="O20" i="40"/>
  <c r="P22" i="40"/>
  <c r="I22" i="40" s="1"/>
  <c r="Z22" i="40" s="1"/>
  <c r="N30" i="40"/>
  <c r="V79" i="40"/>
  <c r="J79" i="40" s="1"/>
  <c r="O9" i="40"/>
  <c r="O15" i="40"/>
  <c r="P23" i="40"/>
  <c r="I23" i="40" s="1"/>
  <c r="Z23" i="40" s="1"/>
  <c r="O30" i="40"/>
  <c r="P32" i="40"/>
  <c r="I32" i="40" s="1"/>
  <c r="Z32" i="40" s="1"/>
  <c r="P63" i="40"/>
  <c r="I63" i="40" s="1"/>
  <c r="P20" i="40"/>
  <c r="I20" i="40" s="1"/>
  <c r="I43" i="40"/>
  <c r="Z81" i="40"/>
  <c r="K81" i="40"/>
  <c r="P15" i="40"/>
  <c r="I15" i="40" s="1"/>
  <c r="K38" i="40"/>
  <c r="K49" i="40"/>
  <c r="U4" i="40"/>
  <c r="V5" i="40"/>
  <c r="J5" i="40" s="1"/>
  <c r="P26" i="40"/>
  <c r="I26" i="40" s="1"/>
  <c r="V30" i="40"/>
  <c r="J30" i="40" s="1"/>
  <c r="V34" i="40"/>
  <c r="J34" i="40" s="1"/>
  <c r="P43" i="40"/>
  <c r="V47" i="40"/>
  <c r="J47" i="40" s="1"/>
  <c r="K80" i="40"/>
  <c r="P50" i="40"/>
  <c r="I50" i="40" s="1"/>
  <c r="P7" i="40"/>
  <c r="I7" i="40" s="1"/>
  <c r="Z7" i="40" s="1"/>
  <c r="P13" i="40"/>
  <c r="I13" i="40" s="1"/>
  <c r="Z13" i="40" s="1"/>
  <c r="V15" i="40"/>
  <c r="J15" i="40" s="1"/>
  <c r="U14" i="40"/>
  <c r="U3" i="40" s="1"/>
  <c r="U82" i="40" s="1"/>
  <c r="P17" i="40"/>
  <c r="I17" i="40" s="1"/>
  <c r="Z17" i="40" s="1"/>
  <c r="V24" i="40"/>
  <c r="J24" i="40" s="1"/>
  <c r="P27" i="40"/>
  <c r="I27" i="40" s="1"/>
  <c r="Z27" i="40" s="1"/>
  <c r="K35" i="40"/>
  <c r="O42" i="40"/>
  <c r="V43" i="40"/>
  <c r="V52" i="40"/>
  <c r="J52" i="40" s="1"/>
  <c r="P55" i="40"/>
  <c r="I55" i="40" s="1"/>
  <c r="P56" i="40"/>
  <c r="I56" i="40" s="1"/>
  <c r="Z56" i="40" s="1"/>
  <c r="Q58" i="40"/>
  <c r="Q57" i="40" s="1"/>
  <c r="V59" i="40"/>
  <c r="J59" i="40" s="1"/>
  <c r="P69" i="40"/>
  <c r="I69" i="40" s="1"/>
  <c r="V71" i="40"/>
  <c r="J71" i="40" s="1"/>
  <c r="P79" i="40"/>
  <c r="I79" i="40" s="1"/>
  <c r="O5" i="40"/>
  <c r="P8" i="40"/>
  <c r="I8" i="40" s="1"/>
  <c r="Z8" i="40" s="1"/>
  <c r="V9" i="40"/>
  <c r="J9" i="40" s="1"/>
  <c r="P18" i="40"/>
  <c r="I18" i="40" s="1"/>
  <c r="Z18" i="40" s="1"/>
  <c r="P21" i="40"/>
  <c r="I21" i="40" s="1"/>
  <c r="Z21" i="40" s="1"/>
  <c r="N24" i="40"/>
  <c r="P28" i="40"/>
  <c r="I28" i="40" s="1"/>
  <c r="P31" i="40"/>
  <c r="I31" i="40" s="1"/>
  <c r="Z31" i="40" s="1"/>
  <c r="P34" i="40"/>
  <c r="I34" i="40" s="1"/>
  <c r="V50" i="40"/>
  <c r="J50" i="40" s="1"/>
  <c r="P66" i="40"/>
  <c r="I66" i="40" s="1"/>
  <c r="Z66" i="40" s="1"/>
  <c r="V74" i="40"/>
  <c r="J74" i="40" s="1"/>
  <c r="P5" i="40"/>
  <c r="I5" i="40" s="1"/>
  <c r="K11" i="40"/>
  <c r="AI6" i="40"/>
  <c r="AH6" i="40"/>
  <c r="AG6" i="40"/>
  <c r="K7" i="40"/>
  <c r="O4" i="40"/>
  <c r="N9" i="40"/>
  <c r="K16" i="40"/>
  <c r="K22" i="40"/>
  <c r="K29" i="40"/>
  <c r="K19" i="40"/>
  <c r="K21" i="40"/>
  <c r="K18" i="40"/>
  <c r="K33" i="40"/>
  <c r="P12" i="40"/>
  <c r="I12" i="40" s="1"/>
  <c r="Z12" i="40" s="1"/>
  <c r="K17" i="40"/>
  <c r="K32" i="40"/>
  <c r="K36" i="40"/>
  <c r="Q14" i="40"/>
  <c r="V58" i="40"/>
  <c r="J58" i="40" s="1"/>
  <c r="P51" i="40"/>
  <c r="I51" i="40" s="1"/>
  <c r="Z51" i="40" s="1"/>
  <c r="P64" i="40"/>
  <c r="I64" i="40" s="1"/>
  <c r="K40" i="40"/>
  <c r="K44" i="40"/>
  <c r="K48" i="40"/>
  <c r="K54" i="40"/>
  <c r="K66" i="40"/>
  <c r="R82" i="40" l="1"/>
  <c r="K5" i="40"/>
  <c r="V42" i="40"/>
  <c r="J42" i="40" s="1"/>
  <c r="P24" i="40"/>
  <c r="I24" i="40" s="1"/>
  <c r="K24" i="40" s="1"/>
  <c r="K28" i="40"/>
  <c r="Z28" i="40"/>
  <c r="K55" i="40"/>
  <c r="Z55" i="40"/>
  <c r="K10" i="40"/>
  <c r="K79" i="40"/>
  <c r="K26" i="40"/>
  <c r="Z26" i="40"/>
  <c r="V41" i="40"/>
  <c r="J41" i="40" s="1"/>
  <c r="K56" i="40"/>
  <c r="K13" i="40"/>
  <c r="V4" i="40"/>
  <c r="J4" i="40" s="1"/>
  <c r="K25" i="40"/>
  <c r="S82" i="40"/>
  <c r="K31" i="40"/>
  <c r="P42" i="40"/>
  <c r="I42" i="40" s="1"/>
  <c r="K47" i="40"/>
  <c r="V57" i="40"/>
  <c r="J57" i="40" s="1"/>
  <c r="O14" i="40"/>
  <c r="K20" i="40"/>
  <c r="K23" i="40"/>
  <c r="P30" i="40"/>
  <c r="I30" i="40" s="1"/>
  <c r="K30" i="40" s="1"/>
  <c r="K43" i="40"/>
  <c r="AF81" i="40"/>
  <c r="AI81" i="40"/>
  <c r="AH81" i="40"/>
  <c r="K69" i="40"/>
  <c r="K63" i="40"/>
  <c r="AG81" i="40"/>
  <c r="K27" i="40"/>
  <c r="K34" i="40"/>
  <c r="N14" i="40"/>
  <c r="K8" i="40"/>
  <c r="K50" i="40"/>
  <c r="K15" i="40"/>
  <c r="AK6" i="40"/>
  <c r="K64" i="40"/>
  <c r="V14" i="40"/>
  <c r="J14" i="40" s="1"/>
  <c r="Q3" i="40"/>
  <c r="K12" i="40"/>
  <c r="K51" i="40"/>
  <c r="N4" i="40"/>
  <c r="P9" i="40"/>
  <c r="I9" i="40" s="1"/>
  <c r="K9" i="40" s="1"/>
  <c r="K42" i="40" l="1"/>
  <c r="P14" i="40"/>
  <c r="I14" i="40" s="1"/>
  <c r="K14" i="40" s="1"/>
  <c r="AK81" i="40"/>
  <c r="P4" i="40"/>
  <c r="I4" i="40" s="1"/>
  <c r="K4" i="40" s="1"/>
  <c r="N3" i="40"/>
  <c r="V3" i="40"/>
  <c r="J3" i="40" s="1"/>
  <c r="Q82" i="40"/>
  <c r="V82" i="40" s="1"/>
  <c r="J82" i="40" s="1"/>
  <c r="AY79" i="2" l="1"/>
  <c r="AY74" i="2"/>
  <c r="AY71" i="2"/>
  <c r="AY65" i="2"/>
  <c r="AY59" i="2"/>
  <c r="AY58" i="2"/>
  <c r="AY57" i="2"/>
  <c r="AY52" i="2"/>
  <c r="AY50" i="2"/>
  <c r="AY47" i="2"/>
  <c r="AY43" i="2"/>
  <c r="AY42" i="2"/>
  <c r="AY41" i="2"/>
  <c r="AY37" i="2"/>
  <c r="AY34" i="2"/>
  <c r="AY30" i="2"/>
  <c r="AY24" i="2"/>
  <c r="AY20" i="2"/>
  <c r="AY15" i="2"/>
  <c r="AY14" i="2"/>
  <c r="AY9" i="2"/>
  <c r="BG23" i="2"/>
  <c r="Y81" i="2"/>
  <c r="Y80" i="2"/>
  <c r="Y78" i="2"/>
  <c r="Y77" i="2"/>
  <c r="Y76" i="2"/>
  <c r="Y75" i="2"/>
  <c r="Y73" i="2"/>
  <c r="Y72" i="2"/>
  <c r="Y70" i="2"/>
  <c r="Y69" i="2"/>
  <c r="Y68" i="2"/>
  <c r="Y67" i="2"/>
  <c r="Y66" i="2"/>
  <c r="Y64" i="2"/>
  <c r="Y63" i="2"/>
  <c r="Y62" i="2"/>
  <c r="Y61" i="2"/>
  <c r="Y60" i="2"/>
  <c r="Y56" i="2"/>
  <c r="Y55" i="2"/>
  <c r="Y54" i="2"/>
  <c r="Y53" i="2"/>
  <c r="Y51" i="2"/>
  <c r="Y49" i="2"/>
  <c r="Y48" i="2"/>
  <c r="Y46" i="2"/>
  <c r="Y45" i="2"/>
  <c r="Y44" i="2"/>
  <c r="Y40" i="2"/>
  <c r="Y39" i="2"/>
  <c r="Y38" i="2"/>
  <c r="Y36" i="2"/>
  <c r="Y35" i="2"/>
  <c r="Y33" i="2"/>
  <c r="Y32" i="2"/>
  <c r="Y31" i="2"/>
  <c r="Y29" i="2"/>
  <c r="Y28" i="2"/>
  <c r="Y27" i="2"/>
  <c r="Y26" i="2"/>
  <c r="Y25" i="2"/>
  <c r="Y23" i="2"/>
  <c r="Y22" i="2"/>
  <c r="Y21" i="2"/>
  <c r="Y19" i="2"/>
  <c r="Y18" i="2"/>
  <c r="Y17" i="2"/>
  <c r="Y16" i="2"/>
  <c r="Y13" i="2"/>
  <c r="Y12" i="2"/>
  <c r="Y11" i="2"/>
  <c r="Y10" i="2"/>
  <c r="Y8" i="2"/>
  <c r="Y7" i="2"/>
  <c r="Y6" i="2"/>
  <c r="X79" i="2"/>
  <c r="X74" i="2"/>
  <c r="X71" i="2"/>
  <c r="X65" i="2"/>
  <c r="X59" i="2"/>
  <c r="X58" i="2" s="1"/>
  <c r="X57" i="2" s="1"/>
  <c r="X52" i="2"/>
  <c r="X50" i="2"/>
  <c r="X47" i="2"/>
  <c r="X43" i="2"/>
  <c r="X37" i="2"/>
  <c r="X34" i="2"/>
  <c r="X30" i="2"/>
  <c r="X24" i="2"/>
  <c r="X20" i="2"/>
  <c r="X15" i="2"/>
  <c r="X9" i="2"/>
  <c r="X5" i="2"/>
  <c r="X4" i="2" s="1"/>
  <c r="R23" i="2"/>
  <c r="R20" i="2" s="1"/>
  <c r="J20" i="32"/>
  <c r="J31" i="32"/>
  <c r="R65" i="2"/>
  <c r="R52" i="2"/>
  <c r="R50" i="2"/>
  <c r="Q50" i="2"/>
  <c r="R47" i="2"/>
  <c r="Q47" i="2"/>
  <c r="P47" i="2"/>
  <c r="O47" i="2"/>
  <c r="N47" i="2"/>
  <c r="R43" i="2"/>
  <c r="R42" i="2" s="1"/>
  <c r="R41" i="2" s="1"/>
  <c r="Q43" i="2"/>
  <c r="P43" i="2"/>
  <c r="O43" i="2"/>
  <c r="N43" i="2"/>
  <c r="R37" i="2"/>
  <c r="Q37" i="2"/>
  <c r="N37" i="2"/>
  <c r="R34" i="2"/>
  <c r="Q34" i="2"/>
  <c r="P34" i="2"/>
  <c r="O34" i="2"/>
  <c r="N34" i="2"/>
  <c r="R30" i="2"/>
  <c r="R24" i="2"/>
  <c r="R15" i="2"/>
  <c r="R9" i="2"/>
  <c r="R5" i="2"/>
  <c r="R36" i="2"/>
  <c r="S81" i="2"/>
  <c r="S80" i="2"/>
  <c r="S54" i="2"/>
  <c r="S49" i="2"/>
  <c r="S48" i="2"/>
  <c r="S46" i="2"/>
  <c r="S45" i="2"/>
  <c r="S44" i="2"/>
  <c r="S40" i="2"/>
  <c r="S38" i="2"/>
  <c r="S35" i="2"/>
  <c r="S6" i="2"/>
  <c r="R64" i="2"/>
  <c r="R59" i="2" s="1"/>
  <c r="R79" i="2"/>
  <c r="R74" i="2"/>
  <c r="R71" i="2" s="1"/>
  <c r="Q42" i="2" l="1"/>
  <c r="R58" i="2"/>
  <c r="X14" i="2"/>
  <c r="X3" i="2" s="1"/>
  <c r="X42" i="2"/>
  <c r="X41" i="2" s="1"/>
  <c r="S47" i="2"/>
  <c r="R14" i="2"/>
  <c r="R3" i="2" s="1"/>
  <c r="S43" i="2"/>
  <c r="R4" i="2"/>
  <c r="R57" i="2"/>
  <c r="G14" i="2"/>
  <c r="BG35" i="2"/>
  <c r="J35" i="2"/>
  <c r="I35" i="2"/>
  <c r="M35" i="2"/>
  <c r="G35" i="2"/>
  <c r="W34" i="2"/>
  <c r="V34" i="2"/>
  <c r="U34" i="2"/>
  <c r="T34" i="2"/>
  <c r="S34" i="2"/>
  <c r="N25" i="27" s="1"/>
  <c r="G34" i="2"/>
  <c r="X82" i="2" l="1"/>
  <c r="Y34" i="2"/>
  <c r="J34" i="2" s="1"/>
  <c r="R82" i="2"/>
  <c r="I34" i="2"/>
  <c r="AD35" i="2"/>
  <c r="AR35" i="2" s="1"/>
  <c r="K35" i="2"/>
  <c r="P51" i="2"/>
  <c r="P50" i="2" s="1"/>
  <c r="P42" i="2" s="1"/>
  <c r="O51" i="2"/>
  <c r="BG51" i="2"/>
  <c r="AC78" i="2"/>
  <c r="AC77" i="2"/>
  <c r="AC76" i="2"/>
  <c r="AC75" i="2"/>
  <c r="AC73" i="2"/>
  <c r="AC72" i="2"/>
  <c r="AC70" i="2"/>
  <c r="AC69" i="2"/>
  <c r="AC68" i="2"/>
  <c r="AC67" i="2"/>
  <c r="AC66" i="2"/>
  <c r="AC64" i="2"/>
  <c r="AC63" i="2"/>
  <c r="AC62" i="2"/>
  <c r="AC61" i="2"/>
  <c r="AC60" i="2"/>
  <c r="AC56" i="2"/>
  <c r="AC55" i="2"/>
  <c r="AC54" i="2"/>
  <c r="AC53" i="2"/>
  <c r="AC51" i="2"/>
  <c r="AC49" i="2"/>
  <c r="AC48" i="2"/>
  <c r="AC46" i="2"/>
  <c r="AC45" i="2"/>
  <c r="AC44" i="2"/>
  <c r="AC40" i="2"/>
  <c r="AC39" i="2"/>
  <c r="AC38" i="2"/>
  <c r="AC36" i="2"/>
  <c r="AC33" i="2"/>
  <c r="AC32" i="2"/>
  <c r="AC31" i="2"/>
  <c r="AC29" i="2"/>
  <c r="AC28" i="2"/>
  <c r="AC27" i="2"/>
  <c r="AC26" i="2"/>
  <c r="AC25" i="2"/>
  <c r="AC23" i="2"/>
  <c r="AC22" i="2"/>
  <c r="AC21" i="2"/>
  <c r="AC19" i="2"/>
  <c r="AC18" i="2"/>
  <c r="AC17" i="2"/>
  <c r="AC16" i="2"/>
  <c r="AC13" i="2"/>
  <c r="AC12" i="2"/>
  <c r="AC11" i="2"/>
  <c r="AC10" i="2"/>
  <c r="AC8" i="2"/>
  <c r="AC7" i="2"/>
  <c r="AC6" i="2"/>
  <c r="BG78" i="2"/>
  <c r="BG77" i="2"/>
  <c r="BG76" i="2"/>
  <c r="BG75" i="2"/>
  <c r="O50" i="2" l="1"/>
  <c r="O42" i="2" s="1"/>
  <c r="S51" i="2"/>
  <c r="K34" i="2"/>
  <c r="AU35" i="2"/>
  <c r="AS35" i="2"/>
  <c r="AT35" i="2"/>
  <c r="AP35" i="2"/>
  <c r="AQ35" i="2"/>
  <c r="M81" i="2"/>
  <c r="M80" i="2"/>
  <c r="M78" i="2"/>
  <c r="M77" i="2"/>
  <c r="M76" i="2"/>
  <c r="M75" i="2"/>
  <c r="M73" i="2"/>
  <c r="M72" i="2"/>
  <c r="M70" i="2"/>
  <c r="M69" i="2"/>
  <c r="M68" i="2"/>
  <c r="M67" i="2"/>
  <c r="M66" i="2"/>
  <c r="M64" i="2"/>
  <c r="M63" i="2"/>
  <c r="M62" i="2"/>
  <c r="M61" i="2"/>
  <c r="M60" i="2"/>
  <c r="M56" i="2"/>
  <c r="M55" i="2"/>
  <c r="M54" i="2"/>
  <c r="M53" i="2"/>
  <c r="M51" i="2"/>
  <c r="M49" i="2"/>
  <c r="M48" i="2"/>
  <c r="M46" i="2"/>
  <c r="M45" i="2"/>
  <c r="M44" i="2"/>
  <c r="M40" i="2"/>
  <c r="M39" i="2"/>
  <c r="M38" i="2"/>
  <c r="M36" i="2"/>
  <c r="M33" i="2"/>
  <c r="M32" i="2"/>
  <c r="M31" i="2"/>
  <c r="M29" i="2"/>
  <c r="M28" i="2"/>
  <c r="M27" i="2"/>
  <c r="M26" i="2"/>
  <c r="M25" i="2"/>
  <c r="M23" i="2"/>
  <c r="M22" i="2"/>
  <c r="M21" i="2"/>
  <c r="M19" i="2"/>
  <c r="M18" i="2"/>
  <c r="M17" i="2"/>
  <c r="M16" i="2"/>
  <c r="M13" i="2"/>
  <c r="M12" i="2"/>
  <c r="M11" i="2"/>
  <c r="M10" i="2"/>
  <c r="M8" i="2"/>
  <c r="M7" i="2"/>
  <c r="B14" i="39"/>
  <c r="B13" i="39"/>
  <c r="B12" i="39"/>
  <c r="B11" i="39"/>
  <c r="I49" i="2"/>
  <c r="AD49" i="2" s="1"/>
  <c r="AW49" i="2" s="1"/>
  <c r="I48" i="2"/>
  <c r="AD48" i="2" s="1"/>
  <c r="AW48" i="2" s="1"/>
  <c r="AY35" i="2" l="1"/>
  <c r="AZ35" i="2" s="1"/>
  <c r="AO48" i="2"/>
  <c r="AY48" i="2" s="1"/>
  <c r="AO49" i="2"/>
  <c r="AV49" i="2"/>
  <c r="G63" i="2"/>
  <c r="G64" i="2"/>
  <c r="W47" i="2"/>
  <c r="V47" i="2"/>
  <c r="U47" i="2"/>
  <c r="T47" i="2"/>
  <c r="W43" i="2"/>
  <c r="V43" i="2"/>
  <c r="U43" i="2"/>
  <c r="T43" i="2"/>
  <c r="G47" i="2"/>
  <c r="G43" i="2"/>
  <c r="G45" i="2"/>
  <c r="G46" i="2"/>
  <c r="B10" i="39"/>
  <c r="B9" i="39"/>
  <c r="AY49" i="2" l="1"/>
  <c r="Y43" i="2"/>
  <c r="Y47" i="2"/>
  <c r="AZ49" i="2"/>
  <c r="AZ48" i="2"/>
  <c r="I47" i="2"/>
  <c r="B7" i="39"/>
  <c r="B8" i="39"/>
  <c r="B6" i="39"/>
  <c r="B5" i="39"/>
  <c r="B4" i="39"/>
  <c r="G78" i="2"/>
  <c r="G77" i="2"/>
  <c r="G76" i="2"/>
  <c r="G75" i="2"/>
  <c r="W74" i="2"/>
  <c r="W71" i="2" s="1"/>
  <c r="V74" i="2"/>
  <c r="V71" i="2" s="1"/>
  <c r="U74" i="2"/>
  <c r="U71" i="2" s="1"/>
  <c r="T74" i="2"/>
  <c r="W65" i="2"/>
  <c r="V65" i="2"/>
  <c r="U65" i="2"/>
  <c r="T65" i="2"/>
  <c r="W59" i="2"/>
  <c r="W58" i="2" s="1"/>
  <c r="V59" i="2"/>
  <c r="V58" i="2" s="1"/>
  <c r="U59" i="2"/>
  <c r="T59" i="2"/>
  <c r="W50" i="2"/>
  <c r="W42" i="2" s="1"/>
  <c r="V50" i="2"/>
  <c r="V42" i="2" s="1"/>
  <c r="U50" i="2"/>
  <c r="U42" i="2" s="1"/>
  <c r="T50" i="2"/>
  <c r="W52" i="2"/>
  <c r="V52" i="2"/>
  <c r="U52" i="2"/>
  <c r="T52" i="2"/>
  <c r="W37" i="2"/>
  <c r="V37" i="2"/>
  <c r="U37" i="2"/>
  <c r="T37" i="2"/>
  <c r="W30" i="2"/>
  <c r="V30" i="2"/>
  <c r="U30" i="2"/>
  <c r="T30" i="2"/>
  <c r="W24" i="2"/>
  <c r="V24" i="2"/>
  <c r="U24" i="2"/>
  <c r="T24" i="2"/>
  <c r="W20" i="2"/>
  <c r="V20" i="2"/>
  <c r="U20" i="2"/>
  <c r="T20" i="2"/>
  <c r="W15" i="2"/>
  <c r="V15" i="2"/>
  <c r="U15" i="2"/>
  <c r="T15" i="2"/>
  <c r="W9" i="2"/>
  <c r="V9" i="2"/>
  <c r="U9" i="2"/>
  <c r="T9" i="2"/>
  <c r="W5" i="2"/>
  <c r="V5" i="2"/>
  <c r="V4" i="2" s="1"/>
  <c r="U5" i="2"/>
  <c r="T5" i="2"/>
  <c r="W4" i="2"/>
  <c r="J81" i="2"/>
  <c r="J80" i="2"/>
  <c r="J78" i="2"/>
  <c r="J77" i="2"/>
  <c r="J76" i="2"/>
  <c r="J75" i="2"/>
  <c r="J73" i="2"/>
  <c r="J72" i="2"/>
  <c r="J70" i="2"/>
  <c r="J69" i="2"/>
  <c r="J68" i="2"/>
  <c r="J67" i="2"/>
  <c r="J66" i="2"/>
  <c r="J64" i="2"/>
  <c r="J63" i="2"/>
  <c r="J62" i="2"/>
  <c r="J61" i="2"/>
  <c r="J60" i="2"/>
  <c r="J51" i="2"/>
  <c r="J56" i="2"/>
  <c r="J55" i="2"/>
  <c r="J54" i="2"/>
  <c r="J53" i="2"/>
  <c r="J49" i="2"/>
  <c r="K49" i="2" s="1"/>
  <c r="N37" i="27" s="1"/>
  <c r="J48" i="2"/>
  <c r="K48" i="2" s="1"/>
  <c r="N36" i="27" s="1"/>
  <c r="J46" i="2"/>
  <c r="J45" i="2"/>
  <c r="J40" i="2"/>
  <c r="J39" i="2"/>
  <c r="J38" i="2"/>
  <c r="J36" i="2"/>
  <c r="J33" i="2"/>
  <c r="J32" i="2"/>
  <c r="J31" i="2"/>
  <c r="J29" i="2"/>
  <c r="J28" i="2"/>
  <c r="J27" i="2"/>
  <c r="J26" i="2"/>
  <c r="J25" i="2"/>
  <c r="J23" i="2"/>
  <c r="J22" i="2"/>
  <c r="J21" i="2"/>
  <c r="J19" i="2"/>
  <c r="J18" i="2"/>
  <c r="J17" i="2"/>
  <c r="J16" i="2"/>
  <c r="J13" i="2"/>
  <c r="J12" i="2"/>
  <c r="J11" i="2"/>
  <c r="J10" i="2"/>
  <c r="J8" i="2"/>
  <c r="J7" i="2"/>
  <c r="J6" i="2"/>
  <c r="Y30" i="2" l="1"/>
  <c r="Y37" i="2"/>
  <c r="Y52" i="2"/>
  <c r="T42" i="2"/>
  <c r="Y42" i="2" s="1"/>
  <c r="Y50" i="2"/>
  <c r="Y59" i="2"/>
  <c r="Y65" i="2"/>
  <c r="J65" i="2" s="1"/>
  <c r="T71" i="2"/>
  <c r="Y71" i="2" s="1"/>
  <c r="J71" i="2" s="1"/>
  <c r="D13" i="39" s="1"/>
  <c r="Y74" i="2"/>
  <c r="Y5" i="2"/>
  <c r="Y9" i="2"/>
  <c r="J9" i="2" s="1"/>
  <c r="Y15" i="2"/>
  <c r="J15" i="2" s="1"/>
  <c r="Y20" i="2"/>
  <c r="J20" i="2" s="1"/>
  <c r="Y24" i="2"/>
  <c r="J24" i="2" s="1"/>
  <c r="U14" i="2"/>
  <c r="U3" i="2" s="1"/>
  <c r="V14" i="2"/>
  <c r="V3" i="2" s="1"/>
  <c r="W14" i="2"/>
  <c r="W3" i="2" s="1"/>
  <c r="T14" i="2"/>
  <c r="U58" i="2"/>
  <c r="U4" i="2"/>
  <c r="T58" i="2"/>
  <c r="U41" i="2"/>
  <c r="V41" i="2"/>
  <c r="W41" i="2"/>
  <c r="J50" i="2"/>
  <c r="J44" i="2"/>
  <c r="J43" i="2" s="1"/>
  <c r="J47" i="2"/>
  <c r="K47" i="2" s="1"/>
  <c r="U57" i="2"/>
  <c r="W57" i="2"/>
  <c r="V57" i="2"/>
  <c r="J59" i="2"/>
  <c r="J5" i="2"/>
  <c r="J52" i="2"/>
  <c r="D10" i="39" s="1"/>
  <c r="J30" i="2"/>
  <c r="J37" i="2"/>
  <c r="D7" i="39" s="1"/>
  <c r="J74" i="2"/>
  <c r="T4" i="2"/>
  <c r="F14" i="34"/>
  <c r="F16" i="34"/>
  <c r="E13" i="36"/>
  <c r="O53" i="40" s="1"/>
  <c r="O52" i="40" s="1"/>
  <c r="F13" i="36"/>
  <c r="G13" i="36"/>
  <c r="D13" i="36"/>
  <c r="N53" i="40" s="1"/>
  <c r="I81" i="2"/>
  <c r="I80" i="2"/>
  <c r="F27" i="34"/>
  <c r="K27" i="34" s="1"/>
  <c r="F26" i="34"/>
  <c r="J26" i="34" s="1"/>
  <c r="O68" i="40" s="1"/>
  <c r="P68" i="40" s="1"/>
  <c r="I68" i="40" s="1"/>
  <c r="I21" i="34"/>
  <c r="K21" i="34"/>
  <c r="P67" i="2" s="1"/>
  <c r="L21" i="34"/>
  <c r="Q67" i="2" s="1"/>
  <c r="F18" i="34"/>
  <c r="Q64" i="2"/>
  <c r="K16" i="34"/>
  <c r="K14" i="34"/>
  <c r="L16" i="34"/>
  <c r="L13" i="34" s="1"/>
  <c r="Q62" i="2" s="1"/>
  <c r="F12" i="34"/>
  <c r="K12" i="34" s="1"/>
  <c r="N12" i="34" s="1"/>
  <c r="F11" i="34"/>
  <c r="K11" i="34" s="1"/>
  <c r="F8" i="34"/>
  <c r="J8" i="34" s="1"/>
  <c r="N8" i="34" s="1"/>
  <c r="F7" i="34"/>
  <c r="J7" i="34" s="1"/>
  <c r="N56" i="2"/>
  <c r="O56" i="2"/>
  <c r="P56" i="2"/>
  <c r="Q56" i="2"/>
  <c r="N55" i="2"/>
  <c r="O55" i="2"/>
  <c r="P55" i="2"/>
  <c r="Q55" i="2"/>
  <c r="I54" i="2"/>
  <c r="I46" i="2"/>
  <c r="AD46" i="2" s="1"/>
  <c r="AW46" i="2" s="1"/>
  <c r="I44" i="2"/>
  <c r="AD44" i="2" s="1"/>
  <c r="I40" i="2"/>
  <c r="I38" i="2"/>
  <c r="O53" i="2"/>
  <c r="P53" i="2"/>
  <c r="Q53" i="2"/>
  <c r="Q52" i="2" s="1"/>
  <c r="Q41" i="2" s="1"/>
  <c r="N50" i="2"/>
  <c r="E37" i="37"/>
  <c r="E31" i="37"/>
  <c r="E26" i="37"/>
  <c r="E20" i="37"/>
  <c r="E16" i="37"/>
  <c r="N44" i="37"/>
  <c r="M44" i="37"/>
  <c r="L44" i="37"/>
  <c r="K44" i="37"/>
  <c r="N43" i="37"/>
  <c r="M43" i="37"/>
  <c r="L43" i="37"/>
  <c r="K43" i="37"/>
  <c r="N42" i="37"/>
  <c r="M42" i="37"/>
  <c r="L42" i="37"/>
  <c r="K42" i="37"/>
  <c r="N41" i="37"/>
  <c r="M41" i="37"/>
  <c r="L41" i="37"/>
  <c r="K41" i="37"/>
  <c r="N40" i="37"/>
  <c r="M40" i="37"/>
  <c r="L40" i="37"/>
  <c r="K40" i="37"/>
  <c r="N39" i="37"/>
  <c r="M39" i="37"/>
  <c r="L39" i="37"/>
  <c r="K39" i="37"/>
  <c r="N38" i="37"/>
  <c r="N37" i="37" s="1"/>
  <c r="Q77" i="2" s="1"/>
  <c r="M38" i="37"/>
  <c r="M37" i="37" s="1"/>
  <c r="P77" i="2" s="1"/>
  <c r="L38" i="37"/>
  <c r="L37" i="37" s="1"/>
  <c r="K38" i="37"/>
  <c r="K37" i="37" s="1"/>
  <c r="N77" i="40" s="1"/>
  <c r="N36" i="37"/>
  <c r="M36" i="37"/>
  <c r="L36" i="37"/>
  <c r="K36" i="37"/>
  <c r="N35" i="37"/>
  <c r="M35" i="37"/>
  <c r="L35" i="37"/>
  <c r="K35" i="37"/>
  <c r="N34" i="37"/>
  <c r="M34" i="37"/>
  <c r="L34" i="37"/>
  <c r="K34" i="37"/>
  <c r="N33" i="37"/>
  <c r="M33" i="37"/>
  <c r="L33" i="37"/>
  <c r="K33" i="37"/>
  <c r="N32" i="37"/>
  <c r="N31" i="37" s="1"/>
  <c r="Q76" i="2" s="1"/>
  <c r="M32" i="37"/>
  <c r="M31" i="37" s="1"/>
  <c r="P76" i="2" s="1"/>
  <c r="L32" i="37"/>
  <c r="L31" i="37" s="1"/>
  <c r="K32" i="37"/>
  <c r="K31" i="37" s="1"/>
  <c r="N76" i="40" s="1"/>
  <c r="N30" i="37"/>
  <c r="M30" i="37"/>
  <c r="L30" i="37"/>
  <c r="K30" i="37"/>
  <c r="N29" i="37"/>
  <c r="M29" i="37"/>
  <c r="L29" i="37"/>
  <c r="K29" i="37"/>
  <c r="N28" i="37"/>
  <c r="M28" i="37"/>
  <c r="L28" i="37"/>
  <c r="K28" i="37"/>
  <c r="N27" i="37"/>
  <c r="N26" i="37" s="1"/>
  <c r="Q75" i="2" s="1"/>
  <c r="M27" i="37"/>
  <c r="M26" i="37" s="1"/>
  <c r="P75" i="2" s="1"/>
  <c r="L27" i="37"/>
  <c r="L26" i="37" s="1"/>
  <c r="K27" i="37"/>
  <c r="K26" i="37" s="1"/>
  <c r="N75" i="40" s="1"/>
  <c r="N25" i="37"/>
  <c r="M25" i="37"/>
  <c r="L25" i="37"/>
  <c r="K25" i="37"/>
  <c r="N24" i="37"/>
  <c r="M24" i="37"/>
  <c r="L24" i="37"/>
  <c r="K24" i="37"/>
  <c r="N23" i="37"/>
  <c r="M23" i="37"/>
  <c r="L23" i="37"/>
  <c r="K23" i="37"/>
  <c r="N22" i="37"/>
  <c r="M22" i="37"/>
  <c r="L22" i="37"/>
  <c r="K22" i="37"/>
  <c r="N21" i="37"/>
  <c r="N20" i="37" s="1"/>
  <c r="M21" i="37"/>
  <c r="M20" i="37" s="1"/>
  <c r="L21" i="37"/>
  <c r="L20" i="37" s="1"/>
  <c r="K21" i="37"/>
  <c r="K20" i="37" s="1"/>
  <c r="N19" i="37"/>
  <c r="M19" i="37"/>
  <c r="L19" i="37"/>
  <c r="K19" i="37"/>
  <c r="N18" i="37"/>
  <c r="M18" i="37"/>
  <c r="L18" i="37"/>
  <c r="K18" i="37"/>
  <c r="N17" i="37"/>
  <c r="N16" i="37" s="1"/>
  <c r="M17" i="37"/>
  <c r="M16" i="37" s="1"/>
  <c r="L17" i="37"/>
  <c r="L16" i="37" s="1"/>
  <c r="O78" i="40" s="1"/>
  <c r="K17" i="37"/>
  <c r="K16" i="37" s="1"/>
  <c r="N78" i="40" s="1"/>
  <c r="P78" i="40" s="1"/>
  <c r="I78" i="40" s="1"/>
  <c r="N14" i="37"/>
  <c r="M14" i="37"/>
  <c r="L14" i="37"/>
  <c r="K14" i="37"/>
  <c r="N13" i="37"/>
  <c r="M13" i="37"/>
  <c r="L13" i="37"/>
  <c r="K13" i="37"/>
  <c r="N12" i="37"/>
  <c r="M12" i="37"/>
  <c r="L12" i="37"/>
  <c r="K12" i="37"/>
  <c r="K11" i="37" s="1"/>
  <c r="K8" i="37"/>
  <c r="L8" i="37"/>
  <c r="M8" i="37"/>
  <c r="N8" i="37"/>
  <c r="K9" i="37"/>
  <c r="L9" i="37"/>
  <c r="M9" i="37"/>
  <c r="N9" i="37"/>
  <c r="K10" i="37"/>
  <c r="L10" i="37"/>
  <c r="M10" i="37"/>
  <c r="N10" i="37"/>
  <c r="N6" i="37" s="1"/>
  <c r="Q72" i="2" s="1"/>
  <c r="L7" i="37"/>
  <c r="M7" i="37"/>
  <c r="N7" i="37"/>
  <c r="K7" i="37"/>
  <c r="O7" i="37" s="1"/>
  <c r="O45" i="37"/>
  <c r="O44" i="37"/>
  <c r="O43" i="37"/>
  <c r="O42" i="37"/>
  <c r="O41" i="37"/>
  <c r="O40" i="37"/>
  <c r="O39" i="37"/>
  <c r="O38" i="37"/>
  <c r="O36" i="37"/>
  <c r="O35" i="37"/>
  <c r="O34" i="37"/>
  <c r="O33" i="37"/>
  <c r="O32" i="37"/>
  <c r="O30" i="37"/>
  <c r="O29" i="37"/>
  <c r="O28" i="37"/>
  <c r="O27" i="37"/>
  <c r="O25" i="37"/>
  <c r="O24" i="37"/>
  <c r="O23" i="37"/>
  <c r="O22" i="37"/>
  <c r="O21" i="37"/>
  <c r="O19" i="37"/>
  <c r="O18" i="37"/>
  <c r="O17" i="37"/>
  <c r="O14" i="37"/>
  <c r="O13" i="37"/>
  <c r="O12" i="37"/>
  <c r="L11" i="37"/>
  <c r="M11" i="37"/>
  <c r="P73" i="2" s="1"/>
  <c r="N11" i="37"/>
  <c r="Q73" i="2" s="1"/>
  <c r="O10" i="37"/>
  <c r="O9" i="37"/>
  <c r="O8" i="37"/>
  <c r="K6" i="37"/>
  <c r="L6" i="37"/>
  <c r="M6" i="37"/>
  <c r="P72" i="2" s="1"/>
  <c r="J15" i="37"/>
  <c r="J11" i="37"/>
  <c r="J6" i="37"/>
  <c r="F15" i="37"/>
  <c r="G15" i="37"/>
  <c r="H15" i="37"/>
  <c r="I15" i="37"/>
  <c r="F11" i="37"/>
  <c r="G11" i="37"/>
  <c r="H11" i="37"/>
  <c r="I11" i="37"/>
  <c r="F6" i="37"/>
  <c r="G6" i="37"/>
  <c r="H6" i="37"/>
  <c r="I6" i="37"/>
  <c r="E15" i="37"/>
  <c r="E11" i="37"/>
  <c r="E6" i="37"/>
  <c r="S34" i="35"/>
  <c r="S33" i="35"/>
  <c r="S32" i="35"/>
  <c r="S31" i="35"/>
  <c r="V32" i="35"/>
  <c r="V31" i="35"/>
  <c r="V34" i="35"/>
  <c r="V33" i="35"/>
  <c r="S25" i="35"/>
  <c r="V25" i="35"/>
  <c r="S18" i="35"/>
  <c r="H78" i="2"/>
  <c r="V22" i="35"/>
  <c r="W27" i="35"/>
  <c r="W22" i="35"/>
  <c r="H77" i="2"/>
  <c r="H76" i="2"/>
  <c r="H75" i="2"/>
  <c r="I27" i="35"/>
  <c r="H28" i="35"/>
  <c r="H29" i="35"/>
  <c r="H30" i="35"/>
  <c r="H31" i="35"/>
  <c r="H32" i="35"/>
  <c r="H33" i="35"/>
  <c r="H34" i="35"/>
  <c r="I22" i="35"/>
  <c r="H23" i="35"/>
  <c r="J23" i="35" s="1"/>
  <c r="H24" i="35"/>
  <c r="J24" i="35" s="1"/>
  <c r="S24" i="35" s="1"/>
  <c r="T24" i="35" s="1"/>
  <c r="H25" i="35"/>
  <c r="J25" i="35" s="1"/>
  <c r="H26" i="35"/>
  <c r="J26" i="35" s="1"/>
  <c r="S26" i="35" s="1"/>
  <c r="T26" i="35" s="1"/>
  <c r="U18" i="35"/>
  <c r="V18" i="35"/>
  <c r="W18" i="35"/>
  <c r="H19" i="35"/>
  <c r="J19" i="35" s="1"/>
  <c r="H20" i="35"/>
  <c r="J20" i="35" s="1"/>
  <c r="H21" i="35"/>
  <c r="K21" i="35" s="1"/>
  <c r="L21" i="35" s="1"/>
  <c r="I18" i="35"/>
  <c r="J21" i="35"/>
  <c r="M18" i="35"/>
  <c r="N18" i="35"/>
  <c r="O18" i="35"/>
  <c r="BG63" i="2"/>
  <c r="M13" i="34"/>
  <c r="N16" i="34"/>
  <c r="N14" i="34"/>
  <c r="G13" i="34"/>
  <c r="H13" i="34"/>
  <c r="I13" i="34"/>
  <c r="N62" i="40" s="1"/>
  <c r="J13" i="34"/>
  <c r="O62" i="40" s="1"/>
  <c r="O63" i="2"/>
  <c r="N63" i="2"/>
  <c r="H63" i="2"/>
  <c r="G44" i="2"/>
  <c r="N10" i="2"/>
  <c r="O10" i="2"/>
  <c r="P10" i="2"/>
  <c r="Q10" i="2"/>
  <c r="N11" i="2"/>
  <c r="O11" i="2"/>
  <c r="P11" i="2"/>
  <c r="Q11" i="2"/>
  <c r="N12" i="2"/>
  <c r="O12" i="2"/>
  <c r="P12" i="2"/>
  <c r="Q12" i="2"/>
  <c r="N13" i="2"/>
  <c r="O13" i="2"/>
  <c r="P13" i="2"/>
  <c r="Q13" i="2"/>
  <c r="N7" i="2"/>
  <c r="O7" i="2"/>
  <c r="P7" i="2"/>
  <c r="Q7" i="2"/>
  <c r="N8" i="2"/>
  <c r="O8" i="2"/>
  <c r="P8" i="2"/>
  <c r="Q8" i="2"/>
  <c r="N16" i="2"/>
  <c r="N17" i="2"/>
  <c r="N18" i="2"/>
  <c r="N19" i="2"/>
  <c r="N21" i="2"/>
  <c r="N22" i="2"/>
  <c r="N23" i="2"/>
  <c r="N25" i="2"/>
  <c r="N26" i="2"/>
  <c r="N27" i="2"/>
  <c r="N28" i="2"/>
  <c r="N29" i="2"/>
  <c r="N31" i="2"/>
  <c r="N32" i="2"/>
  <c r="N33" i="2"/>
  <c r="N36" i="2"/>
  <c r="O16" i="2"/>
  <c r="O17" i="2"/>
  <c r="O18" i="2"/>
  <c r="O19" i="2"/>
  <c r="O21" i="2"/>
  <c r="O23" i="2"/>
  <c r="O25" i="2"/>
  <c r="O26" i="2"/>
  <c r="O27" i="2"/>
  <c r="O28" i="2"/>
  <c r="O29" i="2"/>
  <c r="O31" i="2"/>
  <c r="O32" i="2"/>
  <c r="O33" i="2"/>
  <c r="P16" i="2"/>
  <c r="P17" i="2"/>
  <c r="P18" i="2"/>
  <c r="P19" i="2"/>
  <c r="P21" i="2"/>
  <c r="P23" i="2"/>
  <c r="P25" i="2"/>
  <c r="P26" i="2"/>
  <c r="P27" i="2"/>
  <c r="P28" i="2"/>
  <c r="P29" i="2"/>
  <c r="P31" i="2"/>
  <c r="P32" i="2"/>
  <c r="P33" i="2"/>
  <c r="Q16" i="2"/>
  <c r="Q17" i="2"/>
  <c r="Q18" i="2"/>
  <c r="Q19" i="2"/>
  <c r="Q21" i="2"/>
  <c r="Q22" i="2"/>
  <c r="Q23" i="2"/>
  <c r="Q25" i="2"/>
  <c r="Q26" i="2"/>
  <c r="Q27" i="2"/>
  <c r="Q28" i="2"/>
  <c r="Q29" i="2"/>
  <c r="Q31" i="2"/>
  <c r="Q32" i="2"/>
  <c r="Q33" i="2"/>
  <c r="Q36" i="2"/>
  <c r="I10" i="34"/>
  <c r="N61" i="40" s="1"/>
  <c r="E20" i="34"/>
  <c r="F20" i="34" s="1"/>
  <c r="I19" i="34"/>
  <c r="E9" i="34"/>
  <c r="F9" i="34" s="1"/>
  <c r="J10" i="34"/>
  <c r="O61" i="40" s="1"/>
  <c r="F22" i="34"/>
  <c r="J22" i="34" s="1"/>
  <c r="J21" i="34" s="1"/>
  <c r="O67" i="40" s="1"/>
  <c r="F23" i="34"/>
  <c r="F24" i="34"/>
  <c r="F25" i="34"/>
  <c r="E28" i="34"/>
  <c r="F28" i="34" s="1"/>
  <c r="J28" i="34" s="1"/>
  <c r="F15" i="34"/>
  <c r="F13" i="34" s="1"/>
  <c r="E17" i="34"/>
  <c r="F17" i="34" s="1"/>
  <c r="K6" i="34"/>
  <c r="L6" i="34"/>
  <c r="L5" i="34" s="1"/>
  <c r="L10" i="34"/>
  <c r="L19" i="34"/>
  <c r="E26" i="31"/>
  <c r="F26" i="31"/>
  <c r="G26" i="31"/>
  <c r="D26" i="31"/>
  <c r="H7" i="36"/>
  <c r="H8" i="36"/>
  <c r="H9" i="36"/>
  <c r="H10" i="36"/>
  <c r="H11" i="36"/>
  <c r="H14" i="36"/>
  <c r="H6" i="36"/>
  <c r="H19" i="36"/>
  <c r="BG48" i="2"/>
  <c r="BG44" i="2"/>
  <c r="G51" i="2"/>
  <c r="G50" i="2"/>
  <c r="T79" i="2"/>
  <c r="U79" i="2"/>
  <c r="V79" i="2"/>
  <c r="W79" i="2"/>
  <c r="BG36" i="2"/>
  <c r="BG81" i="2"/>
  <c r="BG80" i="2"/>
  <c r="BG73" i="2"/>
  <c r="BG72" i="2"/>
  <c r="BG70" i="2"/>
  <c r="BG69" i="2"/>
  <c r="BG68" i="2"/>
  <c r="BG67" i="2"/>
  <c r="BG66" i="2"/>
  <c r="BG64" i="2"/>
  <c r="BG62" i="2"/>
  <c r="BG61" i="2"/>
  <c r="BG60" i="2"/>
  <c r="BG56" i="2"/>
  <c r="BG55" i="2"/>
  <c r="BG54" i="2"/>
  <c r="BG53" i="2"/>
  <c r="BG49" i="2"/>
  <c r="BG46" i="2"/>
  <c r="BG45" i="2"/>
  <c r="BG40" i="2"/>
  <c r="BG39" i="2"/>
  <c r="BG38" i="2"/>
  <c r="BG33" i="2"/>
  <c r="BG32" i="2"/>
  <c r="BG31" i="2"/>
  <c r="BG29" i="2"/>
  <c r="BG28" i="2"/>
  <c r="BG27" i="2"/>
  <c r="BG26" i="2"/>
  <c r="BG25" i="2"/>
  <c r="BG22" i="2"/>
  <c r="BG21" i="2"/>
  <c r="BG19" i="2"/>
  <c r="BG18" i="2"/>
  <c r="BG17" i="2"/>
  <c r="BG16" i="2"/>
  <c r="BG13" i="2"/>
  <c r="BG8" i="2"/>
  <c r="BG7" i="2"/>
  <c r="BG6" i="2"/>
  <c r="BG12" i="2"/>
  <c r="BG11" i="2"/>
  <c r="BG10" i="2"/>
  <c r="G11" i="2"/>
  <c r="D12" i="30"/>
  <c r="E12" i="30"/>
  <c r="F12" i="30"/>
  <c r="C12" i="30"/>
  <c r="N69" i="2"/>
  <c r="O69" i="2"/>
  <c r="Q69" i="2"/>
  <c r="N70" i="2"/>
  <c r="Q70" i="2"/>
  <c r="P68" i="2"/>
  <c r="Q68" i="2"/>
  <c r="H70" i="2"/>
  <c r="H69" i="2"/>
  <c r="N68" i="2"/>
  <c r="H68" i="2"/>
  <c r="O66" i="2"/>
  <c r="P66" i="2"/>
  <c r="Q66" i="2"/>
  <c r="N66" i="2"/>
  <c r="H67" i="2"/>
  <c r="H66" i="2"/>
  <c r="G67" i="2"/>
  <c r="G68" i="2"/>
  <c r="G69" i="2"/>
  <c r="G70" i="2"/>
  <c r="G21" i="34"/>
  <c r="G19" i="34" s="1"/>
  <c r="H21" i="34"/>
  <c r="H19" i="34"/>
  <c r="M21" i="34"/>
  <c r="M19" i="34" s="1"/>
  <c r="N20" i="34"/>
  <c r="N22" i="34"/>
  <c r="N23" i="34"/>
  <c r="N24" i="34"/>
  <c r="N25" i="34"/>
  <c r="F21" i="34"/>
  <c r="G6" i="34"/>
  <c r="G10" i="34"/>
  <c r="H6" i="34"/>
  <c r="H10" i="34"/>
  <c r="M6" i="34"/>
  <c r="M5" i="34" s="1"/>
  <c r="M4" i="34" s="1"/>
  <c r="M10" i="34"/>
  <c r="N11" i="34"/>
  <c r="N10" i="34" s="1"/>
  <c r="N18" i="34"/>
  <c r="F10" i="34"/>
  <c r="N64" i="2"/>
  <c r="O64" i="2"/>
  <c r="P64" i="2"/>
  <c r="N62" i="2"/>
  <c r="O62" i="2"/>
  <c r="N61" i="2"/>
  <c r="O61" i="2"/>
  <c r="Q61" i="2"/>
  <c r="P60" i="2"/>
  <c r="Q60" i="2"/>
  <c r="H64" i="2"/>
  <c r="H62" i="2"/>
  <c r="H61" i="2"/>
  <c r="H60" i="2"/>
  <c r="G66" i="2"/>
  <c r="G62" i="2"/>
  <c r="G61" i="2"/>
  <c r="G60" i="2"/>
  <c r="E10" i="34"/>
  <c r="G55" i="2"/>
  <c r="G29" i="2"/>
  <c r="G28" i="2"/>
  <c r="G27" i="2"/>
  <c r="G26" i="2"/>
  <c r="G25" i="2"/>
  <c r="J22" i="32"/>
  <c r="J23" i="32"/>
  <c r="J24" i="32"/>
  <c r="J25" i="32"/>
  <c r="J26" i="32"/>
  <c r="J27" i="32"/>
  <c r="J28" i="32"/>
  <c r="J29" i="32"/>
  <c r="E21" i="32"/>
  <c r="F21" i="32"/>
  <c r="G21" i="32"/>
  <c r="H21" i="32"/>
  <c r="E16" i="32"/>
  <c r="F16" i="32"/>
  <c r="G16" i="32"/>
  <c r="H16" i="32"/>
  <c r="E11" i="32"/>
  <c r="F11" i="32"/>
  <c r="G11" i="32"/>
  <c r="H11" i="32"/>
  <c r="G36" i="2"/>
  <c r="H28" i="2"/>
  <c r="H29" i="2"/>
  <c r="H27" i="2"/>
  <c r="H26" i="2"/>
  <c r="H25" i="2"/>
  <c r="G33" i="2"/>
  <c r="G32" i="2"/>
  <c r="G31" i="2"/>
  <c r="H32" i="2"/>
  <c r="H33" i="2"/>
  <c r="H31" i="2"/>
  <c r="H17" i="2"/>
  <c r="H18" i="2"/>
  <c r="H19" i="2"/>
  <c r="H16" i="2"/>
  <c r="G17" i="2"/>
  <c r="G18" i="2"/>
  <c r="G19" i="2"/>
  <c r="G16" i="2"/>
  <c r="G23" i="2"/>
  <c r="G22" i="2"/>
  <c r="G21" i="2"/>
  <c r="H22" i="2"/>
  <c r="H23" i="2"/>
  <c r="H21" i="2"/>
  <c r="M6" i="2"/>
  <c r="Z73" i="2"/>
  <c r="Z72" i="2"/>
  <c r="Z65" i="2"/>
  <c r="Z59" i="2"/>
  <c r="Z37" i="2"/>
  <c r="Z30" i="2"/>
  <c r="Z24" i="2"/>
  <c r="Z20" i="2"/>
  <c r="Z15" i="2"/>
  <c r="Z12" i="2"/>
  <c r="Z13" i="2"/>
  <c r="Z10" i="2"/>
  <c r="Z8" i="2"/>
  <c r="Z7" i="2"/>
  <c r="Z6" i="2"/>
  <c r="H11" i="35"/>
  <c r="J11" i="35" s="1"/>
  <c r="H12" i="35"/>
  <c r="J12" i="35" s="1"/>
  <c r="H13" i="35"/>
  <c r="J13" i="35" s="1"/>
  <c r="H14" i="35"/>
  <c r="J14" i="35"/>
  <c r="H15" i="35"/>
  <c r="J15" i="35" s="1"/>
  <c r="H16" i="35"/>
  <c r="J16" i="35" s="1"/>
  <c r="H17" i="35"/>
  <c r="J17" i="35" s="1"/>
  <c r="J28" i="35"/>
  <c r="J29" i="35"/>
  <c r="J30" i="35"/>
  <c r="J31" i="35"/>
  <c r="J32" i="35"/>
  <c r="J33" i="35"/>
  <c r="J34" i="35"/>
  <c r="S14" i="35"/>
  <c r="S15" i="35"/>
  <c r="S16" i="35"/>
  <c r="S17" i="35"/>
  <c r="W36" i="35"/>
  <c r="X35" i="35"/>
  <c r="W10" i="35"/>
  <c r="W9" i="35" s="1"/>
  <c r="W8" i="35" s="1"/>
  <c r="W7" i="35" s="1"/>
  <c r="W6" i="35" s="1"/>
  <c r="V10" i="35"/>
  <c r="V9" i="35" s="1"/>
  <c r="U14" i="35"/>
  <c r="U15" i="35"/>
  <c r="U16" i="35"/>
  <c r="U17" i="35"/>
  <c r="U25" i="35"/>
  <c r="U22" i="35" s="1"/>
  <c r="U31" i="35"/>
  <c r="U32" i="35"/>
  <c r="U33" i="35"/>
  <c r="U34" i="35"/>
  <c r="T14" i="35"/>
  <c r="T15" i="35"/>
  <c r="T16" i="35"/>
  <c r="T17" i="35"/>
  <c r="T25" i="35"/>
  <c r="T31" i="35"/>
  <c r="T32" i="35"/>
  <c r="T33" i="35"/>
  <c r="X33" i="35" s="1"/>
  <c r="T34" i="35"/>
  <c r="I10" i="35"/>
  <c r="I9" i="35" s="1"/>
  <c r="I8" i="35" s="1"/>
  <c r="I7" i="35" s="1"/>
  <c r="I6" i="35" s="1"/>
  <c r="K34" i="35"/>
  <c r="L34" i="35" s="1"/>
  <c r="K33" i="35"/>
  <c r="L33" i="35" s="1"/>
  <c r="X32" i="35"/>
  <c r="K32" i="35"/>
  <c r="L32" i="35" s="1"/>
  <c r="K31" i="35"/>
  <c r="L31" i="35" s="1"/>
  <c r="K30" i="35"/>
  <c r="L30" i="35"/>
  <c r="K29" i="35"/>
  <c r="L29" i="35" s="1"/>
  <c r="K28" i="35"/>
  <c r="L28" i="35" s="1"/>
  <c r="X26" i="35"/>
  <c r="K26" i="35"/>
  <c r="L26" i="35" s="1"/>
  <c r="K25" i="35"/>
  <c r="L25" i="35"/>
  <c r="X24" i="35"/>
  <c r="K24" i="35"/>
  <c r="L24" i="35" s="1"/>
  <c r="K23" i="35"/>
  <c r="L23" i="35"/>
  <c r="K16" i="35"/>
  <c r="L16" i="35" s="1"/>
  <c r="X15" i="35"/>
  <c r="K14" i="35"/>
  <c r="L14" i="35" s="1"/>
  <c r="K12" i="35"/>
  <c r="L12" i="35" s="1"/>
  <c r="X11" i="35"/>
  <c r="K11" i="35"/>
  <c r="L11" i="35" s="1"/>
  <c r="J22" i="33"/>
  <c r="J8" i="33"/>
  <c r="F7" i="33"/>
  <c r="F11" i="33" s="1"/>
  <c r="G7" i="33"/>
  <c r="G11" i="33" s="1"/>
  <c r="H7" i="33"/>
  <c r="H11" i="33" s="1"/>
  <c r="I7" i="33"/>
  <c r="I11" i="33" s="1"/>
  <c r="J15" i="33"/>
  <c r="C6" i="29"/>
  <c r="C8" i="29" s="1"/>
  <c r="O39" i="40" s="1"/>
  <c r="D8" i="29"/>
  <c r="P39" i="2" s="1"/>
  <c r="P37" i="2" s="1"/>
  <c r="L4" i="34"/>
  <c r="G22" i="26"/>
  <c r="G20" i="26"/>
  <c r="G17" i="26"/>
  <c r="G16" i="26"/>
  <c r="G15" i="26"/>
  <c r="G13" i="26"/>
  <c r="G12" i="26"/>
  <c r="G11" i="26"/>
  <c r="G9" i="26"/>
  <c r="G8" i="26"/>
  <c r="G7" i="26"/>
  <c r="G6" i="26"/>
  <c r="G5" i="26"/>
  <c r="G4" i="26"/>
  <c r="H19" i="26"/>
  <c r="H10" i="26"/>
  <c r="H3" i="26"/>
  <c r="J33" i="32"/>
  <c r="E32" i="32"/>
  <c r="F32" i="32"/>
  <c r="G32" i="32"/>
  <c r="H32" i="32"/>
  <c r="J19" i="32"/>
  <c r="J18" i="32"/>
  <c r="J17" i="32"/>
  <c r="J15" i="32"/>
  <c r="J14" i="32"/>
  <c r="J13" i="32"/>
  <c r="J12" i="32"/>
  <c r="J10" i="32"/>
  <c r="J9" i="32"/>
  <c r="J8" i="32"/>
  <c r="J7" i="32"/>
  <c r="H23" i="31"/>
  <c r="H24" i="31"/>
  <c r="H25" i="31"/>
  <c r="H6" i="30"/>
  <c r="H10" i="30"/>
  <c r="B3" i="29"/>
  <c r="B8" i="29" s="1"/>
  <c r="B4" i="29"/>
  <c r="B5" i="29"/>
  <c r="K15" i="28"/>
  <c r="N15" i="28" s="1"/>
  <c r="K16" i="28"/>
  <c r="K17" i="28"/>
  <c r="N17" i="28" s="1"/>
  <c r="K18" i="28"/>
  <c r="K19" i="28"/>
  <c r="N19" i="28" s="1"/>
  <c r="K20" i="28"/>
  <c r="N20" i="28" s="1"/>
  <c r="K21" i="28"/>
  <c r="K22" i="28"/>
  <c r="K23" i="28"/>
  <c r="N23" i="28" s="1"/>
  <c r="K24" i="28"/>
  <c r="N24" i="28" s="1"/>
  <c r="K25" i="28"/>
  <c r="N25" i="28" s="1"/>
  <c r="K26" i="28"/>
  <c r="N18" i="28"/>
  <c r="N21" i="28"/>
  <c r="N22" i="28"/>
  <c r="N26" i="28"/>
  <c r="M27" i="28"/>
  <c r="L27" i="28"/>
  <c r="J27" i="28"/>
  <c r="I27" i="28"/>
  <c r="H27" i="28"/>
  <c r="G27" i="28"/>
  <c r="F27" i="28"/>
  <c r="E27" i="28"/>
  <c r="D27" i="28"/>
  <c r="C27" i="28"/>
  <c r="G4" i="2"/>
  <c r="G3" i="2"/>
  <c r="G81" i="2"/>
  <c r="G80" i="2"/>
  <c r="G79" i="2"/>
  <c r="G65" i="2"/>
  <c r="G59" i="2"/>
  <c r="G58" i="2"/>
  <c r="G74" i="2"/>
  <c r="G73" i="2"/>
  <c r="G72" i="2"/>
  <c r="G71" i="2"/>
  <c r="G57" i="2"/>
  <c r="G54" i="2"/>
  <c r="G56" i="2"/>
  <c r="G53" i="2"/>
  <c r="G52" i="2"/>
  <c r="G49" i="2"/>
  <c r="G48" i="2"/>
  <c r="G42" i="2"/>
  <c r="G41" i="2"/>
  <c r="G40" i="2"/>
  <c r="G39" i="2"/>
  <c r="G38" i="2"/>
  <c r="G37" i="2"/>
  <c r="G30" i="2"/>
  <c r="G24" i="2"/>
  <c r="G20" i="2"/>
  <c r="G15" i="2"/>
  <c r="G13" i="2"/>
  <c r="G12" i="2"/>
  <c r="G10" i="2"/>
  <c r="G9" i="2"/>
  <c r="G8" i="2"/>
  <c r="G7" i="2"/>
  <c r="G6" i="2"/>
  <c r="G5" i="2"/>
  <c r="O79" i="2"/>
  <c r="P79" i="2"/>
  <c r="Q79" i="2"/>
  <c r="N79" i="2"/>
  <c r="E30" i="31"/>
  <c r="F30" i="31"/>
  <c r="D30" i="31"/>
  <c r="G30" i="31"/>
  <c r="H22" i="31"/>
  <c r="N53" i="2"/>
  <c r="O70" i="2" l="1"/>
  <c r="O70" i="40"/>
  <c r="P70" i="40" s="1"/>
  <c r="I70" i="40" s="1"/>
  <c r="N73" i="2"/>
  <c r="N73" i="40"/>
  <c r="O11" i="37"/>
  <c r="N45" i="27" s="1"/>
  <c r="S79" i="2"/>
  <c r="P39" i="40"/>
  <c r="I39" i="40" s="1"/>
  <c r="O37" i="40"/>
  <c r="K17" i="35"/>
  <c r="L17" i="35" s="1"/>
  <c r="J10" i="35"/>
  <c r="J9" i="35" s="1"/>
  <c r="Z78" i="40"/>
  <c r="K78" i="40"/>
  <c r="N74" i="40"/>
  <c r="Z68" i="40"/>
  <c r="K68" i="40"/>
  <c r="N52" i="40"/>
  <c r="N41" i="40" s="1"/>
  <c r="P53" i="40"/>
  <c r="I53" i="40" s="1"/>
  <c r="H27" i="35"/>
  <c r="O72" i="2"/>
  <c r="O72" i="40"/>
  <c r="O75" i="2"/>
  <c r="O75" i="40"/>
  <c r="P75" i="40" s="1"/>
  <c r="I75" i="40" s="1"/>
  <c r="O76" i="2"/>
  <c r="O76" i="40"/>
  <c r="P76" i="40" s="1"/>
  <c r="I76" i="40" s="1"/>
  <c r="O77" i="2"/>
  <c r="O77" i="40"/>
  <c r="P77" i="40" s="1"/>
  <c r="I77" i="40" s="1"/>
  <c r="G3" i="26"/>
  <c r="G10" i="26"/>
  <c r="X34" i="35"/>
  <c r="X25" i="35"/>
  <c r="O65" i="40"/>
  <c r="H18" i="35"/>
  <c r="J18" i="35"/>
  <c r="N72" i="2"/>
  <c r="N72" i="40"/>
  <c r="O73" i="2"/>
  <c r="O73" i="40"/>
  <c r="I7" i="34"/>
  <c r="P61" i="40"/>
  <c r="I61" i="40" s="1"/>
  <c r="K61" i="40" s="1"/>
  <c r="P62" i="40"/>
  <c r="I62" i="40" s="1"/>
  <c r="K62" i="40" s="1"/>
  <c r="E45" i="37"/>
  <c r="N67" i="2"/>
  <c r="N67" i="40"/>
  <c r="P52" i="40"/>
  <c r="I52" i="40" s="1"/>
  <c r="O41" i="40"/>
  <c r="P41" i="40" s="1"/>
  <c r="I41" i="40" s="1"/>
  <c r="K41" i="40" s="1"/>
  <c r="J9" i="34"/>
  <c r="N9" i="34" s="1"/>
  <c r="F6" i="34"/>
  <c r="F5" i="34" s="1"/>
  <c r="K27" i="28"/>
  <c r="K35" i="28" s="1"/>
  <c r="U27" i="35"/>
  <c r="U10" i="35"/>
  <c r="U9" i="35" s="1"/>
  <c r="K19" i="35"/>
  <c r="L19" i="35" s="1"/>
  <c r="T21" i="35"/>
  <c r="X21" i="35" s="1"/>
  <c r="T19" i="35"/>
  <c r="AW44" i="2"/>
  <c r="AV44" i="2"/>
  <c r="H23" i="26"/>
  <c r="J11" i="32"/>
  <c r="J16" i="32"/>
  <c r="J30" i="32"/>
  <c r="G19" i="26"/>
  <c r="G23" i="26" s="1"/>
  <c r="K13" i="35"/>
  <c r="L13" i="35" s="1"/>
  <c r="K15" i="35"/>
  <c r="L15" i="35" s="1"/>
  <c r="X16" i="35"/>
  <c r="X17" i="35"/>
  <c r="S10" i="35"/>
  <c r="S9" i="35" s="1"/>
  <c r="H5" i="34"/>
  <c r="H4" i="34" s="1"/>
  <c r="F19" i="34"/>
  <c r="T20" i="35"/>
  <c r="X20" i="35" s="1"/>
  <c r="H10" i="35"/>
  <c r="T10" i="35"/>
  <c r="T9" i="35" s="1"/>
  <c r="N21" i="34"/>
  <c r="H26" i="31"/>
  <c r="V27" i="35"/>
  <c r="V8" i="35" s="1"/>
  <c r="V7" i="35" s="1"/>
  <c r="V6" i="35" s="1"/>
  <c r="H13" i="36"/>
  <c r="S50" i="2"/>
  <c r="N42" i="2"/>
  <c r="S42" i="2" s="1"/>
  <c r="Y79" i="2"/>
  <c r="Y4" i="2"/>
  <c r="J4" i="2" s="1"/>
  <c r="D5" i="39" s="1"/>
  <c r="T41" i="2"/>
  <c r="Y41" i="2" s="1"/>
  <c r="Y14" i="2"/>
  <c r="J14" i="2" s="1"/>
  <c r="D6" i="39" s="1"/>
  <c r="S64" i="2"/>
  <c r="I64" i="2" s="1"/>
  <c r="Q65" i="2"/>
  <c r="Q30" i="2"/>
  <c r="Q20" i="2"/>
  <c r="Q15" i="2"/>
  <c r="O20" i="2"/>
  <c r="S55" i="2"/>
  <c r="I55" i="2" s="1"/>
  <c r="S56" i="2"/>
  <c r="Y58" i="2"/>
  <c r="J58" i="2" s="1"/>
  <c r="D12" i="39" s="1"/>
  <c r="P5" i="2"/>
  <c r="Q24" i="2"/>
  <c r="P20" i="2"/>
  <c r="O5" i="2"/>
  <c r="O9" i="2"/>
  <c r="S72" i="2"/>
  <c r="I72" i="2" s="1"/>
  <c r="O30" i="2"/>
  <c r="O15" i="2"/>
  <c r="N30" i="2"/>
  <c r="N20" i="2"/>
  <c r="N15" i="2"/>
  <c r="S8" i="2"/>
  <c r="S7" i="2"/>
  <c r="N23" i="27" s="1"/>
  <c r="N5" i="2"/>
  <c r="S13" i="2"/>
  <c r="S12" i="2"/>
  <c r="S11" i="2"/>
  <c r="I11" i="2" s="1"/>
  <c r="S10" i="2"/>
  <c r="N9" i="2"/>
  <c r="S73" i="2"/>
  <c r="I73" i="2" s="1"/>
  <c r="P52" i="2"/>
  <c r="P41" i="2" s="1"/>
  <c r="P24" i="2"/>
  <c r="P9" i="2"/>
  <c r="N52" i="2"/>
  <c r="S53" i="2"/>
  <c r="I53" i="2" s="1"/>
  <c r="S66" i="2"/>
  <c r="N65" i="2"/>
  <c r="P30" i="2"/>
  <c r="P15" i="2"/>
  <c r="O24" i="2"/>
  <c r="N24" i="2"/>
  <c r="Q5" i="2"/>
  <c r="Q9" i="2"/>
  <c r="O52" i="2"/>
  <c r="O41" i="2" s="1"/>
  <c r="J21" i="32"/>
  <c r="J32" i="32"/>
  <c r="S27" i="2"/>
  <c r="S17" i="2"/>
  <c r="I17" i="2" s="1"/>
  <c r="S26" i="2"/>
  <c r="I26" i="2" s="1"/>
  <c r="S21" i="2"/>
  <c r="I21" i="2" s="1"/>
  <c r="S36" i="2"/>
  <c r="I36" i="2" s="1"/>
  <c r="S29" i="2"/>
  <c r="I29" i="2" s="1"/>
  <c r="S25" i="2"/>
  <c r="I25" i="2" s="1"/>
  <c r="S19" i="2"/>
  <c r="I19" i="2" s="1"/>
  <c r="S32" i="2"/>
  <c r="S22" i="2"/>
  <c r="I22" i="2" s="1"/>
  <c r="S31" i="2"/>
  <c r="S16" i="2"/>
  <c r="I16" i="2" s="1"/>
  <c r="S33" i="2"/>
  <c r="S28" i="2"/>
  <c r="I28" i="2" s="1"/>
  <c r="S23" i="2"/>
  <c r="I23" i="2" s="1"/>
  <c r="S18" i="2"/>
  <c r="I18" i="2" s="1"/>
  <c r="T57" i="2"/>
  <c r="Y57" i="2" s="1"/>
  <c r="AU44" i="2"/>
  <c r="AQ44" i="2"/>
  <c r="AT44" i="2"/>
  <c r="AP44" i="2"/>
  <c r="AS44" i="2"/>
  <c r="AO44" i="2"/>
  <c r="AR44" i="2"/>
  <c r="K46" i="2"/>
  <c r="K80" i="2"/>
  <c r="AD80" i="2"/>
  <c r="AW80" i="2" s="1"/>
  <c r="K38" i="2"/>
  <c r="AD38" i="2"/>
  <c r="AW38" i="2" s="1"/>
  <c r="K54" i="2"/>
  <c r="AD54" i="2"/>
  <c r="AW54" i="2" s="1"/>
  <c r="K81" i="2"/>
  <c r="AD81" i="2"/>
  <c r="AW81" i="2" s="1"/>
  <c r="K40" i="2"/>
  <c r="AD40" i="2"/>
  <c r="U82" i="2"/>
  <c r="I6" i="2"/>
  <c r="N22" i="27"/>
  <c r="W82" i="2"/>
  <c r="K44" i="2"/>
  <c r="I66" i="2"/>
  <c r="I56" i="2"/>
  <c r="J57" i="2"/>
  <c r="I45" i="2"/>
  <c r="AD45" i="2" s="1"/>
  <c r="AW45" i="2" s="1"/>
  <c r="I32" i="2"/>
  <c r="I27" i="2"/>
  <c r="I33" i="2"/>
  <c r="N24" i="27"/>
  <c r="O39" i="2"/>
  <c r="J11" i="33"/>
  <c r="N16" i="28"/>
  <c r="N27" i="28" s="1"/>
  <c r="X31" i="35"/>
  <c r="S28" i="35"/>
  <c r="J27" i="35"/>
  <c r="T28" i="35"/>
  <c r="O16" i="37"/>
  <c r="N78" i="2"/>
  <c r="K15" i="37"/>
  <c r="O20" i="37"/>
  <c r="N75" i="2"/>
  <c r="S75" i="2" s="1"/>
  <c r="O26" i="37"/>
  <c r="N76" i="2"/>
  <c r="S76" i="2" s="1"/>
  <c r="O31" i="37"/>
  <c r="N77" i="2"/>
  <c r="S77" i="2" s="1"/>
  <c r="O37" i="37"/>
  <c r="O68" i="2"/>
  <c r="S68" i="2" s="1"/>
  <c r="N26" i="34"/>
  <c r="G5" i="34"/>
  <c r="O78" i="2"/>
  <c r="O74" i="2" s="1"/>
  <c r="O71" i="2" s="1"/>
  <c r="L15" i="37"/>
  <c r="P69" i="2"/>
  <c r="N27" i="34"/>
  <c r="T30" i="35"/>
  <c r="S30" i="35"/>
  <c r="J19" i="34"/>
  <c r="O67" i="2"/>
  <c r="P78" i="2"/>
  <c r="P74" i="2" s="1"/>
  <c r="P71" i="2" s="1"/>
  <c r="M15" i="37"/>
  <c r="J6" i="34"/>
  <c r="O60" i="40" s="1"/>
  <c r="O59" i="40" s="1"/>
  <c r="O58" i="40" s="1"/>
  <c r="K10" i="34"/>
  <c r="S29" i="35"/>
  <c r="T29" i="35"/>
  <c r="K17" i="34"/>
  <c r="L17" i="34"/>
  <c r="Q63" i="2" s="1"/>
  <c r="Q59" i="2" s="1"/>
  <c r="Q58" i="2" s="1"/>
  <c r="S23" i="35"/>
  <c r="J22" i="35"/>
  <c r="Q78" i="2"/>
  <c r="Q74" i="2" s="1"/>
  <c r="Q71" i="2" s="1"/>
  <c r="N15" i="37"/>
  <c r="K28" i="34"/>
  <c r="O6" i="37"/>
  <c r="N44" i="27" s="1"/>
  <c r="J79" i="2"/>
  <c r="I31" i="2"/>
  <c r="K15" i="34"/>
  <c r="K20" i="35"/>
  <c r="L20" i="35" s="1"/>
  <c r="L18" i="35" s="1"/>
  <c r="H22" i="35"/>
  <c r="K22" i="35" s="1"/>
  <c r="L22" i="35" s="1"/>
  <c r="T3" i="2"/>
  <c r="Y3" i="2" s="1"/>
  <c r="V82" i="2"/>
  <c r="K76" i="40" l="1"/>
  <c r="Z76" i="40"/>
  <c r="Z77" i="40"/>
  <c r="K77" i="40"/>
  <c r="K75" i="40"/>
  <c r="Z75" i="40"/>
  <c r="K53" i="40"/>
  <c r="Z53" i="40"/>
  <c r="P37" i="40"/>
  <c r="I37" i="40" s="1"/>
  <c r="K37" i="40" s="1"/>
  <c r="O3" i="40"/>
  <c r="P3" i="40" s="1"/>
  <c r="I3" i="40" s="1"/>
  <c r="K3" i="40" s="1"/>
  <c r="P73" i="40"/>
  <c r="I73" i="40" s="1"/>
  <c r="K52" i="40"/>
  <c r="Z52" i="40"/>
  <c r="Z39" i="40"/>
  <c r="K39" i="40"/>
  <c r="O57" i="40"/>
  <c r="O82" i="40" s="1"/>
  <c r="N65" i="40"/>
  <c r="P65" i="40" s="1"/>
  <c r="I65" i="40" s="1"/>
  <c r="K65" i="40" s="1"/>
  <c r="P67" i="40"/>
  <c r="I67" i="40" s="1"/>
  <c r="P72" i="40"/>
  <c r="I72" i="40" s="1"/>
  <c r="N71" i="40"/>
  <c r="P71" i="40" s="1"/>
  <c r="I71" i="40" s="1"/>
  <c r="K71" i="40" s="1"/>
  <c r="Z70" i="40"/>
  <c r="K70" i="40"/>
  <c r="J34" i="32"/>
  <c r="I6" i="34"/>
  <c r="N7" i="34"/>
  <c r="N6" i="34" s="1"/>
  <c r="O74" i="40"/>
  <c r="O71" i="40" s="1"/>
  <c r="T18" i="35"/>
  <c r="X18" i="35" s="1"/>
  <c r="X19" i="35"/>
  <c r="X10" i="35"/>
  <c r="K10" i="35"/>
  <c r="L10" i="35" s="1"/>
  <c r="H9" i="35"/>
  <c r="K9" i="35" s="1"/>
  <c r="L9" i="35" s="1"/>
  <c r="F4" i="34"/>
  <c r="AY44" i="2"/>
  <c r="U8" i="35"/>
  <c r="U7" i="35" s="1"/>
  <c r="U6" i="35" s="1"/>
  <c r="S30" i="2"/>
  <c r="I30" i="2" s="1"/>
  <c r="K30" i="2" s="1"/>
  <c r="O65" i="2"/>
  <c r="Q14" i="2"/>
  <c r="Q3" i="2" s="1"/>
  <c r="Q4" i="2"/>
  <c r="S9" i="2"/>
  <c r="O14" i="2"/>
  <c r="O4" i="2"/>
  <c r="S67" i="2"/>
  <c r="P4" i="2"/>
  <c r="S78" i="2"/>
  <c r="I78" i="2" s="1"/>
  <c r="S69" i="2"/>
  <c r="I69" i="2" s="1"/>
  <c r="P14" i="2"/>
  <c r="P3" i="2" s="1"/>
  <c r="O37" i="2"/>
  <c r="S37" i="2" s="1"/>
  <c r="S39" i="2"/>
  <c r="I39" i="2" s="1"/>
  <c r="S52" i="2"/>
  <c r="I52" i="2" s="1"/>
  <c r="N41" i="2"/>
  <c r="S41" i="2" s="1"/>
  <c r="S5" i="2"/>
  <c r="N4" i="2"/>
  <c r="N14" i="2"/>
  <c r="S15" i="2"/>
  <c r="S24" i="2"/>
  <c r="S20" i="2"/>
  <c r="AZ44" i="2"/>
  <c r="AU45" i="2"/>
  <c r="AP45" i="2"/>
  <c r="AO45" i="2"/>
  <c r="AV45" i="2"/>
  <c r="AU81" i="2"/>
  <c r="AQ81" i="2"/>
  <c r="AT81" i="2"/>
  <c r="AP81" i="2"/>
  <c r="AS81" i="2"/>
  <c r="AO81" i="2"/>
  <c r="AV81" i="2"/>
  <c r="AR81" i="2"/>
  <c r="AT38" i="2"/>
  <c r="AS38" i="2"/>
  <c r="AO38" i="2"/>
  <c r="AR38" i="2"/>
  <c r="AU38" i="2"/>
  <c r="AV38" i="2"/>
  <c r="AU46" i="2"/>
  <c r="AO46" i="2"/>
  <c r="AV46" i="2"/>
  <c r="AP40" i="2"/>
  <c r="AO40" i="2"/>
  <c r="AR40" i="2"/>
  <c r="AQ40" i="2"/>
  <c r="AU54" i="2"/>
  <c r="AT54" i="2"/>
  <c r="AS54" i="2"/>
  <c r="AO54" i="2"/>
  <c r="AV54" i="2"/>
  <c r="AR54" i="2"/>
  <c r="AU80" i="2"/>
  <c r="AQ80" i="2"/>
  <c r="AT80" i="2"/>
  <c r="AP80" i="2"/>
  <c r="AS80" i="2"/>
  <c r="AO80" i="2"/>
  <c r="AV80" i="2"/>
  <c r="AR80" i="2"/>
  <c r="K36" i="2"/>
  <c r="AD36" i="2"/>
  <c r="K21" i="2"/>
  <c r="AD21" i="2"/>
  <c r="AW21" i="2" s="1"/>
  <c r="K64" i="2"/>
  <c r="AD64" i="2"/>
  <c r="K23" i="2"/>
  <c r="AD23" i="2"/>
  <c r="K19" i="2"/>
  <c r="AD19" i="2"/>
  <c r="AW19" i="2" s="1"/>
  <c r="K27" i="2"/>
  <c r="AD27" i="2"/>
  <c r="AW27" i="2" s="1"/>
  <c r="K56" i="2"/>
  <c r="AD56" i="2"/>
  <c r="AW56" i="2" s="1"/>
  <c r="K11" i="2"/>
  <c r="AD11" i="2"/>
  <c r="AW11" i="2" s="1"/>
  <c r="K6" i="2"/>
  <c r="AD6" i="2"/>
  <c r="AW6" i="2" s="1"/>
  <c r="K25" i="2"/>
  <c r="AD25" i="2"/>
  <c r="AW25" i="2" s="1"/>
  <c r="K18" i="2"/>
  <c r="AD18" i="2"/>
  <c r="AW18" i="2" s="1"/>
  <c r="K31" i="2"/>
  <c r="AD31" i="2"/>
  <c r="AW31" i="2" s="1"/>
  <c r="K17" i="2"/>
  <c r="AD17" i="2"/>
  <c r="AW17" i="2" s="1"/>
  <c r="K66" i="2"/>
  <c r="AD66" i="2"/>
  <c r="AW66" i="2" s="1"/>
  <c r="K16" i="2"/>
  <c r="AD16" i="2"/>
  <c r="AW16" i="2" s="1"/>
  <c r="K22" i="2"/>
  <c r="AD22" i="2"/>
  <c r="AW22" i="2" s="1"/>
  <c r="K28" i="2"/>
  <c r="AD28" i="2"/>
  <c r="AW28" i="2" s="1"/>
  <c r="K32" i="2"/>
  <c r="AD32" i="2"/>
  <c r="AW32" i="2" s="1"/>
  <c r="K55" i="2"/>
  <c r="AD55" i="2"/>
  <c r="AW55" i="2" s="1"/>
  <c r="K33" i="2"/>
  <c r="AD33" i="2"/>
  <c r="AW33" i="2" s="1"/>
  <c r="K29" i="2"/>
  <c r="AD29" i="2"/>
  <c r="AW29" i="2" s="1"/>
  <c r="K26" i="2"/>
  <c r="AD26" i="2"/>
  <c r="AW26" i="2" s="1"/>
  <c r="K72" i="2"/>
  <c r="AD72" i="2"/>
  <c r="AW72" i="2" s="1"/>
  <c r="K73" i="2"/>
  <c r="AD73" i="2"/>
  <c r="AW73" i="2" s="1"/>
  <c r="K53" i="2"/>
  <c r="AD53" i="2"/>
  <c r="AW53" i="2" s="1"/>
  <c r="I10" i="2"/>
  <c r="N26" i="27"/>
  <c r="I13" i="2"/>
  <c r="N27" i="27"/>
  <c r="Q57" i="2"/>
  <c r="I9" i="2"/>
  <c r="K9" i="2" s="1"/>
  <c r="I12" i="2"/>
  <c r="N28" i="27"/>
  <c r="I76" i="2"/>
  <c r="I24" i="2"/>
  <c r="K24" i="2" s="1"/>
  <c r="J41" i="2"/>
  <c r="J42" i="2"/>
  <c r="D9" i="39" s="1"/>
  <c r="D7" i="38"/>
  <c r="D14" i="39"/>
  <c r="I77" i="2"/>
  <c r="D6" i="38"/>
  <c r="D11" i="39"/>
  <c r="I68" i="2"/>
  <c r="K45" i="2"/>
  <c r="K43" i="2" s="1"/>
  <c r="I43" i="2"/>
  <c r="I7" i="2"/>
  <c r="I8" i="2"/>
  <c r="I67" i="2"/>
  <c r="I5" i="2"/>
  <c r="T23" i="35"/>
  <c r="T22" i="35" s="1"/>
  <c r="S22" i="35"/>
  <c r="J5" i="34"/>
  <c r="J4" i="34" s="1"/>
  <c r="O60" i="2"/>
  <c r="O15" i="37"/>
  <c r="N46" i="27" s="1"/>
  <c r="K13" i="34"/>
  <c r="P62" i="2" s="1"/>
  <c r="S62" i="2" s="1"/>
  <c r="N15" i="34"/>
  <c r="N13" i="34" s="1"/>
  <c r="N5" i="34" s="1"/>
  <c r="P70" i="2"/>
  <c r="S70" i="2" s="1"/>
  <c r="N28" i="34"/>
  <c r="N19" i="34" s="1"/>
  <c r="K18" i="35"/>
  <c r="I79" i="2"/>
  <c r="C14" i="39" s="1"/>
  <c r="T27" i="35"/>
  <c r="P63" i="2"/>
  <c r="S63" i="2" s="1"/>
  <c r="N17" i="34"/>
  <c r="K19" i="34"/>
  <c r="I75" i="2"/>
  <c r="N74" i="2"/>
  <c r="S74" i="2" s="1"/>
  <c r="X9" i="35"/>
  <c r="X29" i="35"/>
  <c r="P61" i="2"/>
  <c r="X30" i="35"/>
  <c r="S27" i="35"/>
  <c r="X28" i="35"/>
  <c r="H8" i="35"/>
  <c r="J3" i="2"/>
  <c r="T82" i="2"/>
  <c r="Y82" i="2" s="1"/>
  <c r="N60" i="40" l="1"/>
  <c r="N60" i="2"/>
  <c r="N59" i="2" s="1"/>
  <c r="N58" i="2" s="1"/>
  <c r="I5" i="34"/>
  <c r="I4" i="34" s="1"/>
  <c r="N29" i="27"/>
  <c r="P74" i="40"/>
  <c r="I74" i="40" s="1"/>
  <c r="K74" i="40" s="1"/>
  <c r="Z72" i="40"/>
  <c r="K72" i="40"/>
  <c r="Z73" i="40"/>
  <c r="K73" i="40"/>
  <c r="Z67" i="40"/>
  <c r="K67" i="40"/>
  <c r="X27" i="35"/>
  <c r="J2" i="34"/>
  <c r="K2" i="34"/>
  <c r="I2" i="34"/>
  <c r="L2" i="34"/>
  <c r="AY80" i="2"/>
  <c r="AY54" i="2"/>
  <c r="AZ54" i="2" s="1"/>
  <c r="AY46" i="2"/>
  <c r="AZ46" i="2" s="1"/>
  <c r="AY81" i="2"/>
  <c r="AZ81" i="2" s="1"/>
  <c r="AY45" i="2"/>
  <c r="AZ45" i="2" s="1"/>
  <c r="K5" i="34"/>
  <c r="K4" i="34" s="1"/>
  <c r="AY40" i="2"/>
  <c r="AZ40" i="2" s="1"/>
  <c r="AY38" i="2"/>
  <c r="AZ38" i="2" s="1"/>
  <c r="S14" i="2"/>
  <c r="I14" i="2" s="1"/>
  <c r="K14" i="2" s="1"/>
  <c r="J82" i="2"/>
  <c r="S4" i="2"/>
  <c r="I4" i="2" s="1"/>
  <c r="C5" i="39" s="1"/>
  <c r="N3" i="2"/>
  <c r="O59" i="2"/>
  <c r="S60" i="2"/>
  <c r="I60" i="2" s="1"/>
  <c r="P59" i="2"/>
  <c r="S61" i="2"/>
  <c r="I61" i="2" s="1"/>
  <c r="P65" i="2"/>
  <c r="S65" i="2" s="1"/>
  <c r="AZ80" i="2"/>
  <c r="AT26" i="2"/>
  <c r="AP26" i="2"/>
  <c r="AO26" i="2"/>
  <c r="AY26" i="2" s="1"/>
  <c r="AQ26" i="2"/>
  <c r="AV26" i="2"/>
  <c r="AU26" i="2"/>
  <c r="AP32" i="2"/>
  <c r="AO32" i="2"/>
  <c r="AV32" i="2"/>
  <c r="AU32" i="2"/>
  <c r="AU66" i="2"/>
  <c r="AT66" i="2"/>
  <c r="AO66" i="2"/>
  <c r="AV66" i="2"/>
  <c r="AT25" i="2"/>
  <c r="AS25" i="2"/>
  <c r="AO25" i="2"/>
  <c r="AR25" i="2"/>
  <c r="AU25" i="2"/>
  <c r="AV25" i="2"/>
  <c r="AT21" i="2"/>
  <c r="AP21" i="2"/>
  <c r="AS21" i="2"/>
  <c r="AO21" i="2"/>
  <c r="AR21" i="2"/>
  <c r="AQ21" i="2"/>
  <c r="AU21" i="2"/>
  <c r="AV21" i="2"/>
  <c r="AP33" i="2"/>
  <c r="AO33" i="2"/>
  <c r="AV33" i="2"/>
  <c r="AP22" i="2"/>
  <c r="AO22" i="2"/>
  <c r="AU22" i="2"/>
  <c r="AV22" i="2"/>
  <c r="AT31" i="2"/>
  <c r="AS31" i="2"/>
  <c r="AO31" i="2"/>
  <c r="AR31" i="2"/>
  <c r="AU31" i="2"/>
  <c r="AV31" i="2"/>
  <c r="AT11" i="2"/>
  <c r="AP11" i="2"/>
  <c r="AO11" i="2"/>
  <c r="AU11" i="2"/>
  <c r="AV11" i="2"/>
  <c r="AQ11" i="2"/>
  <c r="AT27" i="2"/>
  <c r="AP27" i="2"/>
  <c r="AS27" i="2"/>
  <c r="AO27" i="2"/>
  <c r="AR27" i="2"/>
  <c r="AQ27" i="2"/>
  <c r="AU27" i="2"/>
  <c r="AV27" i="2"/>
  <c r="AP23" i="2"/>
  <c r="AO23" i="2"/>
  <c r="AU53" i="2"/>
  <c r="AT53" i="2"/>
  <c r="AS53" i="2"/>
  <c r="AO53" i="2"/>
  <c r="AV53" i="2"/>
  <c r="AU72" i="2"/>
  <c r="AT72" i="2"/>
  <c r="AO72" i="2"/>
  <c r="AV72" i="2"/>
  <c r="AT29" i="2"/>
  <c r="AP29" i="2"/>
  <c r="AS29" i="2"/>
  <c r="AO29" i="2"/>
  <c r="AR29" i="2"/>
  <c r="AQ29" i="2"/>
  <c r="AV29" i="2"/>
  <c r="AU29" i="2"/>
  <c r="AO55" i="2"/>
  <c r="AV55" i="2"/>
  <c r="AT28" i="2"/>
  <c r="AP28" i="2"/>
  <c r="AS28" i="2"/>
  <c r="AO28" i="2"/>
  <c r="AU28" i="2"/>
  <c r="AV28" i="2"/>
  <c r="AT16" i="2"/>
  <c r="AS16" i="2"/>
  <c r="AO16" i="2"/>
  <c r="AU16" i="2"/>
  <c r="AV16" i="2"/>
  <c r="AR16" i="2"/>
  <c r="AT17" i="2"/>
  <c r="AS17" i="2"/>
  <c r="AO17" i="2"/>
  <c r="AU17" i="2"/>
  <c r="AV17" i="2"/>
  <c r="AR17" i="2"/>
  <c r="AT18" i="2"/>
  <c r="AO18" i="2"/>
  <c r="AV18" i="2"/>
  <c r="AU18" i="2"/>
  <c r="AT6" i="2"/>
  <c r="AO6" i="2"/>
  <c r="AS6" i="2"/>
  <c r="AU6" i="2"/>
  <c r="AR6" i="2"/>
  <c r="AV6" i="2"/>
  <c r="AO56" i="2"/>
  <c r="AV56" i="2"/>
  <c r="AP19" i="2"/>
  <c r="AO19" i="2"/>
  <c r="AV19" i="2"/>
  <c r="AU19" i="2"/>
  <c r="AQ64" i="2"/>
  <c r="AT64" i="2"/>
  <c r="AP64" i="2"/>
  <c r="AS64" i="2"/>
  <c r="AO64" i="2"/>
  <c r="AY64" i="2" s="1"/>
  <c r="AZ64" i="2" s="1"/>
  <c r="AR64" i="2"/>
  <c r="AT36" i="2"/>
  <c r="AP36" i="2"/>
  <c r="AS36" i="2"/>
  <c r="AO36" i="2"/>
  <c r="AR36" i="2"/>
  <c r="AQ36" i="2"/>
  <c r="AU73" i="2"/>
  <c r="AP73" i="2"/>
  <c r="AO73" i="2"/>
  <c r="AV73" i="2"/>
  <c r="K7" i="2"/>
  <c r="AD7" i="2"/>
  <c r="AW7" i="2" s="1"/>
  <c r="K8" i="2"/>
  <c r="AD8" i="2"/>
  <c r="AW8" i="2" s="1"/>
  <c r="K68" i="2"/>
  <c r="AD68" i="2"/>
  <c r="AW68" i="2" s="1"/>
  <c r="K76" i="2"/>
  <c r="AD76" i="2"/>
  <c r="AW76" i="2" s="1"/>
  <c r="K77" i="2"/>
  <c r="AD77" i="2"/>
  <c r="AW77" i="2" s="1"/>
  <c r="K12" i="2"/>
  <c r="AD12" i="2"/>
  <c r="AW12" i="2" s="1"/>
  <c r="K13" i="2"/>
  <c r="AD13" i="2"/>
  <c r="AW13" i="2" s="1"/>
  <c r="K67" i="2"/>
  <c r="AD67" i="2"/>
  <c r="AW67" i="2" s="1"/>
  <c r="K78" i="2"/>
  <c r="AD78" i="2"/>
  <c r="AW78" i="2" s="1"/>
  <c r="K10" i="2"/>
  <c r="AD10" i="2"/>
  <c r="AW10" i="2" s="1"/>
  <c r="K75" i="2"/>
  <c r="AD75" i="2"/>
  <c r="AW75" i="2" s="1"/>
  <c r="K39" i="2"/>
  <c r="AD39" i="2"/>
  <c r="AW39" i="2" s="1"/>
  <c r="K4" i="2"/>
  <c r="E5" i="39" s="1"/>
  <c r="F5" i="39" s="1"/>
  <c r="K69" i="2"/>
  <c r="AD69" i="2"/>
  <c r="AW69" i="2" s="1"/>
  <c r="I20" i="2"/>
  <c r="K20" i="2" s="1"/>
  <c r="N30" i="27"/>
  <c r="O31" i="27" s="1"/>
  <c r="I15" i="2"/>
  <c r="K15" i="2" s="1"/>
  <c r="N38" i="27"/>
  <c r="I63" i="2"/>
  <c r="I70" i="2"/>
  <c r="I62" i="2"/>
  <c r="D8" i="39"/>
  <c r="D5" i="38"/>
  <c r="Q82" i="2"/>
  <c r="K52" i="2"/>
  <c r="E10" i="39" s="1"/>
  <c r="G10" i="39" s="1"/>
  <c r="C10" i="39"/>
  <c r="D4" i="39"/>
  <c r="D4" i="38"/>
  <c r="I74" i="2"/>
  <c r="K74" i="2" s="1"/>
  <c r="N71" i="2"/>
  <c r="S71" i="2" s="1"/>
  <c r="T8" i="35"/>
  <c r="T7" i="35" s="1"/>
  <c r="T6" i="35" s="1"/>
  <c r="K8" i="35"/>
  <c r="L8" i="35" s="1"/>
  <c r="H7" i="35"/>
  <c r="J8" i="35"/>
  <c r="J7" i="35" s="1"/>
  <c r="J6" i="35" s="1"/>
  <c r="K5" i="2"/>
  <c r="N4" i="34"/>
  <c r="S8" i="35"/>
  <c r="K79" i="2"/>
  <c r="C7" i="38"/>
  <c r="X23" i="35"/>
  <c r="O3" i="2"/>
  <c r="N31" i="27"/>
  <c r="X22" i="35"/>
  <c r="AY33" i="2" l="1"/>
  <c r="AY16" i="2"/>
  <c r="AY36" i="2"/>
  <c r="AY19" i="2"/>
  <c r="AY18" i="2"/>
  <c r="AY28" i="2"/>
  <c r="AY11" i="2"/>
  <c r="AY21" i="2"/>
  <c r="P60" i="40"/>
  <c r="I60" i="40" s="1"/>
  <c r="N59" i="40"/>
  <c r="AY6" i="2"/>
  <c r="AZ6" i="2" s="1"/>
  <c r="AY27" i="2"/>
  <c r="AZ27" i="2" s="1"/>
  <c r="AY22" i="2"/>
  <c r="AZ22" i="2" s="1"/>
  <c r="AY23" i="2"/>
  <c r="AZ23" i="2" s="1"/>
  <c r="AY73" i="2"/>
  <c r="AZ73" i="2" s="1"/>
  <c r="AY56" i="2"/>
  <c r="AZ56" i="2" s="1"/>
  <c r="AY55" i="2"/>
  <c r="AZ55" i="2" s="1"/>
  <c r="AY72" i="2"/>
  <c r="AZ72" i="2" s="1"/>
  <c r="AY53" i="2"/>
  <c r="AZ53" i="2" s="1"/>
  <c r="AY66" i="2"/>
  <c r="AZ66" i="2" s="1"/>
  <c r="AY17" i="2"/>
  <c r="AZ17" i="2" s="1"/>
  <c r="AY29" i="2"/>
  <c r="AY31" i="2"/>
  <c r="AZ31" i="2" s="1"/>
  <c r="AY25" i="2"/>
  <c r="AZ25" i="2" s="1"/>
  <c r="AY32" i="2"/>
  <c r="AZ32" i="2" s="1"/>
  <c r="N57" i="2"/>
  <c r="O58" i="2"/>
  <c r="S59" i="2"/>
  <c r="P58" i="2"/>
  <c r="P57" i="2" s="1"/>
  <c r="S3" i="2"/>
  <c r="I3" i="2" s="1"/>
  <c r="D15" i="39"/>
  <c r="D8" i="38"/>
  <c r="G5" i="39"/>
  <c r="AZ11" i="2"/>
  <c r="AZ16" i="2"/>
  <c r="AZ18" i="2"/>
  <c r="AZ19" i="2"/>
  <c r="AZ21" i="2"/>
  <c r="AZ28" i="2"/>
  <c r="AZ26" i="2"/>
  <c r="AZ29" i="2"/>
  <c r="AZ36" i="2"/>
  <c r="AZ33" i="2"/>
  <c r="AO39" i="2"/>
  <c r="AV39" i="2"/>
  <c r="AU39" i="2"/>
  <c r="AT12" i="2"/>
  <c r="AP12" i="2"/>
  <c r="AS12" i="2"/>
  <c r="AO12" i="2"/>
  <c r="AU12" i="2"/>
  <c r="AV12" i="2"/>
  <c r="AR12" i="2"/>
  <c r="AQ12" i="2"/>
  <c r="AU69" i="2"/>
  <c r="AQ69" i="2"/>
  <c r="AP69" i="2"/>
  <c r="AO69" i="2"/>
  <c r="AV69" i="2"/>
  <c r="AR69" i="2"/>
  <c r="AO67" i="2"/>
  <c r="AV67" i="2"/>
  <c r="AP8" i="2"/>
  <c r="AO8" i="2"/>
  <c r="AU8" i="2"/>
  <c r="AV8" i="2"/>
  <c r="AQ8" i="2"/>
  <c r="AU75" i="2"/>
  <c r="AP75" i="2"/>
  <c r="AO75" i="2"/>
  <c r="AV75" i="2"/>
  <c r="AU78" i="2"/>
  <c r="AO78" i="2"/>
  <c r="AV78" i="2"/>
  <c r="AP13" i="2"/>
  <c r="AO13" i="2"/>
  <c r="AU13" i="2"/>
  <c r="AV13" i="2"/>
  <c r="AQ13" i="2"/>
  <c r="AP77" i="2"/>
  <c r="AO77" i="2"/>
  <c r="AV77" i="2"/>
  <c r="AU68" i="2"/>
  <c r="AT68" i="2"/>
  <c r="AP68" i="2"/>
  <c r="AS68" i="2"/>
  <c r="AO68" i="2"/>
  <c r="AV68" i="2"/>
  <c r="AT7" i="2"/>
  <c r="AP7" i="2"/>
  <c r="AO7" i="2"/>
  <c r="AU7" i="2"/>
  <c r="AV7" i="2"/>
  <c r="AT10" i="2"/>
  <c r="AP10" i="2"/>
  <c r="AS10" i="2"/>
  <c r="AO10" i="2"/>
  <c r="AU10" i="2"/>
  <c r="AV10" i="2"/>
  <c r="AR10" i="2"/>
  <c r="AQ10" i="2"/>
  <c r="AP76" i="2"/>
  <c r="AO76" i="2"/>
  <c r="AV76" i="2"/>
  <c r="K63" i="2"/>
  <c r="AD63" i="2"/>
  <c r="AW63" i="2" s="1"/>
  <c r="K61" i="2"/>
  <c r="AD61" i="2"/>
  <c r="AW61" i="2" s="1"/>
  <c r="K62" i="2"/>
  <c r="AD62" i="2"/>
  <c r="AW62" i="2" s="1"/>
  <c r="K60" i="2"/>
  <c r="AD60" i="2"/>
  <c r="AW60" i="2" s="1"/>
  <c r="K70" i="2"/>
  <c r="AD70" i="2"/>
  <c r="AW70" i="2" s="1"/>
  <c r="E7" i="38"/>
  <c r="E14" i="39"/>
  <c r="F10" i="39"/>
  <c r="I65" i="2"/>
  <c r="K65" i="2" s="1"/>
  <c r="N82" i="2"/>
  <c r="I37" i="2"/>
  <c r="S7" i="35"/>
  <c r="X8" i="35"/>
  <c r="E6" i="39"/>
  <c r="G6" i="39" s="1"/>
  <c r="C6" i="39"/>
  <c r="I71" i="2"/>
  <c r="K7" i="35"/>
  <c r="L7" i="35" s="1"/>
  <c r="H6" i="35"/>
  <c r="K6" i="35" s="1"/>
  <c r="L6" i="35" s="1"/>
  <c r="AY12" i="2" l="1"/>
  <c r="AY13" i="2"/>
  <c r="AY39" i="2"/>
  <c r="P59" i="40"/>
  <c r="I59" i="40" s="1"/>
  <c r="K59" i="40" s="1"/>
  <c r="N58" i="40"/>
  <c r="Z60" i="40"/>
  <c r="K60" i="40"/>
  <c r="AY7" i="2"/>
  <c r="AZ7" i="2" s="1"/>
  <c r="AY10" i="2"/>
  <c r="AY8" i="2"/>
  <c r="AZ8" i="2" s="1"/>
  <c r="AY76" i="2"/>
  <c r="AZ76" i="2" s="1"/>
  <c r="AY78" i="2"/>
  <c r="AZ78" i="2" s="1"/>
  <c r="AY75" i="2"/>
  <c r="AZ75" i="2" s="1"/>
  <c r="AY67" i="2"/>
  <c r="AZ67" i="2" s="1"/>
  <c r="AY69" i="2"/>
  <c r="AZ69" i="2" s="1"/>
  <c r="AY68" i="2"/>
  <c r="AZ68" i="2" s="1"/>
  <c r="AY77" i="2"/>
  <c r="AZ77" i="2" s="1"/>
  <c r="S58" i="2"/>
  <c r="AZ10" i="2"/>
  <c r="AZ13" i="2"/>
  <c r="AZ12" i="2"/>
  <c r="AZ39" i="2"/>
  <c r="AU60" i="2"/>
  <c r="AT60" i="2"/>
  <c r="AS60" i="2"/>
  <c r="AO60" i="2"/>
  <c r="AV60" i="2"/>
  <c r="AU61" i="2"/>
  <c r="AQ61" i="2"/>
  <c r="AP61" i="2"/>
  <c r="AO61" i="2"/>
  <c r="AV61" i="2"/>
  <c r="AR61" i="2"/>
  <c r="AU70" i="2"/>
  <c r="AP70" i="2"/>
  <c r="AO70" i="2"/>
  <c r="AV70" i="2"/>
  <c r="AQ62" i="2"/>
  <c r="AP62" i="2"/>
  <c r="AO62" i="2"/>
  <c r="AR62" i="2"/>
  <c r="AV62" i="2"/>
  <c r="AQ63" i="2"/>
  <c r="AP63" i="2"/>
  <c r="AO63" i="2"/>
  <c r="AV63" i="2"/>
  <c r="AR63" i="2"/>
  <c r="N43" i="27"/>
  <c r="F6" i="39"/>
  <c r="G14" i="39"/>
  <c r="F14" i="39"/>
  <c r="K71" i="2"/>
  <c r="E13" i="39" s="1"/>
  <c r="G13" i="39" s="1"/>
  <c r="C13" i="39"/>
  <c r="K37" i="2"/>
  <c r="E7" i="39" s="1"/>
  <c r="G7" i="39" s="1"/>
  <c r="C7" i="39"/>
  <c r="S6" i="35"/>
  <c r="X6" i="35" s="1"/>
  <c r="X7" i="35"/>
  <c r="I59" i="2"/>
  <c r="K59" i="2" s="1"/>
  <c r="N42" i="27"/>
  <c r="O57" i="2"/>
  <c r="S57" i="2" s="1"/>
  <c r="C4" i="39"/>
  <c r="K3" i="2"/>
  <c r="C4" i="38"/>
  <c r="P58" i="40" l="1"/>
  <c r="I58" i="40" s="1"/>
  <c r="K58" i="40" s="1"/>
  <c r="N57" i="40"/>
  <c r="O46" i="27"/>
  <c r="AY63" i="2"/>
  <c r="AZ63" i="2" s="1"/>
  <c r="AY62" i="2"/>
  <c r="AZ62" i="2" s="1"/>
  <c r="AY70" i="2"/>
  <c r="AZ70" i="2" s="1"/>
  <c r="AY61" i="2"/>
  <c r="AZ61" i="2" s="1"/>
  <c r="AY60" i="2"/>
  <c r="AZ60" i="2" s="1"/>
  <c r="F13" i="39"/>
  <c r="F7" i="39"/>
  <c r="I58" i="2"/>
  <c r="E4" i="39"/>
  <c r="E4" i="38"/>
  <c r="P57" i="40" l="1"/>
  <c r="I57" i="40" s="1"/>
  <c r="K57" i="40" s="1"/>
  <c r="N82" i="40"/>
  <c r="P82" i="40" s="1"/>
  <c r="K58" i="2"/>
  <c r="E12" i="39" s="1"/>
  <c r="G12" i="39" s="1"/>
  <c r="C12" i="39"/>
  <c r="F4" i="39"/>
  <c r="I57" i="2"/>
  <c r="C11" i="39" s="1"/>
  <c r="G4" i="39"/>
  <c r="N83" i="40" l="1"/>
  <c r="I82" i="40"/>
  <c r="K82" i="40" s="1"/>
  <c r="O83" i="40"/>
  <c r="F12" i="39"/>
  <c r="K57" i="2"/>
  <c r="C6" i="38"/>
  <c r="E6" i="38" l="1"/>
  <c r="E11" i="39"/>
  <c r="G11" i="39" l="1"/>
  <c r="F11" i="39"/>
  <c r="I51" i="2"/>
  <c r="P82" i="2"/>
  <c r="K51" i="2" l="1"/>
  <c r="AD51" i="2"/>
  <c r="AW51" i="2" s="1"/>
  <c r="AW82" i="2" s="1"/>
  <c r="K4" i="41" s="1"/>
  <c r="G19" i="41" s="1"/>
  <c r="AU51" i="2" l="1"/>
  <c r="AU82" i="2" s="1"/>
  <c r="I4" i="41" s="1"/>
  <c r="AP51" i="2"/>
  <c r="AP82" i="2" s="1"/>
  <c r="D4" i="41" s="1"/>
  <c r="AQ51" i="2"/>
  <c r="AQ82" i="2" s="1"/>
  <c r="E4" i="41" s="1"/>
  <c r="AT51" i="2"/>
  <c r="AT82" i="2" s="1"/>
  <c r="H4" i="41" s="1"/>
  <c r="AS51" i="2"/>
  <c r="AS82" i="2" s="1"/>
  <c r="G4" i="41" s="1"/>
  <c r="AO51" i="2"/>
  <c r="AR51" i="2"/>
  <c r="AR82" i="2" s="1"/>
  <c r="F4" i="41" s="1"/>
  <c r="AV51" i="2"/>
  <c r="AV82" i="2" s="1"/>
  <c r="J4" i="41" s="1"/>
  <c r="I8" i="41" s="1"/>
  <c r="I50" i="2"/>
  <c r="C8" i="41" l="1"/>
  <c r="G8" i="41"/>
  <c r="E19" i="41"/>
  <c r="E8" i="41"/>
  <c r="F19" i="41"/>
  <c r="D19" i="41"/>
  <c r="C19" i="41"/>
  <c r="AY51" i="2"/>
  <c r="AO82" i="2"/>
  <c r="AY82" i="2" s="1"/>
  <c r="AZ51" i="2"/>
  <c r="I42" i="2"/>
  <c r="K50" i="2"/>
  <c r="N35" i="27"/>
  <c r="O38" i="27" s="1"/>
  <c r="O47" i="27" s="1"/>
  <c r="H19" i="41" l="1"/>
  <c r="H21" i="41" s="1"/>
  <c r="M8" i="41"/>
  <c r="AU83" i="2"/>
  <c r="AS83" i="2"/>
  <c r="AP83" i="2"/>
  <c r="AV83" i="2"/>
  <c r="AT83" i="2"/>
  <c r="AQ83" i="2"/>
  <c r="AR83" i="2"/>
  <c r="AO83" i="2"/>
  <c r="I41" i="2"/>
  <c r="O82" i="2"/>
  <c r="S82" i="2" s="1"/>
  <c r="C9" i="39"/>
  <c r="K42" i="2"/>
  <c r="E9" i="39" s="1"/>
  <c r="G9" i="39" s="1"/>
  <c r="AP84" i="2" l="1"/>
  <c r="AR84" i="2"/>
  <c r="AT84" i="2"/>
  <c r="AV84" i="2"/>
  <c r="F9" i="39"/>
  <c r="C5" i="38"/>
  <c r="C8" i="38" s="1"/>
  <c r="K41" i="2"/>
  <c r="C8" i="39"/>
  <c r="N83" i="2" l="1"/>
  <c r="I82" i="2"/>
  <c r="K82" i="2" s="1"/>
  <c r="Q83" i="2"/>
  <c r="P83" i="2"/>
  <c r="C15" i="39"/>
  <c r="O83" i="2"/>
  <c r="E8" i="39"/>
  <c r="E5" i="38"/>
  <c r="E8" i="38" s="1"/>
  <c r="G8" i="39" l="1"/>
  <c r="E15" i="39"/>
  <c r="G15" i="39" s="1"/>
  <c r="F8" i="39"/>
  <c r="F15" i="39" l="1"/>
  <c r="AI62" i="40"/>
  <c r="AH62" i="40"/>
  <c r="AG62" i="40"/>
  <c r="AH54" i="40"/>
  <c r="AG54" i="40"/>
  <c r="AI54" i="40"/>
  <c r="AI46" i="40"/>
  <c r="AG46" i="40"/>
  <c r="AH46" i="40"/>
  <c r="AI26" i="40"/>
  <c r="AH26" i="40"/>
  <c r="AG26" i="40"/>
  <c r="AI22" i="40"/>
  <c r="AH22" i="40"/>
  <c r="AG22" i="40"/>
  <c r="AI18" i="40"/>
  <c r="AG18" i="40"/>
  <c r="AH18" i="40"/>
  <c r="AH29" i="40"/>
  <c r="AG29" i="40"/>
  <c r="AI29" i="40"/>
  <c r="AH25" i="40"/>
  <c r="AG25" i="40"/>
  <c r="AI25" i="40"/>
  <c r="AG21" i="40"/>
  <c r="AI21" i="40"/>
  <c r="AH21" i="40"/>
  <c r="AI13" i="40"/>
  <c r="AH13" i="40"/>
  <c r="AG13" i="40"/>
  <c r="AG51" i="40"/>
  <c r="AI51" i="40"/>
  <c r="AH51" i="40"/>
  <c r="AG27" i="40"/>
  <c r="AI27" i="40"/>
  <c r="AH27" i="40"/>
  <c r="AH61" i="40"/>
  <c r="AG61" i="40"/>
  <c r="AI61" i="40"/>
  <c r="AI53" i="40"/>
  <c r="AG53" i="40"/>
  <c r="AH53" i="40"/>
  <c r="AH49" i="40"/>
  <c r="AI49" i="40"/>
  <c r="AG49" i="40"/>
  <c r="AI45" i="40"/>
  <c r="AH45" i="40"/>
  <c r="AG45" i="40"/>
  <c r="AI33" i="40"/>
  <c r="AH33" i="40"/>
  <c r="AG33" i="40"/>
  <c r="AG16" i="40"/>
  <c r="AH16" i="40"/>
  <c r="AI16" i="40"/>
  <c r="AI8" i="40"/>
  <c r="AG8" i="40"/>
  <c r="AH8" i="40"/>
  <c r="AH55" i="40"/>
  <c r="AI55" i="40"/>
  <c r="AG55" i="40"/>
  <c r="AG39" i="40"/>
  <c r="AI39" i="40"/>
  <c r="AH39" i="40"/>
  <c r="AI31" i="40"/>
  <c r="AG31" i="40"/>
  <c r="AH31" i="40"/>
  <c r="AI19" i="40"/>
  <c r="AH19" i="40"/>
  <c r="AG19" i="40"/>
  <c r="AG56" i="40"/>
  <c r="AH56" i="40"/>
  <c r="AI56" i="40"/>
  <c r="AI48" i="40"/>
  <c r="AH48" i="40"/>
  <c r="AG48" i="40"/>
  <c r="AH44" i="40"/>
  <c r="AI44" i="40"/>
  <c r="AG44" i="40"/>
  <c r="AI40" i="40"/>
  <c r="AG40" i="40"/>
  <c r="AH40" i="40"/>
  <c r="AI32" i="40"/>
  <c r="AH32" i="40"/>
  <c r="AG32" i="40"/>
  <c r="AI23" i="40"/>
  <c r="AG23" i="40"/>
  <c r="AH23" i="40"/>
  <c r="AI66" i="40"/>
  <c r="AG66" i="40"/>
  <c r="AH66" i="40"/>
  <c r="AI80" i="40"/>
  <c r="AG80" i="40"/>
  <c r="AH80" i="40"/>
  <c r="AI70" i="40"/>
  <c r="AG70" i="40"/>
  <c r="AH70" i="40"/>
  <c r="AI78" i="40"/>
  <c r="AH78" i="40"/>
  <c r="AG78" i="40"/>
  <c r="AG72" i="40"/>
  <c r="AI72" i="40"/>
  <c r="AH72" i="40"/>
  <c r="AG67" i="40"/>
  <c r="AH67" i="40"/>
  <c r="AI67" i="40"/>
  <c r="AH75" i="40"/>
  <c r="AG75" i="40"/>
  <c r="AI75" i="40"/>
  <c r="AH69" i="40"/>
  <c r="AG69" i="40"/>
  <c r="AI69" i="40"/>
  <c r="AG77" i="40"/>
  <c r="AI77" i="40"/>
  <c r="AH77" i="40"/>
  <c r="AI35" i="40"/>
  <c r="AH35" i="40"/>
  <c r="AG76" i="40"/>
  <c r="AH76" i="40"/>
  <c r="AI76" i="40"/>
  <c r="AI12" i="40"/>
  <c r="AG12" i="40"/>
  <c r="AH12" i="40"/>
  <c r="AF66" i="40"/>
  <c r="AF18" i="40"/>
  <c r="AK18" i="40" s="1"/>
  <c r="AF32" i="40"/>
  <c r="AI64" i="40"/>
  <c r="AH64" i="40"/>
  <c r="AG64" i="40"/>
  <c r="AI17" i="40"/>
  <c r="AH17" i="40"/>
  <c r="AG17" i="40"/>
  <c r="AF67" i="40"/>
  <c r="AF72" i="40"/>
  <c r="AF39" i="40"/>
  <c r="AH36" i="40"/>
  <c r="AG36" i="40"/>
  <c r="AI36" i="40"/>
  <c r="AF76" i="40"/>
  <c r="AG38" i="40"/>
  <c r="AI38" i="40"/>
  <c r="AF38" i="40"/>
  <c r="AH38" i="40"/>
  <c r="AH10" i="40"/>
  <c r="AG10" i="40"/>
  <c r="AI10" i="40"/>
  <c r="AH11" i="40"/>
  <c r="AG11" i="40"/>
  <c r="AI11" i="40"/>
  <c r="AG28" i="40"/>
  <c r="AI28" i="40"/>
  <c r="AH28" i="40"/>
  <c r="AF28" i="40"/>
  <c r="AH60" i="40"/>
  <c r="AG60" i="40"/>
  <c r="AF60" i="40"/>
  <c r="AI60" i="40"/>
  <c r="AG73" i="40"/>
  <c r="AH73" i="40"/>
  <c r="AI73" i="40"/>
  <c r="AH68" i="40"/>
  <c r="AI68" i="40"/>
  <c r="AG68" i="40"/>
  <c r="AI63" i="40"/>
  <c r="AH63" i="40"/>
  <c r="AG63" i="40"/>
  <c r="AF48" i="40"/>
  <c r="AF46" i="40"/>
  <c r="AK46" i="40" s="1"/>
  <c r="AG35" i="40"/>
  <c r="AK35" i="40" s="1"/>
  <c r="AF17" i="40"/>
  <c r="AK17" i="40" s="1"/>
  <c r="AF16" i="40"/>
  <c r="AF53" i="40"/>
  <c r="AK53" i="40" s="1"/>
  <c r="AF23" i="40"/>
  <c r="AF26" i="40"/>
  <c r="AF27" i="40"/>
  <c r="AF62" i="40"/>
  <c r="AK62" i="40" s="1"/>
  <c r="AF22" i="40"/>
  <c r="AF36" i="40"/>
  <c r="AG7" i="40"/>
  <c r="AI7" i="40"/>
  <c r="AF54" i="40"/>
  <c r="AK54" i="40" s="1"/>
  <c r="AF8" i="40"/>
  <c r="AF31" i="40"/>
  <c r="AK31" i="40" s="1"/>
  <c r="AF63" i="40"/>
  <c r="AK63" i="40" s="1"/>
  <c r="AF25" i="40"/>
  <c r="AF68" i="40"/>
  <c r="AF12" i="40"/>
  <c r="AK12" i="40" s="1"/>
  <c r="AF13" i="40"/>
  <c r="AK13" i="40" s="1"/>
  <c r="AF73" i="40"/>
  <c r="AF55" i="40"/>
  <c r="AF45" i="40"/>
  <c r="AF80" i="40"/>
  <c r="AF49" i="40"/>
  <c r="AF61" i="40"/>
  <c r="AF29" i="40"/>
  <c r="AF44" i="40"/>
  <c r="AK44" i="40" s="1"/>
  <c r="AF70" i="40"/>
  <c r="AF19" i="40"/>
  <c r="AF21" i="40"/>
  <c r="AF10" i="40"/>
  <c r="AF56" i="40"/>
  <c r="AF77" i="40"/>
  <c r="AK77" i="40" s="1"/>
  <c r="AF33" i="40"/>
  <c r="AF78" i="40"/>
  <c r="AK78" i="40" s="1"/>
  <c r="AF51" i="40"/>
  <c r="AF7" i="40"/>
  <c r="AF11" i="40"/>
  <c r="AF75" i="40"/>
  <c r="AK75" i="40" s="1"/>
  <c r="AF64" i="40"/>
  <c r="AH7" i="40"/>
  <c r="AF40" i="40"/>
  <c r="AF69" i="40"/>
  <c r="AK69" i="40" s="1"/>
  <c r="AK36" i="40" l="1"/>
  <c r="AK67" i="40"/>
  <c r="AK32" i="40"/>
  <c r="AK40" i="40"/>
  <c r="AK39" i="40"/>
  <c r="AK33" i="40"/>
  <c r="AK49" i="40"/>
  <c r="AK27" i="40"/>
  <c r="AK51" i="40"/>
  <c r="AK29" i="40"/>
  <c r="AK26" i="40"/>
  <c r="AK80" i="40"/>
  <c r="AK64" i="40"/>
  <c r="AK61" i="40"/>
  <c r="AK11" i="40"/>
  <c r="AK55" i="40"/>
  <c r="AK7" i="40"/>
  <c r="AK22" i="40"/>
  <c r="AK19" i="40"/>
  <c r="AK25" i="40"/>
  <c r="AK28" i="40"/>
  <c r="AK10" i="40"/>
  <c r="AF82" i="40"/>
  <c r="AK60" i="40"/>
  <c r="AK72" i="40"/>
  <c r="AK70" i="40"/>
  <c r="AK66" i="40"/>
  <c r="AK23" i="40"/>
  <c r="AK48" i="40"/>
  <c r="AK56" i="40"/>
  <c r="AH82" i="40"/>
  <c r="AK16" i="40"/>
  <c r="AK21" i="40"/>
  <c r="AK76" i="40"/>
  <c r="AG82" i="40"/>
  <c r="AK45" i="40"/>
  <c r="AK68" i="40"/>
  <c r="AK8" i="40"/>
  <c r="AK73" i="40"/>
  <c r="AI82" i="40"/>
  <c r="AK38" i="40"/>
  <c r="AK82" i="40" l="1"/>
  <c r="AF83" i="40" s="1"/>
  <c r="AH83" i="40"/>
  <c r="AI83" i="40"/>
  <c r="AI84" i="40" s="1"/>
  <c r="AG83" i="40"/>
  <c r="AG84" i="40" s="1"/>
</calcChain>
</file>

<file path=xl/comments1.xml><?xml version="1.0" encoding="utf-8"?>
<comments xmlns="http://schemas.openxmlformats.org/spreadsheetml/2006/main">
  <authors>
    <author>Patricia Alvarez Domec</author>
    <author>flavia almeida</author>
  </authors>
  <commentList>
    <comment ref="BH2" authorId="0" shapeId="0">
      <text>
        <r>
          <rPr>
            <b/>
            <sz val="9"/>
            <color indexed="81"/>
            <rFont val="Tahoma"/>
            <family val="2"/>
          </rPr>
          <t>Patricia Alvarez Domec:</t>
        </r>
        <r>
          <rPr>
            <sz val="9"/>
            <color indexed="81"/>
            <rFont val="Tahoma"/>
            <family val="2"/>
          </rPr>
          <t xml:space="preserve">
La duración es 1 mes menos que la real para que calcule bien
</t>
        </r>
      </text>
    </comment>
    <comment ref="H74" authorId="1" shapeId="0">
      <text>
        <r>
          <rPr>
            <b/>
            <sz val="9"/>
            <color indexed="81"/>
            <rFont val="Arial"/>
            <family val="2"/>
          </rPr>
          <t>flavia almeida:</t>
        </r>
        <r>
          <rPr>
            <sz val="9"/>
            <color indexed="81"/>
            <rFont val="Arial"/>
            <family val="2"/>
          </rPr>
          <t xml:space="preserve">
programa específico a definir con el BID durante misión de análisis
</t>
        </r>
      </text>
    </comment>
  </commentList>
</comments>
</file>

<file path=xl/comments2.xml><?xml version="1.0" encoding="utf-8"?>
<comments xmlns="http://schemas.openxmlformats.org/spreadsheetml/2006/main">
  <authors>
    <author>Patricia Alvarez Domec</author>
    <author>flavia almeida</author>
  </authors>
  <commentList>
    <comment ref="AS2" authorId="0" shapeId="0">
      <text>
        <r>
          <rPr>
            <b/>
            <sz val="9"/>
            <color indexed="81"/>
            <rFont val="Tahoma"/>
            <family val="2"/>
          </rPr>
          <t>Patricia Alvarez Domec:</t>
        </r>
        <r>
          <rPr>
            <sz val="9"/>
            <color indexed="81"/>
            <rFont val="Tahoma"/>
            <family val="2"/>
          </rPr>
          <t xml:space="preserve">
La duración es 1 mes menos que la real para que calcule bien
</t>
        </r>
      </text>
    </comment>
    <comment ref="H74" authorId="1" shapeId="0">
      <text>
        <r>
          <rPr>
            <b/>
            <sz val="9"/>
            <color indexed="81"/>
            <rFont val="Arial"/>
            <family val="2"/>
          </rPr>
          <t>flavia almeida:</t>
        </r>
        <r>
          <rPr>
            <sz val="9"/>
            <color indexed="81"/>
            <rFont val="Arial"/>
            <family val="2"/>
          </rPr>
          <t xml:space="preserve">
programa específico a definir con el BID durante misión de análisis
</t>
        </r>
      </text>
    </comment>
  </commentList>
</comments>
</file>

<file path=xl/comments3.xml><?xml version="1.0" encoding="utf-8"?>
<comments xmlns="http://schemas.openxmlformats.org/spreadsheetml/2006/main">
  <authors>
    <author>JCC</author>
  </authors>
  <commentList>
    <comment ref="B5" authorId="0" shapeId="0">
      <text>
        <r>
          <rPr>
            <b/>
            <sz val="9"/>
            <color rgb="FF000000"/>
            <rFont val="Arial"/>
            <family val="2"/>
          </rPr>
          <t>Patricia:</t>
        </r>
        <r>
          <rPr>
            <b/>
            <sz val="9"/>
            <color rgb="FF000000"/>
            <rFont val="Arial"/>
            <family val="2"/>
          </rPr>
          <t xml:space="preserve">
</t>
        </r>
        <r>
          <rPr>
            <sz val="9"/>
            <color rgb="FF000000"/>
            <rFont val="Arial"/>
            <family val="2"/>
          </rPr>
          <t>Subcomponente</t>
        </r>
      </text>
    </comment>
    <comment ref="C5" authorId="0" shapeId="0">
      <text>
        <r>
          <rPr>
            <b/>
            <sz val="9"/>
            <color rgb="FF000000"/>
            <rFont val="Arial"/>
            <family val="2"/>
          </rPr>
          <t>Patricia:</t>
        </r>
        <r>
          <rPr>
            <b/>
            <sz val="9"/>
            <color rgb="FF000000"/>
            <rFont val="Arial"/>
            <family val="2"/>
          </rPr>
          <t xml:space="preserve">
</t>
        </r>
        <r>
          <rPr>
            <sz val="9"/>
            <color rgb="FF000000"/>
            <rFont val="Arial"/>
            <family val="2"/>
          </rPr>
          <t>Línea de acción</t>
        </r>
      </text>
    </comment>
    <comment ref="D5" authorId="0" shapeId="0">
      <text>
        <r>
          <rPr>
            <b/>
            <sz val="9"/>
            <color rgb="FF000000"/>
            <rFont val="Arial"/>
            <family val="2"/>
          </rPr>
          <t>Patricia:</t>
        </r>
        <r>
          <rPr>
            <b/>
            <sz val="9"/>
            <color rgb="FF000000"/>
            <rFont val="Arial"/>
            <family val="2"/>
          </rPr>
          <t xml:space="preserve">
</t>
        </r>
        <r>
          <rPr>
            <sz val="9"/>
            <color rgb="FF000000"/>
            <rFont val="Arial"/>
            <family val="2"/>
          </rPr>
          <t>Actividad</t>
        </r>
      </text>
    </comment>
    <comment ref="E5" authorId="0" shapeId="0">
      <text>
        <r>
          <rPr>
            <b/>
            <sz val="9"/>
            <color rgb="FF000000"/>
            <rFont val="Arial"/>
            <family val="2"/>
          </rPr>
          <t>Patricia:</t>
        </r>
        <r>
          <rPr>
            <b/>
            <sz val="9"/>
            <color rgb="FF000000"/>
            <rFont val="Arial"/>
            <family val="2"/>
          </rPr>
          <t xml:space="preserve">
</t>
        </r>
        <r>
          <rPr>
            <sz val="9"/>
            <color rgb="FF000000"/>
            <rFont val="Arial"/>
            <family val="2"/>
          </rPr>
          <t>Tarea</t>
        </r>
      </text>
    </comment>
    <comment ref="F5" authorId="0" shapeId="0">
      <text>
        <r>
          <rPr>
            <b/>
            <sz val="9"/>
            <color rgb="FF000000"/>
            <rFont val="Arial"/>
            <family val="2"/>
          </rPr>
          <t>Patricia:</t>
        </r>
        <r>
          <rPr>
            <b/>
            <sz val="9"/>
            <color rgb="FF000000"/>
            <rFont val="Arial"/>
            <family val="2"/>
          </rPr>
          <t xml:space="preserve">
</t>
        </r>
        <r>
          <rPr>
            <sz val="9"/>
            <color rgb="FF000000"/>
            <rFont val="Arial"/>
            <family val="2"/>
          </rPr>
          <t>Gasto</t>
        </r>
      </text>
    </comment>
  </commentList>
</comments>
</file>

<file path=xl/comments4.xml><?xml version="1.0" encoding="utf-8"?>
<comments xmlns="http://schemas.openxmlformats.org/spreadsheetml/2006/main">
  <authors>
    <author>Patricia Alvarez Domec</author>
  </authors>
  <commentList>
    <comment ref="B22" authorId="0" shapeId="0">
      <text>
        <r>
          <rPr>
            <b/>
            <sz val="9"/>
            <color indexed="81"/>
            <rFont val="Tahoma"/>
            <family val="2"/>
          </rPr>
          <t>Patricia Alvarez Domec:</t>
        </r>
        <r>
          <rPr>
            <sz val="9"/>
            <color indexed="81"/>
            <rFont val="Tahoma"/>
            <family val="2"/>
          </rPr>
          <t xml:space="preserve">
modificamos el monto inicial, dejando mayor el rubro equipamiento porque no estaba claro el alcance de la consultoria de desarrollo</t>
        </r>
      </text>
    </comment>
  </commentList>
</comments>
</file>

<file path=xl/sharedStrings.xml><?xml version="1.0" encoding="utf-8"?>
<sst xmlns="http://schemas.openxmlformats.org/spreadsheetml/2006/main" count="1310" uniqueCount="625">
  <si>
    <t xml:space="preserve">Objetivo del Proyecto: </t>
  </si>
  <si>
    <t>Unidad de Medida</t>
  </si>
  <si>
    <t>Año Línea de Base</t>
  </si>
  <si>
    <t>Meta FDP</t>
  </si>
  <si>
    <t>Año 1</t>
  </si>
  <si>
    <t>Año 2</t>
  </si>
  <si>
    <t>Año 3</t>
  </si>
  <si>
    <t>Año 4</t>
  </si>
  <si>
    <t>Productos</t>
  </si>
  <si>
    <t>Indicadores de Resultado</t>
  </si>
  <si>
    <t>Total</t>
  </si>
  <si>
    <t>USD</t>
  </si>
  <si>
    <t>1.2</t>
  </si>
  <si>
    <t>3.1</t>
  </si>
  <si>
    <t>Medios de Verificación</t>
  </si>
  <si>
    <t>Costos</t>
  </si>
  <si>
    <t>Enero</t>
  </si>
  <si>
    <t>Febrero</t>
  </si>
  <si>
    <t>Marzo</t>
  </si>
  <si>
    <t>Abril</t>
  </si>
  <si>
    <t>Mayo</t>
  </si>
  <si>
    <t>Programas de Prevecion del Delito y la Violencia en cuatro barrios implementados</t>
  </si>
  <si>
    <t>SS</t>
  </si>
  <si>
    <t>Puntos Focales</t>
  </si>
  <si>
    <t>1.2.i. BUD, etc.</t>
  </si>
  <si>
    <t>lSecretario: Eugenio Burzaco</t>
  </si>
  <si>
    <t>lSubsecretario: Darío Oroquieta</t>
  </si>
  <si>
    <r>
      <t>1.1.i. SNIC</t>
    </r>
    <r>
      <rPr>
        <sz val="10"/>
        <color rgb="FF000000"/>
        <rFont val="Calibri"/>
        <family val="2"/>
        <scheme val="minor"/>
      </rPr>
      <t xml:space="preserve"> </t>
    </r>
  </si>
  <si>
    <r>
      <t xml:space="preserve">lDirectora Nacional: </t>
    </r>
    <r>
      <rPr>
        <b/>
        <sz val="10"/>
        <color rgb="FF000000"/>
        <rFont val="Calibri"/>
        <family val="2"/>
        <scheme val="minor"/>
      </rPr>
      <t>Alejandra Monteoliva</t>
    </r>
  </si>
  <si>
    <r>
      <t xml:space="preserve">lDirector: </t>
    </r>
    <r>
      <rPr>
        <b/>
        <sz val="10"/>
        <color rgb="FF000000"/>
        <rFont val="Calibri"/>
        <family val="2"/>
        <scheme val="minor"/>
      </rPr>
      <t>Diego Fleitas</t>
    </r>
  </si>
  <si>
    <t>1.1.ii. ENV</t>
  </si>
  <si>
    <t>1.2.ii. SIPP</t>
  </si>
  <si>
    <t>Secreataría de Seguridad</t>
  </si>
  <si>
    <r>
      <t>l</t>
    </r>
    <r>
      <rPr>
        <sz val="10"/>
        <color rgb="FF000000"/>
        <rFont val="Arial"/>
        <family val="2"/>
      </rPr>
      <t>Secretario: Gerardo Milman</t>
    </r>
  </si>
  <si>
    <r>
      <t>l</t>
    </r>
    <r>
      <rPr>
        <sz val="10"/>
        <color rgb="FF000000"/>
        <rFont val="Arial"/>
        <family val="2"/>
      </rPr>
      <t xml:space="preserve">Subsecretaria: </t>
    </r>
    <r>
      <rPr>
        <b/>
        <sz val="10"/>
        <color rgb="FF000000"/>
        <rFont val="Arial"/>
        <family val="2"/>
      </rPr>
      <t>Mariela Budiño</t>
    </r>
  </si>
  <si>
    <r>
      <t>l</t>
    </r>
    <r>
      <rPr>
        <sz val="10"/>
        <color rgb="FF000000"/>
        <rFont val="Arial"/>
        <family val="2"/>
      </rPr>
      <t xml:space="preserve">Director Nacional: </t>
    </r>
    <r>
      <rPr>
        <b/>
        <sz val="10"/>
        <color rgb="FF000000"/>
        <rFont val="Arial"/>
        <family val="2"/>
      </rPr>
      <t>Nicolás Garcette</t>
    </r>
  </si>
  <si>
    <t>Secretaría de Seguridad Interior</t>
  </si>
  <si>
    <t>Productos / Actividades</t>
  </si>
  <si>
    <t>BID (%)</t>
  </si>
  <si>
    <t>Local (%)</t>
  </si>
  <si>
    <t>Estructura de Campo</t>
  </si>
  <si>
    <t>BIENES</t>
  </si>
  <si>
    <t>Equipos informáticos para el trabajo de campo y el análisis de información</t>
  </si>
  <si>
    <t xml:space="preserve"> </t>
  </si>
  <si>
    <t>Implementación del  Instituto Conjunto de Conducción Estratégica (ICCE)</t>
  </si>
  <si>
    <t>Resp</t>
  </si>
  <si>
    <t>Mejora de calidad y analisis de información delictual</t>
  </si>
  <si>
    <t>C</t>
  </si>
  <si>
    <t>S</t>
  </si>
  <si>
    <t>LA</t>
  </si>
  <si>
    <t>Act</t>
  </si>
  <si>
    <t>Equipamiento logistico para policias de proximidad</t>
  </si>
  <si>
    <t>Fortalecimiento del Programa Barrios Seguros</t>
  </si>
  <si>
    <t>Planes municipales de seguridad</t>
  </si>
  <si>
    <t>Gerenciamiento del Programa</t>
  </si>
  <si>
    <t>Personal y gastos administrativos</t>
  </si>
  <si>
    <t>Supervisión y evaluación</t>
  </si>
  <si>
    <t>%</t>
  </si>
  <si>
    <t xml:space="preserve">Contratación de informes analíticos </t>
  </si>
  <si>
    <t xml:space="preserve">Adquisicion e instalación de equipamiento y software </t>
  </si>
  <si>
    <t>Diseño, equipamiento e instalación de Sala de Situación</t>
  </si>
  <si>
    <t>SS (pasa a SSI)</t>
  </si>
  <si>
    <t>Desarrollo e implementación del Sistema de Actividades y Resultados de las FF (SIAR)</t>
  </si>
  <si>
    <t>Mejora de herramientas existentes para análisis y gestión de la seguridad</t>
  </si>
  <si>
    <t>A</t>
  </si>
  <si>
    <t>Mejora de la formación básica policial (nivel de provincia)</t>
  </si>
  <si>
    <t>Capacitación de docentes e Instructores de Institutos de Formacion Policial de las Provincias</t>
  </si>
  <si>
    <t>Tipo de producto</t>
  </si>
  <si>
    <t>Cantidad</t>
  </si>
  <si>
    <t>Duracion</t>
  </si>
  <si>
    <t>U$S por unidad por mes</t>
  </si>
  <si>
    <t>U$S Total</t>
  </si>
  <si>
    <t>Comentario</t>
  </si>
  <si>
    <t>meses</t>
  </si>
  <si>
    <t>Son 5 diagnósticos, uno para cada departamento y 5 propuestas de modelo de organización, una para cada departamento. Estos modelos deben incluir una propueta básica de observatorio que sea viable en todos los casos. Podría ser una firma que haga todas las cosas</t>
  </si>
  <si>
    <t>Talleres y mesas de trabajo para consulta ciudadana y elaboración de una "carta compromiso de servicios de seguridad" en cada departamento</t>
  </si>
  <si>
    <t>Elaboracion de una guía de recursos municipales para la seguridad (incluye la coordinación de talleres de validación, de talleres barriales de promoción, el diseño, publicación digital e impresión de ejemplares de la guía de recursos)</t>
  </si>
  <si>
    <t>Plan de fortalecimiento, monitoreo y evaluación para un programa en ejecución en cada municipio (incluye diagnóstico sobre el programa)</t>
  </si>
  <si>
    <t>Propuesta de evaluación local sobre el desempeño policial</t>
  </si>
  <si>
    <t>Construcción de la línea de base y diseño de indicadores de impacto para el programa de patrullamiento previsto en el componente 2</t>
  </si>
  <si>
    <t>Elaboración de protocolos de gestión de datos de homicidios y robos (incluye coordinación de talleres de validación). Incluye diagnóstico sobre la producción relevante de información a nivel provincial y municipal, plan de trabajo para la suscripción de acuerdos y elaboración de un manual de funcionamiento interno del observatorio</t>
  </si>
  <si>
    <t xml:space="preserve">Servicio de puesta en valor de las instalaciones en donde funcionan los observatorios </t>
  </si>
  <si>
    <t>Adquisición de equipamiento informático</t>
  </si>
  <si>
    <t>Adquisición de mobiliario</t>
  </si>
  <si>
    <t>Adquisición de publicaciones</t>
  </si>
  <si>
    <t>Adquisición de licencias de software</t>
  </si>
  <si>
    <t>Servicio de diseño de una página web para cada observatorio</t>
  </si>
  <si>
    <t>Cursos de capacitación para los integrantes de los observatorios</t>
  </si>
  <si>
    <t>Capacitación en diseño, implementación y evaluación de programas de seguridad</t>
  </si>
  <si>
    <t>Monitoreo de programas pilotos de reducción de homicidios y de robos en cada departamento</t>
  </si>
  <si>
    <t>TOTAL</t>
  </si>
  <si>
    <t>SSCC</t>
  </si>
  <si>
    <t xml:space="preserve">Mejora de la efectividad policial para prevenir e investigar los delitos y la violencia </t>
  </si>
  <si>
    <t>Mejora de capacidad para una gestión integral de la seguridad</t>
  </si>
  <si>
    <t>Implementaciòn de herramientas para analisis y gestión de la seguridad</t>
  </si>
  <si>
    <t xml:space="preserve">Adquisicion de equipos informáticos para el Sistema Integrado de Información sobre Policías Provinciales </t>
  </si>
  <si>
    <t xml:space="preserve">Capacitaciòn de funcionarios de Provincias con SIPP e indicadores de desempeño </t>
  </si>
  <si>
    <t>Matriz de Resultados</t>
  </si>
  <si>
    <t>Nombre del Organismo Ejecutor:</t>
  </si>
  <si>
    <t>Nº de Solicitud:</t>
  </si>
  <si>
    <t>Fecha:</t>
  </si>
  <si>
    <r>
      <t>PLAN FINANCIERO:  MODELO PARA SOLICITAR ANTICIPOS</t>
    </r>
    <r>
      <rPr>
        <b/>
        <vertAlign val="superscript"/>
        <sz val="15"/>
        <color indexed="8"/>
        <rFont val="Calibri"/>
        <family val="2"/>
      </rPr>
      <t>1</t>
    </r>
  </si>
  <si>
    <t>(en miles, moneda de la operacion)</t>
  </si>
  <si>
    <t>Categoría de inversión</t>
  </si>
  <si>
    <t>FINANCIAMIENTO DEL BANCO</t>
  </si>
  <si>
    <t>Contra-partida local</t>
  </si>
  <si>
    <t>Otras Fuentes</t>
  </si>
  <si>
    <t>Total Proyecto</t>
  </si>
  <si>
    <t>…….etc</t>
  </si>
  <si>
    <t>Nov.</t>
  </si>
  <si>
    <t>Dic.</t>
  </si>
  <si>
    <t>Total BID</t>
  </si>
  <si>
    <t>Categoría 1</t>
  </si>
  <si>
    <t xml:space="preserve">    Actividad 1</t>
  </si>
  <si>
    <t xml:space="preserve">    Actividad 2</t>
  </si>
  <si>
    <t xml:space="preserve">    Actividad 3</t>
  </si>
  <si>
    <t>Categoría 2</t>
  </si>
  <si>
    <t>Categoría 3</t>
  </si>
  <si>
    <t>Total Recursos Requeridos</t>
  </si>
  <si>
    <t>Conciliacion (Desembolsos):</t>
  </si>
  <si>
    <t>Menos: Desembolsos por Pagos Directos ……………………………………………………………………….</t>
  </si>
  <si>
    <t>Menos: Reembolsos al OE………………………………………………………………………………………………..</t>
  </si>
  <si>
    <t>Menos: Otro tipo de desembolso …………………………………………………………………………………..</t>
  </si>
  <si>
    <t>Menos:  Saldo disponible del Anticipo Anterior (ver Nota 2) ……………………………………………</t>
  </si>
  <si>
    <t>= Monto de la Solicitud de Desembolso (Anticipo)</t>
  </si>
  <si>
    <t>Total Anticipo de Fondos Requerido</t>
  </si>
  <si>
    <t>Nota 1:  Se debe claramente indicar el periodo (los meses específicos) que cubre la solicitud del anticipo lo cual no necesariamente coincide con los meses de un mismo año calendario.</t>
  </si>
  <si>
    <t>Nota 2:  En esta linea solamente debe incluir el saldo de anticipo de fondos anterior para el financiamiento requerido y presentado en esta solicitud.</t>
  </si>
  <si>
    <t>Nº del Contrato de Préstamo:</t>
  </si>
  <si>
    <t>L</t>
  </si>
  <si>
    <t>Para solicitud de desembolsos</t>
  </si>
  <si>
    <t>Consultoría</t>
  </si>
  <si>
    <t>Convenio INDEC</t>
  </si>
  <si>
    <t>Capacitacion ENV</t>
  </si>
  <si>
    <t>Movibilidad</t>
  </si>
  <si>
    <t>Otros gastos</t>
  </si>
  <si>
    <t>Tabla de Montos Límites (miles US$) por método de contratación</t>
  </si>
  <si>
    <t>Obras</t>
  </si>
  <si>
    <t>Bienes y Servicios</t>
  </si>
  <si>
    <t>Licitación Pública Internacional</t>
  </si>
  <si>
    <t>Licitación Pública Nacional</t>
  </si>
  <si>
    <t>Comparación de Precios</t>
  </si>
  <si>
    <t>Publicidad Internacional Consultoría</t>
  </si>
  <si>
    <t>Lista Corta       100%</t>
  </si>
  <si>
    <t>Nacional</t>
  </si>
  <si>
    <r>
      <t>&gt;</t>
    </r>
    <r>
      <rPr>
        <sz val="8"/>
        <color rgb="FF000000"/>
        <rFont val="Arial"/>
        <family val="2"/>
      </rPr>
      <t xml:space="preserve"> 25.000.000</t>
    </r>
  </si>
  <si>
    <t>&lt; 25.000.000</t>
  </si>
  <si>
    <r>
      <t>&lt;</t>
    </r>
    <r>
      <rPr>
        <sz val="8"/>
        <color rgb="FF000000"/>
        <rFont val="Arial"/>
        <family val="2"/>
      </rPr>
      <t xml:space="preserve"> 350.000</t>
    </r>
  </si>
  <si>
    <r>
      <t>&gt;</t>
    </r>
    <r>
      <rPr>
        <sz val="8"/>
        <color rgb="FF000000"/>
        <rFont val="Arial"/>
        <family val="2"/>
      </rPr>
      <t xml:space="preserve"> 1.500.000</t>
    </r>
  </si>
  <si>
    <t>&lt; 1.500.000</t>
  </si>
  <si>
    <t>&lt; 100.000</t>
  </si>
  <si>
    <t>&gt;200.000</t>
  </si>
  <si>
    <r>
      <t>&lt;</t>
    </r>
    <r>
      <rPr>
        <sz val="8"/>
        <color rgb="FF000000"/>
        <rFont val="Arial"/>
        <family val="2"/>
      </rPr>
      <t>1.000.000</t>
    </r>
  </si>
  <si>
    <r>
      <t>&gt;</t>
    </r>
    <r>
      <rPr>
        <sz val="8"/>
        <color rgb="FF000000"/>
        <rFont val="Arial"/>
        <family val="2"/>
      </rPr>
      <t>350.000</t>
    </r>
  </si>
  <si>
    <r>
      <t>&gt;</t>
    </r>
    <r>
      <rPr>
        <sz val="8"/>
        <color rgb="FF000000"/>
        <rFont val="Arial"/>
        <family val="2"/>
      </rPr>
      <t>100.000</t>
    </r>
  </si>
  <si>
    <t>LPN</t>
  </si>
  <si>
    <t>1.1. Estadísticas criminales</t>
  </si>
  <si>
    <t>Consultoría de diseño de sistemas de soporte provinciales</t>
  </si>
  <si>
    <t>Adquisición o Desarrollo de Sistema SNIC SAT</t>
  </si>
  <si>
    <t>Adquisición o Desarrollo de Sistemas de Soporte Provinciales</t>
  </si>
  <si>
    <t>Capacitacón</t>
  </si>
  <si>
    <t>Programa de transferencia de equipamientos y software a las provincias</t>
  </si>
  <si>
    <t>1.1.1.1</t>
  </si>
  <si>
    <t>1.1.1.2</t>
  </si>
  <si>
    <t>Actualización del SNIC y del SAT y consolidación de Unidades Primarias de las provincias priorizadas</t>
  </si>
  <si>
    <t>Consultoría de diseño de nueva versión SNIC</t>
  </si>
  <si>
    <t>Consultoría de diseño y desarrollo de nueva versión del SNIC-SAT</t>
  </si>
  <si>
    <t>Rubro</t>
  </si>
  <si>
    <t>Financiamiento BID (en US$)</t>
  </si>
  <si>
    <t>Años</t>
  </si>
  <si>
    <t>Componente 1: Consolidación de los sistemas de información y análisis criminal</t>
  </si>
  <si>
    <t>1.1. Estadísticas Criminales</t>
  </si>
  <si>
    <t>1.1.ii. Encuestas Nacionales de Victimización</t>
  </si>
  <si>
    <t>(a) Diseño y realización de la Encuesta Nacional de Victimización 2018</t>
  </si>
  <si>
    <t>2017-2018</t>
  </si>
  <si>
    <t>Total ´17-´20</t>
  </si>
  <si>
    <t>Estructura de campo</t>
  </si>
  <si>
    <t>ENERO-FEBR</t>
  </si>
  <si>
    <t>Capacitación</t>
  </si>
  <si>
    <t>Gastos de movilidad</t>
  </si>
  <si>
    <t>Adquisición de equipos informáticos y desarrollo de software para el trabajo de campo y el análisis de la información colectada</t>
  </si>
  <si>
    <t>Consultoría para el diseño de un protocolo de derivación de casos de violencia de género identificados por encuestadores</t>
  </si>
  <si>
    <t>50% dic - 50% ene</t>
  </si>
  <si>
    <t>Consultoría para el fortalecimiento de los capítulos sobre violencia familiar y ofensas sexuales</t>
  </si>
  <si>
    <t>Subtotal (a)</t>
  </si>
  <si>
    <t>(b) Diseño y realización de la Encuesta Nacional de Victimización 2019</t>
  </si>
  <si>
    <t>2018-2019</t>
  </si>
  <si>
    <t>Subtotal (b)</t>
  </si>
  <si>
    <t>Total 1.1.ii: (a) + (b)</t>
  </si>
  <si>
    <t>2017-2019</t>
  </si>
  <si>
    <t>1.2.ii: Sistema Integrado de Información sobre Policías Provinciales (SIIP)</t>
  </si>
  <si>
    <t>2017-2020 </t>
  </si>
  <si>
    <t>Consultoría para el desarrollo informático del aplicativo del Sistema Integrado de Información sobre Policías Provinciales (recolección de la información y análisis estadístico)</t>
  </si>
  <si>
    <t>2017-2020</t>
  </si>
  <si>
    <t>Consultoría para la elaboración de un Sistema de Indicadores sobre el desempeño policial y su implementación</t>
  </si>
  <si>
    <t>Capacitación (incluye viajes) y otros</t>
  </si>
  <si>
    <t>Total 1.2.ii</t>
  </si>
  <si>
    <t>Dudas</t>
  </si>
  <si>
    <t xml:space="preserve">Diseño e implementación de la Plataforma Unificada de Datos de Seguridad (PUDS)  </t>
  </si>
  <si>
    <t>Financ. BID</t>
  </si>
  <si>
    <t>Costo total</t>
  </si>
  <si>
    <t>1.2. Análisis de la información criminal y de la gestión de seguridad</t>
  </si>
  <si>
    <t>1.2.i. Sistemas de análisis de datos para la toma de decisiones</t>
  </si>
  <si>
    <t>a)  Desarrollo del Banco Unificado de Datos</t>
  </si>
  <si>
    <t>Consultoría para el diseño banco unificado de datos</t>
  </si>
  <si>
    <t>Adquisición Infraestructura y mobiliario</t>
  </si>
  <si>
    <t>Adquisición Hardware</t>
  </si>
  <si>
    <t>Adquisición Software</t>
  </si>
  <si>
    <t>Costo subtotal</t>
  </si>
  <si>
    <t>b) Desarrollo de un sistema de consolidación de datos sobre recursos, actividades y resultados de las fuerzas federales</t>
  </si>
  <si>
    <t>Adquisición de equipamiento y software</t>
  </si>
  <si>
    <t>c) Sala de Situación</t>
  </si>
  <si>
    <t>Consultoría para el diseño de la Sala</t>
  </si>
  <si>
    <t>Adquisición de Equipamiento e Instalación de la Sala de Situación</t>
  </si>
  <si>
    <t>e)   Herramientas de Análisis y Planeación Operativa</t>
  </si>
  <si>
    <t>Adquisición y/o desarrollo de programas de análisis y datamining</t>
  </si>
  <si>
    <t>f) Desarrollo de un sistema Compstat</t>
  </si>
  <si>
    <t>Consultoría para relevamiento y definición de un Compstat.</t>
  </si>
  <si>
    <t>g) Presupuesto Contingencias</t>
  </si>
  <si>
    <t>1.2.4</t>
  </si>
  <si>
    <t>1.2.1</t>
  </si>
  <si>
    <t>1.2.2</t>
  </si>
  <si>
    <t>1.2.3</t>
  </si>
  <si>
    <t>SUBTOTAL</t>
  </si>
  <si>
    <t>SIAR</t>
  </si>
  <si>
    <t>Original</t>
  </si>
  <si>
    <t>Se sacaron 400</t>
  </si>
  <si>
    <t>se redujo USD 400.0000 para agregar en SNIC</t>
  </si>
  <si>
    <t>3.1. Programas municipales de seguridad</t>
  </si>
  <si>
    <t xml:space="preserve">3.1.1. Procesos de formulación e implementación de programas de seguridad a nivel subnacional </t>
  </si>
  <si>
    <t>3.1.2. Creación o fortalecimiento de observatorios sobre  conflictividad local, violencias y delitos</t>
  </si>
  <si>
    <t>???</t>
  </si>
  <si>
    <t>que diferencia tiene con 3.1.3???</t>
  </si>
  <si>
    <t>Diagnóstico sobre la organización y existencia de programas de seguridad de cada departamento y propuesta de modelo de organización departamental</t>
  </si>
  <si>
    <t>3.1.3. Diseño y asistencia en la implementación de un programa piloto de seguridad local</t>
  </si>
  <si>
    <t>Mejorar un Programa pre existente</t>
  </si>
  <si>
    <t>Patrullamiento</t>
  </si>
  <si>
    <t>Diseño y asistencia en la implementación de un programa piloto de reducción de  robos (incluye diagnóstico,  coordinación de mesas de análisis y de talleres de diseño participativo)</t>
  </si>
  <si>
    <t>sacamos homicidios para no mezclar con Barrios Seguros</t>
  </si>
  <si>
    <t>DETALLE DESAGREGADO EN FUNCION DEL VALOR DE PRESTAMO ASIGNADO EN USD 6.400.000</t>
  </si>
  <si>
    <t>Sub - Componentes</t>
  </si>
  <si>
    <t>Artículo</t>
  </si>
  <si>
    <t>Valor</t>
  </si>
  <si>
    <t>Sub Valores por categoria</t>
  </si>
  <si>
    <t>1) Mejoramiento de equipamiento logistico para policias de proximidad</t>
  </si>
  <si>
    <t>Motos (10 por barrio. 40 en total)</t>
  </si>
  <si>
    <t>Cámaras GO PRO (X 400 unidades en total)</t>
  </si>
  <si>
    <t>Computadores (5 por barrio)</t>
  </si>
  <si>
    <t>Impresoras (10 en total)</t>
  </si>
  <si>
    <t>pendiente cotizar: Cocina de campaña (2), Equipos Morpho Rap ID, Equipos de comunicación portátiles (geoposicionamiento-geolocalización).</t>
  </si>
  <si>
    <t>2) Modulo de abordaje</t>
  </si>
  <si>
    <t>Containers Blindados - 3 por barrio - Valor unitario USD 125000</t>
  </si>
  <si>
    <t>3) Acciones en prevencion situacional</t>
  </si>
  <si>
    <t>Cesped: (x 5 espacios)</t>
  </si>
  <si>
    <t>Colocación Cesped: (x 5)</t>
  </si>
  <si>
    <t>Arcos (x5 combos)</t>
  </si>
  <si>
    <t>Postes</t>
  </si>
  <si>
    <t>Instalacion de Luminarias LED - Alumbrado publico</t>
  </si>
  <si>
    <t>Elementos para grafiti (pinturas - profesional especializado)</t>
  </si>
  <si>
    <t>Embellecimiento de espacios públicos emblemáticos del barrio (Elementos de pintura, pinceles, etc.)</t>
  </si>
  <si>
    <t>4) Implementacion de Programas de Prevecion del Delito y la Violencia en cuatro barrios seleccionados</t>
  </si>
  <si>
    <t>Compra de Alimentos y Bebidas</t>
  </si>
  <si>
    <t>Compra de Elementos Deportivos</t>
  </si>
  <si>
    <t>Compra de Materiales gráficos (Manuales-Banners-Folletería)</t>
  </si>
  <si>
    <t>Compra de Elementos de Audio</t>
  </si>
  <si>
    <t>Actividades/Programas/Talleres con Organizaciones Comunitarias</t>
  </si>
  <si>
    <t>Pasajes/viaticos de personal (USD 150,000 Anual)</t>
  </si>
  <si>
    <t>Transferencias organizaciones intermedias, universidades / empresas sociales (en barrios por 4 años)</t>
  </si>
  <si>
    <t>Recursos Humanos</t>
  </si>
  <si>
    <t>(del tipo de espacios recreativos y deportivos, mejoras de espacios publicos, pintura, iluminación y/o limpieza)</t>
  </si>
  <si>
    <t>Gestión estratégica y planificación de la seguridad</t>
  </si>
  <si>
    <t>TIPO DE PRODUCTO</t>
    <phoneticPr fontId="7" type="noConversion"/>
  </si>
  <si>
    <t>CANTIDAD</t>
    <phoneticPr fontId="7" type="noConversion"/>
  </si>
  <si>
    <t>PRECIO UNITARIO</t>
    <phoneticPr fontId="7" type="noConversion"/>
  </si>
  <si>
    <t>U$S</t>
    <phoneticPr fontId="7" type="noConversion"/>
  </si>
  <si>
    <t>Diagnóstico sobre la organización y programas de seguridad de cada departamento y propuesta de modelo de organización departamental, que incluya la articulación interjurisdiccional</t>
    <phoneticPr fontId="7" type="noConversion"/>
  </si>
  <si>
    <t>CONSULTORÍA</t>
  </si>
  <si>
    <t>Elaboración de una carta compromiso de servicios de seguridad (incluye la coordinación de mesas de trabajo y de talleres)</t>
  </si>
  <si>
    <t>CONSULTORIA</t>
  </si>
  <si>
    <t>Capacitación en diseño, implementación y evaluación de programas de seguridad</t>
    <phoneticPr fontId="7" type="noConversion"/>
  </si>
  <si>
    <t>viene de 3.1.3</t>
  </si>
  <si>
    <t>Capacitación en estrategias de patrullamiento policial focalizada en hot spot policing a funcionarios y equipos provinciales.</t>
  </si>
  <si>
    <t>CONSULTORIA</t>
    <phoneticPr fontId="7" type="noConversion"/>
  </si>
  <si>
    <t>nuevo</t>
  </si>
  <si>
    <t>Construcción de la línea de base, diseño de indicadores de impacto y asistencia en la implementación de una programa piloto de patrullamiento policial basado en puntos calientes entre el nivel local y el nivel provincial.</t>
    <phoneticPr fontId="7" type="noConversion"/>
  </si>
  <si>
    <t>aumentó monto</t>
  </si>
  <si>
    <t>Fortalecimiento policial provincial y apoyo logístico hacia las provincias involucradas, para la implementación de un programa piloto de patrullamiento policial basado en puntos calientes</t>
  </si>
  <si>
    <t>BIENES</t>
    <phoneticPr fontId="7" type="noConversion"/>
  </si>
  <si>
    <t>Diseño y asistencia en la implementación de un programa piloto de reducción de homicidios y de un programa piloto de reducción de robos (incluye diagnóstico, coordinación de mesas de análisis y de talleres de diseño participativo)</t>
  </si>
  <si>
    <t>sacamos homicidios??</t>
  </si>
  <si>
    <t>Diagnóstico, fortalecimiento y propuesta de plan de monitoreo y evaluación para un programa de seguridad en ejecución en cada municipio</t>
    <phoneticPr fontId="7" type="noConversion"/>
  </si>
  <si>
    <t>baja monto - ra 700M</t>
  </si>
  <si>
    <t>baja monto</t>
  </si>
  <si>
    <t>igual</t>
  </si>
  <si>
    <t>aumentó monto. Mas horas de curso para las mismas personas</t>
  </si>
  <si>
    <t>Gastos Operativos</t>
  </si>
  <si>
    <t># de Analistas</t>
  </si>
  <si>
    <t># de encuestas</t>
  </si>
  <si>
    <t># sala de situación</t>
  </si>
  <si>
    <t># de unidades secundarias</t>
  </si>
  <si>
    <t>Analistas de unidades primarias del SNIC, entrenados en análisis criminal/hot spots/POP.</t>
  </si>
  <si>
    <t>Encuesta Nacional de Victimización (ENV) desagregada a nivel provincial, realizada.</t>
  </si>
  <si>
    <t>1.1.1</t>
  </si>
  <si>
    <t>Herramientas informáticas para análisis y gestión de la seguridad desarrolladas</t>
  </si>
  <si>
    <t># herramientas informáticas</t>
  </si>
  <si>
    <t>PUDS, ComStat y SIAR</t>
  </si>
  <si>
    <t># jurisdicciones</t>
  </si>
  <si>
    <t># de sistema</t>
  </si>
  <si>
    <t>1.1.2</t>
  </si>
  <si>
    <t>Instituto Conjunto de Conducción Estratégica (ICCE) construido, y en funcionamiento</t>
  </si>
  <si>
    <t>(incluyendo oficinas, aulas, auditorio y biblioteca)</t>
  </si>
  <si>
    <t xml:space="preserve">% de avance de obra de ICCE </t>
  </si>
  <si>
    <t># funcionarios de alto rango</t>
  </si>
  <si>
    <t># docentes</t>
  </si>
  <si>
    <t xml:space="preserve">Mejora de procesos de formulación y asistencia en la implementación de programas de seguridad a nivel subnacional </t>
  </si>
  <si>
    <t>Creación o fortalecimiento de observatorios sobre conflictividad local, violencias y delitos</t>
  </si>
  <si>
    <t># de UPB</t>
  </si>
  <si>
    <t>Unidades de Prevención Barrial (UPB) instaladas en nuevos Barrios Seguros</t>
  </si>
  <si>
    <t xml:space="preserve"> (containers, uniformes, equipo de comunicación, computadora, cocina de campaña, vehículo).</t>
  </si>
  <si>
    <t>Programas de prevención de delito y violencia implementados</t>
  </si>
  <si>
    <t># programas</t>
  </si>
  <si>
    <t>Observatorios sobre conflictividad local, violencias y delitos creados o fortalecidos</t>
  </si>
  <si>
    <t># de observatorios</t>
  </si>
  <si>
    <t># de provincias</t>
  </si>
  <si>
    <t>Capacitacion de miembros de las FFSS, Policías Provinciales y funcionarios</t>
  </si>
  <si>
    <t>Contrucción y habilitación de edificio del Instituto Conjunto de Conducción Estratégica (ICCE)</t>
  </si>
  <si>
    <t>2.1</t>
  </si>
  <si>
    <t>Sala de Situación, equipada, construida y en funcionamiento.</t>
  </si>
  <si>
    <t>Línea de Base</t>
  </si>
  <si>
    <t>Docentes e instructores de Institutos de Formación Policial Provinciales capacitados en nueva currícula básica de formación policial</t>
  </si>
  <si>
    <t>ARGENTINA – Programa de Seguridad Ciudadana</t>
  </si>
  <si>
    <t>Proyecto (Código)</t>
  </si>
  <si>
    <t>PLAN DE EJECUCIÓN DEL PROYECTO (PEP) 5 AÑOS</t>
  </si>
  <si>
    <t>Montos totales del Proyecto</t>
  </si>
  <si>
    <t>Forma de calculo</t>
  </si>
  <si>
    <t>Distribución anual fondos BID</t>
  </si>
  <si>
    <t>Verificador</t>
  </si>
  <si>
    <t>Gantt</t>
  </si>
  <si>
    <t>T</t>
  </si>
  <si>
    <t>G</t>
  </si>
  <si>
    <t>Actividades</t>
  </si>
  <si>
    <t>Costo BID en USD</t>
  </si>
  <si>
    <t>Costo Local en USD</t>
  </si>
  <si>
    <t>Total USD</t>
  </si>
  <si>
    <t>Tipo Gasto</t>
  </si>
  <si>
    <t>Inicio</t>
  </si>
  <si>
    <t>Fin</t>
  </si>
  <si>
    <t>Duración meses</t>
  </si>
  <si>
    <t>#</t>
  </si>
  <si>
    <t>Monto mensual</t>
  </si>
  <si>
    <t>Año 1 – Fondos BID</t>
  </si>
  <si>
    <t>Año 2 – Fondos BID</t>
  </si>
  <si>
    <t>Año 3 – Fondos BID</t>
  </si>
  <si>
    <t>Año 4 – Fondos BID</t>
  </si>
  <si>
    <t>Año 5 – Fondos BID</t>
  </si>
  <si>
    <t>2016 - I</t>
  </si>
  <si>
    <t>2016-II</t>
  </si>
  <si>
    <t>2017-I</t>
  </si>
  <si>
    <t>2017-II</t>
  </si>
  <si>
    <t>2018 - I</t>
  </si>
  <si>
    <t>2018 - II</t>
  </si>
  <si>
    <t>2019 - I</t>
  </si>
  <si>
    <t>2019 - II</t>
  </si>
  <si>
    <t>2020 - I</t>
  </si>
  <si>
    <t>2020 - II</t>
  </si>
  <si>
    <t>Componente 3 – Fortalecer la gestión local de la seguridad</t>
  </si>
  <si>
    <t>Subcomponente 3.2 - Fortalecer la implementación del Programa "Barrios Seguros" en barrios con altos niveles de homicidios</t>
  </si>
  <si>
    <t>Línea de Acción 3.2.1 - Prevención de factores de riesgo de violencia en la primera infancia (Nurse-family partnerships)</t>
  </si>
  <si>
    <t>Actividad 3.2.1.1 –  Implementación de Nurse-Family Partnership en 5 barrios (100 familias por barrio), para niños de 0 a 2 años</t>
  </si>
  <si>
    <t>Capacitación de 5 equipos de 4 enfermeras cada uno</t>
  </si>
  <si>
    <t>Arriendo de salones para capacitación</t>
  </si>
  <si>
    <t>Servicios de cafetería y almuerzo para profesionales y técnicos capacitados</t>
  </si>
  <si>
    <t>Honorarios supervisores (2 en total)</t>
  </si>
  <si>
    <t>Honorarios enfermeras (20 en total, jornada completa, renta USD$1300)</t>
  </si>
  <si>
    <t>Viajes para supervisión y capacitación</t>
  </si>
  <si>
    <t>Monitoreo y control de calidad</t>
  </si>
  <si>
    <t>Capacitación inicial y materiales escritos para la aplicación del modelo, para 30 profesionales o técnicos por barrio</t>
  </si>
  <si>
    <t>Capacitación inicial de 5 profesionales operadoras + 10 staff profesional de Gobierno</t>
  </si>
  <si>
    <t>Capacitación inicial de 10 profesionales operadores</t>
  </si>
  <si>
    <t>Honorarios psicólogos talleres cognitivo-conductual (5 en total, media jornada completa, renta USD$1000)</t>
  </si>
  <si>
    <t>Honorarios profesores educación física o entrenadores deportivos (5 en total, media jornada, renta USD$800)</t>
  </si>
  <si>
    <t>Implementos deportivos (cupo USD$20 p/p para 300 usuarios por barrio)</t>
  </si>
  <si>
    <t>Raciones alimenticias para los participantes (USD 2 c/u, 2 p/semana)</t>
  </si>
  <si>
    <t>Componente #1: Mejora de calidad y análisis de información policial</t>
  </si>
  <si>
    <t>Componente #2: Mejora de la efectividad policial para prevenir e investigar delitos y violencia</t>
  </si>
  <si>
    <t>Componente #3: Mejora de capacidad para una gestión integral de la seguridad</t>
  </si>
  <si>
    <t>El objetivo general del Programa es contribuir a mejorar la efectividad del Ministerio de Seguridad de Nación y de  los gobiernos subnacionales para reducir robos y homicidios dolosos en Argentina.
Los objetivos específicos son contribuir a mejorar la efectividad del MINSEG, las fuerzas federales, policías provinciales y gobiernos municipales para reducir (i) robos y (ii) homicidios dolosos en 6 departamentos priorizados: Morón y Tres de Febrero (Provincia de Buenos Aires), Santa Fe de la Vera Cruz (Santa Fe), Córdoba Capital (Córdoba), Las Heras (Mendoza) y Comuna 7 – Bajo Flores (Ciudad Autónoma de Buenos Aires).</t>
  </si>
  <si>
    <t>Porcentaje de individuos que responden afirmativamente</t>
  </si>
  <si>
    <t>9,2[1]</t>
  </si>
  <si>
    <t>Número de registros</t>
  </si>
  <si>
    <t>Objetivo específico 1. 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t>
  </si>
  <si>
    <t xml:space="preserve">R1.2.  Robos denunciados sobre robos declarados en ENV </t>
  </si>
  <si>
    <t>35%[2]</t>
  </si>
  <si>
    <t xml:space="preserve">R1.3. Esclarecimiento de robos en un período de un año a partir de su ocurrencia </t>
  </si>
  <si>
    <t>XXX</t>
  </si>
  <si>
    <t xml:space="preserve">R1.4 Población que dice tener mucha o algo de confianza en la policía </t>
  </si>
  <si>
    <t>34%[3]</t>
  </si>
  <si>
    <t>ENV (MINSEG-INDEC)</t>
  </si>
  <si>
    <t>LAPOP o ENV (MINSEG-INDEC)</t>
  </si>
  <si>
    <t>Comentarios</t>
  </si>
  <si>
    <t>Objetivo específico 2. Contribuir a mejorar la efectividad del MINSEG, las fuerzas federales, policías provinciales y gobiernos municipales para reducir homicidios dolosos en 6 de los 38 departamentos elegibles de las 5 jurisdicciones priorizadas: Morón y Tres de Febrero (Provincia de Buenos Aires), Santa Fe de la Vera Cruz (Santa Fe), Córdoba Capital (Córdoba), Las Heras (Mendoza) y Comuna 7 – Bajo Flores (Ciudad Autónoma de Buenos Aires).</t>
  </si>
  <si>
    <t>R.2.1. Tasa de homicidios en los últimos 12 meses en los 6 departamentos del programa</t>
  </si>
  <si>
    <t>Morón: 6,8
Tres de Febrero: 8,7
Santa Fe de la Vera Cruz:19,7
Córdoba Capital: 6,4
Las Heras: 16,7
Comuna 7–Bajo Flores: 15,9</t>
  </si>
  <si>
    <t>SNIC, MINSEG</t>
  </si>
  <si>
    <t xml:space="preserve">R2.2. Casos de homicidios resueltos (con autor identificado) en las 5 jurisdicciones priorizadas </t>
  </si>
  <si>
    <t>PBA: 85,2%
Santa Fe: 63,7%
CABA: 85% (sexo)
Córdoba: ?
Mendoza: ?</t>
  </si>
  <si>
    <t>Ministerio Público Fiscal (PBA); Ministerio Público de la Acusación (Santa Fe); Consejo de la Magistratura (CABA)
Informes SNIC-SAT; informes provinciales</t>
  </si>
  <si>
    <t>Realización de estudios específicos sobre seguridad ciudadana</t>
  </si>
  <si>
    <t># Prod</t>
  </si>
  <si>
    <t>Linea</t>
  </si>
  <si>
    <t>Nueva versión del SNIC desarrollada y en funcionamiento.</t>
  </si>
  <si>
    <t>Unidades secundarias policiales del SNIC equipadas (hardware y software actualizado) y en funcionamiento.</t>
  </si>
  <si>
    <t>Aplicativo del SIIPP desarrollado y en funcionamiento.</t>
  </si>
  <si>
    <t>Informes generados por la nueva versión del SNIC</t>
  </si>
  <si>
    <t>Actas de recepción de los equipos</t>
  </si>
  <si>
    <t>Informe y listas de participación de las capacitaciones</t>
  </si>
  <si>
    <t>Informes generados por aplicativo del SIIP</t>
  </si>
  <si>
    <t>Sistema</t>
  </si>
  <si>
    <t># aplicativo</t>
  </si>
  <si>
    <r>
      <t xml:space="preserve">R1.1 Población de 15 años o más que sufrió un robo en los últimos 12 meses en los 6 departamentos del programa </t>
    </r>
    <r>
      <rPr>
        <sz val="11"/>
        <rFont val="Arial"/>
        <family val="2"/>
      </rPr>
      <t xml:space="preserve"> </t>
    </r>
    <r>
      <rPr>
        <sz val="11"/>
        <color rgb="FF222222"/>
        <rFont val="Arial"/>
        <family val="2"/>
      </rPr>
      <t xml:space="preserve"> </t>
    </r>
  </si>
  <si>
    <t>Categorìa Adquisicion</t>
  </si>
  <si>
    <t>Bienes</t>
  </si>
  <si>
    <t>Consultoría de capacitación de unidades primarias del SNIC-SAT en analisis criminal, técnicas de policiamiento (Hot spot y POP) y SIG</t>
  </si>
  <si>
    <t>Consultoría Firmas</t>
  </si>
  <si>
    <t xml:space="preserve">Elaboración e implementación de un sistema de indicadores sobre desempeño policial </t>
  </si>
  <si>
    <t>BID %</t>
  </si>
  <si>
    <t>Local %</t>
  </si>
  <si>
    <t>Consultoría para desarrollo del sistema SIAR</t>
  </si>
  <si>
    <t>Capacitación en el uso deherramientas de datamining.</t>
  </si>
  <si>
    <t>Imprevistos</t>
  </si>
  <si>
    <t>Adquisición de equipamiento y software para Compstat</t>
  </si>
  <si>
    <t>Capacitación para utilización de compstat</t>
  </si>
  <si>
    <t>Obra</t>
  </si>
  <si>
    <t>Consultoría Individual</t>
  </si>
  <si>
    <t>Diseño e impresión de materiales didácticos para capacitacion</t>
  </si>
  <si>
    <t>Consultoría para capacitación sobre identificación y derivación de situaciones violencia de género, familiar y ofensas sexuales</t>
  </si>
  <si>
    <t>Método</t>
  </si>
  <si>
    <t>Tipo Revisión</t>
  </si>
  <si>
    <t>Sistema Nacional</t>
  </si>
  <si>
    <t>Expost</t>
  </si>
  <si>
    <t>expost</t>
  </si>
  <si>
    <t>SBCC</t>
  </si>
  <si>
    <t>CC</t>
  </si>
  <si>
    <t>Consultorías para diagnóstico, propuesta de modelo de organización y elaboración de guía de recursos, en cada departamento priorizado</t>
  </si>
  <si>
    <t>Capacitación de funcionarios y equipos técnicos provinciales en metodologías de diseño, implementación y evaluacion de programas de seguridad, y en estrategias de patrullamiento basado en hot spot policing.</t>
  </si>
  <si>
    <t>Consultorías de apoyo al diseño e implementación de programas piloto</t>
  </si>
  <si>
    <t>Consultoría para desarrollo de propuestas de evaluación local sobre el desempeño policial en cada departamento priorizado</t>
  </si>
  <si>
    <t>3.1.1</t>
  </si>
  <si>
    <t>Programas municipales de seguridad</t>
  </si>
  <si>
    <t xml:space="preserve">Procesos de formulación y asistencia en la implementación de programas de seguridad a nivel subnacional </t>
  </si>
  <si>
    <t>3.1.1.1</t>
  </si>
  <si>
    <t>3.1.1.2</t>
  </si>
  <si>
    <t>3.1.1.3</t>
  </si>
  <si>
    <t>3.1.1.4</t>
  </si>
  <si>
    <t>3.1.2</t>
  </si>
  <si>
    <t>Adquisición de equipamiento, mobiliario y materiales para los observatorios</t>
  </si>
  <si>
    <t>3.1.2.2</t>
  </si>
  <si>
    <t>3.1.2.1</t>
  </si>
  <si>
    <t>3.1.2.3</t>
  </si>
  <si>
    <t>Diseño e implementación de cursos de capacitación para los integrantes de los observatorios</t>
  </si>
  <si>
    <t>Consultorías de elaboración de protocolos de gestión de datos de homicidios y robos en los departamentos priorizados</t>
  </si>
  <si>
    <t xml:space="preserve"> (incluye coordinación de talleres de validación y diagnóstico sobre la producción relevante de información a nivel provincial y municipal, plan de trabajo para la suscripción de acuerdos y elaboración de un manual de funcionamiento interno del observatorio)</t>
  </si>
  <si>
    <t>3.1.2.4</t>
  </si>
  <si>
    <t>3.1.2.5</t>
  </si>
  <si>
    <t>CD</t>
  </si>
  <si>
    <t>CP</t>
  </si>
  <si>
    <t>Inicio Llamado</t>
  </si>
  <si>
    <t>Duración Proceso Adq</t>
  </si>
  <si>
    <t>Inicio Ejecución</t>
  </si>
  <si>
    <t>Fin Ejecución</t>
  </si>
  <si>
    <t>3 meses</t>
  </si>
  <si>
    <t>se cambió la distribución…</t>
  </si>
  <si>
    <t>Solo equipamiento? Hay Consultorias? Asumimos que es solo equipamiento</t>
  </si>
  <si>
    <r>
      <t xml:space="preserve">Equipamiento (adquisición de equipos informáticos, </t>
    </r>
    <r>
      <rPr>
        <sz val="11"/>
        <color rgb="FFFF0000"/>
        <rFont val="Calibri"/>
        <family val="2"/>
      </rPr>
      <t>desarrollo de software</t>
    </r>
    <r>
      <rPr>
        <sz val="11"/>
        <color rgb="FF00000A"/>
        <rFont val="Calibri"/>
        <family val="2"/>
      </rPr>
      <t>)</t>
    </r>
  </si>
  <si>
    <t>exante</t>
  </si>
  <si>
    <t>cambiamos distribucion</t>
  </si>
  <si>
    <t xml:space="preserve">Desarrollo y/o adquisicion de sistema de Compstat y Datamining </t>
  </si>
  <si>
    <t>Convenio para implementación de ENV 2018-2019</t>
  </si>
  <si>
    <t>Consultores Individuales</t>
  </si>
  <si>
    <t>Concurso de ofertas para diseño de edificio ICCE</t>
  </si>
  <si>
    <t>Distribución anual fondos Aporte Local</t>
  </si>
  <si>
    <t>Equipo de gestión operativa</t>
  </si>
  <si>
    <t>Consultores asesoramiento técnico</t>
  </si>
  <si>
    <t>Adquisición e instalación de equipamiento tecnológico y de materiales de conocimiento (journals, libros, traducciones)</t>
  </si>
  <si>
    <t>Fortalecimiento de la información policial</t>
  </si>
  <si>
    <t>Partidas</t>
  </si>
  <si>
    <t>Tiempo (meses)</t>
  </si>
  <si>
    <t>Partida Consultoría</t>
  </si>
  <si>
    <t>2 meses - 1 Consultor</t>
  </si>
  <si>
    <t>6 meses - 1 Consultor</t>
  </si>
  <si>
    <t>Total Partida Consultoría</t>
  </si>
  <si>
    <t>Partida Capacitación</t>
  </si>
  <si>
    <t>Subpartida - Docentes e Instructores de Institutos de Formacion Policial de las Provincias</t>
  </si>
  <si>
    <t>Costo Fijo</t>
  </si>
  <si>
    <t>Subpartida - Diseño e Insumos Materiales Didacticos</t>
  </si>
  <si>
    <t>Subpartida - Viajes de Intercambio Academico y Acuerdos</t>
  </si>
  <si>
    <t>Total Partida Capacitación</t>
  </si>
  <si>
    <t>Total Presupuesto</t>
  </si>
  <si>
    <t>Financiacion BID USD</t>
  </si>
  <si>
    <t>Financiacion BID ARS</t>
  </si>
  <si>
    <t>Resto presupuesto</t>
  </si>
  <si>
    <t>Consultoría relevamiento y definición de indicadores estadísticos nacionales - Agentes de calle</t>
  </si>
  <si>
    <t>Consultoría relevamiento y definición de indicadores estadísticos nacionales - Oficiales Policias Provinciales</t>
  </si>
  <si>
    <t>Consultoría relevamiento y analisis comparativo internacional - Sistemas de formación Agentes de Calle</t>
  </si>
  <si>
    <t>Consultoría relevamiento y analisis comparativo internacional - Sistemas de formación Oficiales Provinciales</t>
  </si>
  <si>
    <t>Consultoría para Definición de perfiles y diseños curriculares por competencias</t>
  </si>
  <si>
    <t>Analisis de demanda de formación y capacitación policial.</t>
  </si>
  <si>
    <t>Juntar todo en una firma</t>
  </si>
  <si>
    <t>Consultoría firmas</t>
  </si>
  <si>
    <t>Consultoría para la generación de isumos para la curricula básica de formación e indicadores estadísticos nacionales</t>
  </si>
  <si>
    <t>++</t>
  </si>
  <si>
    <t>Modulo de integridad policial</t>
  </si>
  <si>
    <t>Incluye relevamiento de encuesta + Desarrollo de software y adquisicion de equipos informáticos para la recolección y análisis de la ENV + Capacitacion de encuestadores)</t>
  </si>
  <si>
    <t>Consultoría para diseño módulo sobre identidad, ética e integridad policial</t>
  </si>
  <si>
    <t>3.1.1.5</t>
  </si>
  <si>
    <t>Sistema de indicadores sobre el desempeño policial, desarrollado y en funcionamiento.</t>
  </si>
  <si>
    <t>Funcionarios capacitados en cursos dictados por el ICCE.</t>
  </si>
  <si>
    <t>Provincias fortalecidas en sus procesos de formulación y monitoreo de programas de seguridad mediante capacitación y acompañamiento técnico.</t>
  </si>
  <si>
    <r>
      <rPr>
        <strike/>
        <sz val="9"/>
        <color rgb="FF000000"/>
        <rFont val="Calibri"/>
        <family val="2"/>
      </rPr>
      <t>Honorarios profesionales</t>
    </r>
    <r>
      <rPr>
        <sz val="9"/>
        <color rgb="FF000000"/>
        <rFont val="Calibri"/>
        <family val="2"/>
      </rPr>
      <t xml:space="preserve"> Consultorías para prevención de violencia (5 en total, jornada completa, renta USD$1800)</t>
    </r>
  </si>
  <si>
    <t>Programa de prevención de la violencia contra la mujer (SASA!) en 5 barrios</t>
  </si>
  <si>
    <t>Programa de prevención de factores de riesgo de violencia en niños de 2 a 11 años (Triple P) en 5 barrios</t>
  </si>
  <si>
    <t>Programa de prevención de la violencia en adolescentes de 11 a 17 años (Becoming a man - BAM Sports Edition) en 5 barrios</t>
  </si>
  <si>
    <t>Programa de prevención del delito mediante reconversión laboral</t>
  </si>
  <si>
    <t>Talleres de capacitación en oficios</t>
  </si>
  <si>
    <t>% Prioridad</t>
  </si>
  <si>
    <t>Columna1</t>
  </si>
  <si>
    <t>1) Mejoramiento de equipamiento logistico para policías de proximidad</t>
  </si>
  <si>
    <t>Vehículos</t>
  </si>
  <si>
    <t>Equipamiento policial (Cámaras policiales TAMCE PX-22, Cocina de campaña, Equipos Morpho Rap ID, Equipos de comunicación portátiles)</t>
  </si>
  <si>
    <t>Equipamiento informático</t>
  </si>
  <si>
    <t>2) Acciones en prevención situacional</t>
  </si>
  <si>
    <t>Equipamiento Comunitario</t>
  </si>
  <si>
    <t>Mejoramiento Espacio Público</t>
  </si>
  <si>
    <t>3) Implementación de Programas de Prevecion del Delito y la Violencia en cinco barrios seleccionados</t>
  </si>
  <si>
    <t>Acciones culturales y deportivas de acercamiento de las Fuerzas de Seguridad a la Comunidad en cinco barrios</t>
  </si>
  <si>
    <t>Programa Remo y Conductor Náutico</t>
  </si>
  <si>
    <t>Elementos Deportivos</t>
  </si>
  <si>
    <t>Jornadas interfuerzas</t>
  </si>
  <si>
    <t>Talleres de capacitación en oficios en cinco barrios</t>
  </si>
  <si>
    <t>Materiales/equipos para operacionalizar los talleres</t>
  </si>
  <si>
    <t>Recursos Humanos (2 talleristas p/barrio a USD 1500 c/u)</t>
  </si>
  <si>
    <t>Aula Móvil (Rotulación, Fletes, Seguros)</t>
  </si>
  <si>
    <t>Viandas</t>
  </si>
  <si>
    <t>Implementación de Triple P en 5 barrios</t>
  </si>
  <si>
    <t>Alquiler de salones para capacitación</t>
  </si>
  <si>
    <t>Publicidad</t>
  </si>
  <si>
    <t>Implementación de SASA! en 5 barrios</t>
  </si>
  <si>
    <t>Materiales de trabajo</t>
  </si>
  <si>
    <t>Honorarios profesionales ejecutoras (5 en total, media jornada, renta USD$1600)</t>
  </si>
  <si>
    <t>Implementación de BAM en 5 barrios</t>
  </si>
  <si>
    <t>Honorarios psicólogos talleres cognitivo-conductual (5 en total, media jornada completa, renta USD$1300)</t>
  </si>
  <si>
    <t>Honorarios profesores educación física o entrenadores deportivos (5 en total, media jornada, renta USD$1000)</t>
  </si>
  <si>
    <t xml:space="preserve">Implementos deportivos </t>
  </si>
  <si>
    <t xml:space="preserve">Raciones alimenticias para los participantes </t>
  </si>
  <si>
    <t>Montos USD</t>
  </si>
  <si>
    <t>Intervenciones de prevención situacional</t>
  </si>
  <si>
    <t>Categoría</t>
  </si>
  <si>
    <t>BID</t>
  </si>
  <si>
    <t>Aporte Local</t>
  </si>
  <si>
    <t xml:space="preserve">Componente 1. </t>
  </si>
  <si>
    <t>Componente 2.</t>
  </si>
  <si>
    <t xml:space="preserve">Componente 3. </t>
  </si>
  <si>
    <t>Administración y Evaluaciones</t>
  </si>
  <si>
    <t>PRESUPUESTO DETALLADO</t>
  </si>
  <si>
    <t>ARGENTINA
PROGRAMA FEDERAL DE SEGURIDAD 
(AR-L1255)</t>
  </si>
  <si>
    <t>Total US$</t>
  </si>
  <si>
    <t>Jurisdicciones priorizadas capacitadas y con tecnología (hardware y software) para SIIPP adquirida, instalada y en funcionamiento</t>
  </si>
  <si>
    <t xml:space="preserve">Informe y listas de participación de las capacitacionesInformes de Monitoreo
Actas de recepción de los equipos
</t>
  </si>
  <si>
    <t xml:space="preserve">Informes generados por el nuevo sistema </t>
  </si>
  <si>
    <t>Informes generados por nuevas herramientas</t>
  </si>
  <si>
    <t>Actas de recepción de la sala y de los equipos</t>
  </si>
  <si>
    <t>Informes de las encuestas</t>
  </si>
  <si>
    <t>Actas de recepción del instituto</t>
  </si>
  <si>
    <t>Informe y listas de participación de las capacitaciones del ICCE</t>
  </si>
  <si>
    <t>Estudios específicos sobre seguridad ciudadana realizados</t>
  </si>
  <si>
    <t># estudios</t>
  </si>
  <si>
    <t>Informes de Monitoreo</t>
  </si>
  <si>
    <t xml:space="preserve">Informe y listas de participación de las capacitaciones </t>
  </si>
  <si>
    <t>Actas de recepción de los equipos 
Informes de violencias y de delitos</t>
  </si>
  <si>
    <t>Actas de recepción/entrega de las UPB</t>
  </si>
  <si>
    <t>Acta de recepción de las obras</t>
  </si>
  <si>
    <t>Encuesta Nacional de Victimización</t>
  </si>
  <si>
    <t>Construcción de edificio central del ICCE</t>
  </si>
  <si>
    <t>Dictado de cursos del ICCE</t>
  </si>
  <si>
    <t>Comp 1</t>
  </si>
  <si>
    <t xml:space="preserve">Subcomp 1.1 </t>
  </si>
  <si>
    <t>Subcomp 1.2</t>
  </si>
  <si>
    <t>Subcomp 1.3</t>
  </si>
  <si>
    <t>Comp 2</t>
  </si>
  <si>
    <t xml:space="preserve">Subcomp 2.1 </t>
  </si>
  <si>
    <t>Subcomp 2.2</t>
  </si>
  <si>
    <t>Comp 3</t>
  </si>
  <si>
    <t xml:space="preserve">Subcomp 3.1 </t>
  </si>
  <si>
    <t>Subcomp 3.2</t>
  </si>
  <si>
    <t>Comp 4</t>
  </si>
  <si>
    <t xml:space="preserve"> BID USD</t>
  </si>
  <si>
    <t>Local USD</t>
  </si>
  <si>
    <t>Consolidación y puesta en funcionamiento del SIIPP en provincias priorizadas</t>
  </si>
  <si>
    <t>Desarrollo e instalacion de aplicativo para el SIIPP</t>
  </si>
  <si>
    <t>Insumos para Operación y Mantenimiento.</t>
  </si>
  <si>
    <t>SBPF</t>
  </si>
  <si>
    <t>Proyecto AR-L1255 - Préstamo xxxx/OC-AR</t>
  </si>
  <si>
    <t>Monto mensual promedio</t>
  </si>
  <si>
    <t>Jurisdicciones con Intervenciones de prevención situacional implementadas</t>
  </si>
  <si>
    <t>Verif</t>
  </si>
  <si>
    <t>Flujo semestral de Fondos BID en USD</t>
  </si>
  <si>
    <t xml:space="preserve">Gantt </t>
  </si>
  <si>
    <t>Gestiòn de las adquisiciones</t>
  </si>
  <si>
    <t>Desarrollo de aplicativo de geo-referencia de medidas de protección de violencia de genero vigentes</t>
  </si>
  <si>
    <t>Consultoría para desarrollo del aplicativo</t>
  </si>
  <si>
    <t>2021-I</t>
  </si>
  <si>
    <t>2021-II</t>
  </si>
  <si>
    <t>Aplicativo que geo-referencia las medidas de protección vigentes en funcionamiento.</t>
  </si>
  <si>
    <t>Flujo anual de desembolsos BID en USD</t>
  </si>
  <si>
    <t>2017</t>
  </si>
  <si>
    <t>2018</t>
  </si>
  <si>
    <t>2019</t>
  </si>
  <si>
    <t>2020</t>
  </si>
  <si>
    <t>2021</t>
  </si>
  <si>
    <t>Redondeado</t>
  </si>
  <si>
    <t>25.000.000</t>
  </si>
  <si>
    <t>Actual</t>
  </si>
  <si>
    <t>Nueva Estimacion</t>
  </si>
  <si>
    <t>Estimacion original</t>
  </si>
  <si>
    <t>Evaluación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</si>
</sst>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6" formatCode="&quot;$&quot;#,##0_);[Red]\(&quot;$&quot;#,##0\)"/>
    <numFmt numFmtId="43" formatCode="_(* #,##0.00_);_(* \(#,##0.00\);_(* &quot;-&quot;??_);_(@_)"/>
    <numFmt numFmtId="164" formatCode="_-* #,##0.00\ &quot;€&quot;_-;\-* #,##0.00\ &quot;€&quot;_-;_-* &quot;-&quot;??\ &quot;€&quot;_-;_-@_-"/>
    <numFmt numFmtId="165" formatCode="_-* #,##0.00\ _€_-;\-* #,##0.00\ _€_-;_-* &quot;-&quot;??\ _€_-;_-@_-"/>
    <numFmt numFmtId="166" formatCode="_ * #,##0_ ;_ * \-#,##0_ ;_ * &quot;-&quot;_ ;_ @_ "/>
    <numFmt numFmtId="167" formatCode="_ &quot;$&quot;\ * #,##0.00_ ;_ &quot;$&quot;\ * \-#,##0.00_ ;_ &quot;$&quot;\ * &quot;-&quot;??_ ;_ @_ "/>
    <numFmt numFmtId="168" formatCode="_ * #,##0.00_ ;_ * \-#,##0.00_ ;_ * &quot;-&quot;??_ ;_ @_ "/>
    <numFmt numFmtId="169" formatCode="&quot;$&quot;#.00"/>
    <numFmt numFmtId="170" formatCode="m\o\n\th\ d\,\ yyyy"/>
    <numFmt numFmtId="171" formatCode="#.00"/>
    <numFmt numFmtId="172" formatCode="#."/>
    <numFmt numFmtId="173" formatCode="%#.00"/>
    <numFmt numFmtId="174" formatCode="_-* #,##0\ _€_-;\-* #,##0\ _€_-;_-* &quot;-&quot;??\ _€_-;_-@_-"/>
    <numFmt numFmtId="175" formatCode="#,##0.0;[Red]#,##0.0"/>
    <numFmt numFmtId="176" formatCode="#,##0.0_);[Red]\(#,##0.0\)"/>
    <numFmt numFmtId="177" formatCode="_(* #,##0_);_(* \(#,##0\);_(* &quot;-&quot;??_);_(@_)"/>
    <numFmt numFmtId="178" formatCode="#,##0.00&quot; &quot;;&quot; (&quot;#,##0.00&quot;)&quot;;&quot; -&quot;#&quot; &quot;;@&quot; &quot;"/>
    <numFmt numFmtId="179" formatCode="[$-380A]#,##0&quot; &quot;;[$-380A]&quot;(&quot;#,##0&quot;)&quot;"/>
    <numFmt numFmtId="180" formatCode="&quot;R$ &quot;#,##0.00;[Red]&quot;R$ &quot;#,##0.00"/>
    <numFmt numFmtId="181" formatCode="#,##0&quot; &quot;;&quot; (&quot;#,##0&quot;)&quot;;&quot; -&quot;#&quot; &quot;;@&quot; &quot;"/>
    <numFmt numFmtId="182" formatCode="#,##0.00000000"/>
    <numFmt numFmtId="183" formatCode="[$-380A]0"/>
    <numFmt numFmtId="184" formatCode="[$-380A]0%"/>
    <numFmt numFmtId="185" formatCode="mmm\-yy;@"/>
    <numFmt numFmtId="186" formatCode="mm/yy"/>
    <numFmt numFmtId="187" formatCode="&quot;$&quot;#,##0"/>
  </numFmts>
  <fonts count="20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name val="Arial"/>
      <family val="2"/>
    </font>
    <font>
      <b/>
      <sz val="8"/>
      <color indexed="8"/>
      <name val="Arial"/>
      <family val="2"/>
    </font>
    <font>
      <b/>
      <sz val="10"/>
      <color indexed="8"/>
      <name val="Arial"/>
      <family val="2"/>
    </font>
    <font>
      <b/>
      <sz val="10"/>
      <name val="Arial"/>
      <family val="2"/>
    </font>
    <font>
      <sz val="11"/>
      <name val="Arial"/>
      <family val="2"/>
    </font>
    <font>
      <sz val="10"/>
      <color rgb="FFFF0000"/>
      <name val="Arial"/>
      <family val="2"/>
    </font>
    <font>
      <b/>
      <sz val="9"/>
      <color indexed="81"/>
      <name val="Tahoma"/>
      <family val="2"/>
    </font>
    <font>
      <sz val="9"/>
      <color indexed="81"/>
      <name val="Tahoma"/>
      <family val="2"/>
    </font>
    <font>
      <sz val="8"/>
      <name val="Arial"/>
      <family val="2"/>
    </font>
    <font>
      <sz val="11"/>
      <color theme="1"/>
      <name val="Arial"/>
      <family val="2"/>
    </font>
    <font>
      <sz val="10"/>
      <color theme="1"/>
      <name val="Arial"/>
      <family val="2"/>
    </font>
    <font>
      <sz val="11"/>
      <color rgb="FF000000"/>
      <name val="Arial"/>
      <family val="2"/>
    </font>
    <font>
      <sz val="12"/>
      <color theme="1"/>
      <name val="Calibri"/>
      <family val="2"/>
      <scheme val="minor"/>
    </font>
    <font>
      <sz val="11"/>
      <color indexed="8"/>
      <name val="Calibri"/>
      <family val="2"/>
    </font>
    <font>
      <sz val="10"/>
      <color indexed="8"/>
      <name val="Arial"/>
      <family val="2"/>
    </font>
    <font>
      <sz val="11"/>
      <color indexed="9"/>
      <name val="Calibri"/>
      <family val="2"/>
    </font>
    <font>
      <sz val="10"/>
      <color indexed="9"/>
      <name val="Arial"/>
      <family val="2"/>
    </font>
    <font>
      <sz val="11"/>
      <color indexed="17"/>
      <name val="Calibri"/>
      <family val="2"/>
    </font>
    <font>
      <sz val="10"/>
      <color rgb="FF006100"/>
      <name val="Arial"/>
      <family val="2"/>
    </font>
    <font>
      <b/>
      <sz val="11"/>
      <color indexed="52"/>
      <name val="Calibri"/>
      <family val="2"/>
    </font>
    <font>
      <b/>
      <sz val="10"/>
      <color rgb="FFFA7D00"/>
      <name val="Arial"/>
      <family val="2"/>
    </font>
    <font>
      <b/>
      <sz val="11"/>
      <color indexed="9"/>
      <name val="Calibri"/>
      <family val="2"/>
    </font>
    <font>
      <b/>
      <sz val="10"/>
      <color indexed="9"/>
      <name val="Arial"/>
      <family val="2"/>
    </font>
    <font>
      <sz val="11"/>
      <color indexed="52"/>
      <name val="Calibri"/>
      <family val="2"/>
    </font>
    <font>
      <sz val="10"/>
      <color rgb="FFFA7D00"/>
      <name val="Arial"/>
      <family val="2"/>
    </font>
    <font>
      <sz val="1"/>
      <color indexed="8"/>
      <name val="Courier"/>
      <family val="3"/>
    </font>
    <font>
      <b/>
      <sz val="11"/>
      <color indexed="56"/>
      <name val="Calibri"/>
      <family val="2"/>
    </font>
    <font>
      <b/>
      <sz val="11"/>
      <color theme="3"/>
      <name val="Arial"/>
      <family val="2"/>
    </font>
    <font>
      <sz val="11"/>
      <color indexed="62"/>
      <name val="Calibri"/>
      <family val="2"/>
    </font>
    <font>
      <sz val="10"/>
      <color rgb="FF3F3F76"/>
      <name val="Arial"/>
      <family val="2"/>
    </font>
    <font>
      <b/>
      <sz val="1"/>
      <color indexed="8"/>
      <name val="Courier"/>
      <family val="3"/>
    </font>
    <font>
      <u/>
      <sz val="9"/>
      <color indexed="12"/>
      <name val="Calibri"/>
      <family val="2"/>
    </font>
    <font>
      <u/>
      <sz val="9"/>
      <color rgb="FF0000FF"/>
      <name val="Calibri"/>
      <family val="2"/>
    </font>
    <font>
      <sz val="11"/>
      <color indexed="20"/>
      <name val="Calibri"/>
      <family val="2"/>
    </font>
    <font>
      <sz val="10"/>
      <color rgb="FF9C0006"/>
      <name val="Arial"/>
      <family val="2"/>
    </font>
    <font>
      <sz val="12"/>
      <color indexed="8"/>
      <name val="Calibri"/>
      <family val="2"/>
    </font>
    <font>
      <sz val="11"/>
      <color indexed="60"/>
      <name val="Calibri"/>
      <family val="2"/>
    </font>
    <font>
      <sz val="10"/>
      <color rgb="FF9C6500"/>
      <name val="Arial"/>
      <family val="2"/>
    </font>
    <font>
      <sz val="11"/>
      <name val="Calibri"/>
      <family val="2"/>
    </font>
    <font>
      <b/>
      <sz val="11"/>
      <color indexed="63"/>
      <name val="Calibri"/>
      <family val="2"/>
    </font>
    <font>
      <b/>
      <sz val="10"/>
      <color rgb="FF3F3F3F"/>
      <name val="Arial"/>
      <family val="2"/>
    </font>
    <font>
      <sz val="11"/>
      <color indexed="10"/>
      <name val="Calibri"/>
      <family val="2"/>
    </font>
    <font>
      <sz val="10"/>
      <color indexed="10"/>
      <name val="Arial"/>
      <family val="2"/>
    </font>
    <font>
      <i/>
      <sz val="11"/>
      <color indexed="23"/>
      <name val="Calibri"/>
      <family val="2"/>
    </font>
    <font>
      <i/>
      <sz val="10"/>
      <color rgb="FF7F7F7F"/>
      <name val="Arial"/>
      <family val="2"/>
    </font>
    <font>
      <b/>
      <sz val="15"/>
      <color indexed="56"/>
      <name val="Calibri"/>
      <family val="2"/>
    </font>
    <font>
      <b/>
      <sz val="15"/>
      <color theme="3"/>
      <name val="Arial"/>
      <family val="2"/>
    </font>
    <font>
      <b/>
      <sz val="13"/>
      <color indexed="56"/>
      <name val="Calibri"/>
      <family val="2"/>
    </font>
    <font>
      <b/>
      <sz val="13"/>
      <color theme="3"/>
      <name val="Arial"/>
      <family val="2"/>
    </font>
    <font>
      <b/>
      <sz val="18"/>
      <color indexed="56"/>
      <name val="Cambria"/>
      <family val="2"/>
    </font>
    <font>
      <b/>
      <sz val="11"/>
      <color indexed="8"/>
      <name val="Calibri"/>
      <family val="2"/>
    </font>
    <font>
      <b/>
      <sz val="12"/>
      <name val="Arial"/>
      <family val="2"/>
    </font>
    <font>
      <b/>
      <sz val="11"/>
      <color indexed="8"/>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Arial"/>
      <family val="2"/>
    </font>
    <font>
      <sz val="11"/>
      <color rgb="FF000000"/>
      <name val="Calibri"/>
      <family val="2"/>
      <scheme val="minor"/>
    </font>
    <font>
      <b/>
      <i/>
      <sz val="10"/>
      <name val="Arial"/>
      <family val="2"/>
    </font>
    <font>
      <sz val="9"/>
      <color indexed="81"/>
      <name val="Arial"/>
      <family val="2"/>
    </font>
    <font>
      <b/>
      <sz val="9"/>
      <color indexed="81"/>
      <name val="Arial"/>
      <family val="2"/>
    </font>
    <font>
      <sz val="10"/>
      <name val="Calibri"/>
      <family val="2"/>
      <scheme val="minor"/>
    </font>
    <font>
      <u/>
      <sz val="10"/>
      <color rgb="FF000000"/>
      <name val="Calibri"/>
      <family val="2"/>
      <scheme val="minor"/>
    </font>
    <font>
      <sz val="10"/>
      <color rgb="FF000000"/>
      <name val="Calibri"/>
      <family val="2"/>
      <scheme val="minor"/>
    </font>
    <font>
      <b/>
      <sz val="10"/>
      <color rgb="FF000000"/>
      <name val="Calibri"/>
      <family val="2"/>
      <scheme val="minor"/>
    </font>
    <font>
      <b/>
      <sz val="10"/>
      <color rgb="FF000000"/>
      <name val="Arial"/>
      <family val="2"/>
    </font>
    <font>
      <b/>
      <sz val="10"/>
      <name val="Calibri"/>
      <family val="2"/>
      <scheme val="minor"/>
    </font>
    <font>
      <sz val="10"/>
      <color theme="1"/>
      <name val="Calibri"/>
      <family val="2"/>
      <scheme val="minor"/>
    </font>
    <font>
      <sz val="9"/>
      <color theme="1"/>
      <name val="Calibri"/>
      <family val="2"/>
      <scheme val="minor"/>
    </font>
    <font>
      <b/>
      <i/>
      <sz val="10"/>
      <color theme="1"/>
      <name val="Calibri"/>
      <family val="2"/>
      <scheme val="minor"/>
    </font>
    <font>
      <b/>
      <sz val="10"/>
      <color theme="0"/>
      <name val="Arial"/>
      <family val="2"/>
    </font>
    <font>
      <sz val="10"/>
      <color theme="0"/>
      <name val="Arial"/>
      <family val="2"/>
    </font>
    <font>
      <b/>
      <sz val="10"/>
      <color theme="1"/>
      <name val="Arial"/>
      <family val="2"/>
    </font>
    <font>
      <b/>
      <sz val="8"/>
      <color theme="0"/>
      <name val="Arial"/>
      <family val="2"/>
    </font>
    <font>
      <sz val="9"/>
      <name val="Arial"/>
      <family val="2"/>
    </font>
    <font>
      <sz val="10"/>
      <name val="Arial"/>
      <family val="2"/>
    </font>
    <font>
      <b/>
      <sz val="15"/>
      <color indexed="8"/>
      <name val="Calibri"/>
      <family val="2"/>
    </font>
    <font>
      <b/>
      <vertAlign val="superscript"/>
      <sz val="15"/>
      <color indexed="8"/>
      <name val="Calibri"/>
      <family val="2"/>
    </font>
    <font>
      <i/>
      <sz val="10"/>
      <name val="Arial"/>
      <family val="2"/>
    </font>
    <font>
      <b/>
      <sz val="12"/>
      <name val="Calibri"/>
      <family val="2"/>
    </font>
    <font>
      <b/>
      <sz val="10"/>
      <name val="Calibri"/>
      <family val="2"/>
    </font>
    <font>
      <b/>
      <sz val="12"/>
      <color indexed="8"/>
      <name val="Calibri"/>
      <family val="2"/>
    </font>
    <font>
      <b/>
      <sz val="11"/>
      <name val="Calibri"/>
      <family val="2"/>
    </font>
    <font>
      <b/>
      <sz val="13"/>
      <name val="Calibri"/>
      <family val="2"/>
    </font>
    <font>
      <sz val="13"/>
      <name val="Calibri"/>
      <family val="2"/>
    </font>
    <font>
      <sz val="12"/>
      <color indexed="8"/>
      <name val="Arial"/>
      <family val="2"/>
    </font>
    <font>
      <sz val="11"/>
      <color indexed="8"/>
      <name val="Arial"/>
      <family val="2"/>
    </font>
    <font>
      <sz val="12"/>
      <name val="Calibri"/>
      <family val="2"/>
    </font>
    <font>
      <sz val="10"/>
      <color theme="0"/>
      <name val="Calibri"/>
      <family val="2"/>
      <scheme val="minor"/>
    </font>
    <font>
      <sz val="10"/>
      <color theme="4"/>
      <name val="Arial"/>
      <family val="2"/>
    </font>
    <font>
      <sz val="12"/>
      <name val="Times New Roman"/>
      <family val="1"/>
    </font>
    <font>
      <b/>
      <sz val="10"/>
      <color rgb="FF000000"/>
      <name val="Times New Roman"/>
      <family val="1"/>
    </font>
    <font>
      <b/>
      <sz val="8"/>
      <color rgb="FFEEECE1"/>
      <name val="Times New Roman"/>
      <family val="1"/>
    </font>
    <font>
      <b/>
      <sz val="8"/>
      <color rgb="FFEEECE1"/>
      <name val="Arial"/>
      <family val="2"/>
    </font>
    <font>
      <u/>
      <sz val="8"/>
      <color rgb="FF000000"/>
      <name val="Arial"/>
      <family val="2"/>
    </font>
    <font>
      <sz val="8"/>
      <color rgb="FF000000"/>
      <name val="Arial"/>
      <family val="2"/>
    </font>
    <font>
      <sz val="11"/>
      <color rgb="FF000000"/>
      <name val="Calibri"/>
      <family val="2"/>
    </font>
    <font>
      <u/>
      <sz val="10"/>
      <color rgb="FF00000A"/>
      <name val="Calibri"/>
      <family val="2"/>
    </font>
    <font>
      <sz val="10"/>
      <name val="Calibri"/>
      <family val="2"/>
    </font>
    <font>
      <b/>
      <sz val="11"/>
      <color rgb="FF000000"/>
      <name val="Calibri"/>
      <family val="2"/>
    </font>
    <font>
      <i/>
      <sz val="11"/>
      <color rgb="FF000000"/>
      <name val="Calibri"/>
      <family val="2"/>
    </font>
    <font>
      <sz val="11"/>
      <color rgb="FF00000A"/>
      <name val="Calibri"/>
      <family val="2"/>
    </font>
    <font>
      <sz val="11"/>
      <color rgb="FFFF0000"/>
      <name val="Calibri"/>
      <family val="2"/>
    </font>
    <font>
      <sz val="12"/>
      <name val="Century Gothic"/>
      <family val="2"/>
    </font>
    <font>
      <b/>
      <sz val="16"/>
      <color rgb="FF3F3F3F"/>
      <name val="Century Gothic"/>
      <family val="2"/>
    </font>
    <font>
      <sz val="16"/>
      <name val="Century Gothic"/>
      <family val="2"/>
    </font>
    <font>
      <sz val="16"/>
      <color rgb="FFFFFFFF"/>
      <name val="Century Gothic"/>
      <family val="2"/>
    </font>
    <font>
      <sz val="16"/>
      <color rgb="FF3F3F3F"/>
      <name val="Century Gothic"/>
      <family val="2"/>
    </font>
    <font>
      <sz val="14"/>
      <color rgb="FF3F3F3F"/>
      <name val="Century Gothic"/>
      <family val="2"/>
    </font>
    <font>
      <sz val="12"/>
      <color rgb="FF3F3F3F"/>
      <name val="Century Gothic"/>
      <family val="2"/>
    </font>
    <font>
      <sz val="14"/>
      <color rgb="FF3C7E89"/>
      <name val="Century Gothic"/>
      <family val="2"/>
    </font>
    <font>
      <sz val="14"/>
      <color rgb="FF98C9D1"/>
      <name val="Century Gothic"/>
      <family val="2"/>
    </font>
    <font>
      <sz val="14"/>
      <name val="Century Gothic"/>
      <family val="2"/>
    </font>
    <font>
      <b/>
      <sz val="16"/>
      <color rgb="FFFFFFFF"/>
      <name val="Century Gothic"/>
      <family val="2"/>
    </font>
    <font>
      <sz val="14"/>
      <color rgb="FFFF0000"/>
      <name val="Century Gothic"/>
      <family val="2"/>
    </font>
    <font>
      <sz val="11"/>
      <color rgb="FFFF0000"/>
      <name val="Arial"/>
      <family val="2"/>
    </font>
    <font>
      <b/>
      <sz val="14"/>
      <color indexed="8"/>
      <name val="Calibri"/>
      <family val="2"/>
    </font>
    <font>
      <sz val="7"/>
      <name val="Calibri"/>
      <family val="2"/>
    </font>
    <font>
      <b/>
      <sz val="9"/>
      <color rgb="FF000000"/>
      <name val="Calibri"/>
      <family val="2"/>
    </font>
    <font>
      <sz val="9"/>
      <color rgb="FF000000"/>
      <name val="Calibri"/>
      <family val="2"/>
    </font>
    <font>
      <b/>
      <sz val="8"/>
      <color rgb="FF000000"/>
      <name val="Calibri"/>
      <family val="2"/>
    </font>
    <font>
      <sz val="9"/>
      <color theme="0"/>
      <name val="Calibri"/>
      <family val="2"/>
    </font>
    <font>
      <b/>
      <sz val="9"/>
      <color rgb="FFFFFFFF"/>
      <name val="Calibri"/>
      <family val="2"/>
    </font>
    <font>
      <b/>
      <sz val="9"/>
      <color theme="0"/>
      <name val="Calibri"/>
      <family val="2"/>
    </font>
    <font>
      <sz val="9"/>
      <color rgb="FFFFFFFF"/>
      <name val="Calibri"/>
      <family val="2"/>
    </font>
    <font>
      <sz val="9"/>
      <name val="Calibri"/>
      <family val="2"/>
    </font>
    <font>
      <b/>
      <sz val="9"/>
      <name val="Calibri"/>
      <family val="2"/>
    </font>
    <font>
      <b/>
      <i/>
      <sz val="9"/>
      <color rgb="FF000000"/>
      <name val="Calibri"/>
      <family val="2"/>
    </font>
    <font>
      <sz val="9"/>
      <color rgb="FF2E75B6"/>
      <name val="Calibri"/>
      <family val="2"/>
    </font>
    <font>
      <b/>
      <i/>
      <sz val="9"/>
      <color rgb="FF2E75B6"/>
      <name val="Calibri"/>
      <family val="2"/>
    </font>
    <font>
      <sz val="8"/>
      <color rgb="FF000000"/>
      <name val="Calibri"/>
      <family val="2"/>
    </font>
    <font>
      <b/>
      <sz val="7"/>
      <name val="Calibri"/>
      <family val="2"/>
    </font>
    <font>
      <b/>
      <sz val="9"/>
      <color rgb="FF000000"/>
      <name val="Arial"/>
      <family val="2"/>
    </font>
    <font>
      <sz val="9"/>
      <color rgb="FF000000"/>
      <name val="Arial"/>
      <family val="2"/>
    </font>
    <font>
      <b/>
      <sz val="8"/>
      <name val="Arial"/>
      <family val="2"/>
    </font>
    <font>
      <b/>
      <u/>
      <sz val="11"/>
      <name val="Arial"/>
      <family val="2"/>
    </font>
    <font>
      <u/>
      <sz val="11"/>
      <color theme="10"/>
      <name val="Arial"/>
      <family val="2"/>
    </font>
    <font>
      <sz val="11"/>
      <color rgb="FF222222"/>
      <name val="Arial"/>
      <family val="2"/>
    </font>
    <font>
      <b/>
      <sz val="9"/>
      <color rgb="FFFF0000"/>
      <name val="Calibri"/>
      <family val="2"/>
    </font>
    <font>
      <b/>
      <u/>
      <sz val="11"/>
      <color theme="1"/>
      <name val="Calibri"/>
      <family val="2"/>
      <scheme val="minor"/>
    </font>
    <font>
      <b/>
      <sz val="9"/>
      <color theme="1"/>
      <name val="Calibri"/>
      <family val="2"/>
      <scheme val="minor"/>
    </font>
    <font>
      <b/>
      <strike/>
      <sz val="9"/>
      <name val="Calibri"/>
      <family val="2"/>
    </font>
    <font>
      <b/>
      <i/>
      <strike/>
      <sz val="9"/>
      <color rgb="FF000000"/>
      <name val="Calibri"/>
      <family val="2"/>
    </font>
    <font>
      <strike/>
      <sz val="9"/>
      <color rgb="FF2E75B6"/>
      <name val="Calibri"/>
      <family val="2"/>
    </font>
    <font>
      <b/>
      <i/>
      <strike/>
      <sz val="9"/>
      <color rgb="FF2E75B6"/>
      <name val="Calibri"/>
      <family val="2"/>
    </font>
    <font>
      <b/>
      <strike/>
      <sz val="9"/>
      <color rgb="FF000000"/>
      <name val="Calibri"/>
      <family val="2"/>
    </font>
    <font>
      <strike/>
      <sz val="11"/>
      <color theme="1"/>
      <name val="Calibri"/>
      <family val="2"/>
      <scheme val="minor"/>
    </font>
    <font>
      <strike/>
      <sz val="9"/>
      <name val="Calibri"/>
      <family val="2"/>
    </font>
    <font>
      <strike/>
      <sz val="9"/>
      <color rgb="FF000000"/>
      <name val="Calibri"/>
      <family val="2"/>
    </font>
    <font>
      <sz val="12"/>
      <color theme="1" tint="0.24994659260841701"/>
      <name val="Calibri"/>
      <family val="2"/>
      <scheme val="minor"/>
    </font>
    <font>
      <sz val="16"/>
      <color theme="1" tint="0.24994659260841701"/>
      <name val="Calibri"/>
      <family val="2"/>
      <scheme val="minor"/>
    </font>
    <font>
      <b/>
      <sz val="16"/>
      <color theme="1" tint="0.24994659260841701"/>
      <name val="Calibri"/>
      <family val="2"/>
      <scheme val="minor"/>
    </font>
    <font>
      <sz val="66"/>
      <color theme="1" tint="0.24994659260841701"/>
      <name val="Cambria"/>
      <family val="2"/>
      <scheme val="major"/>
    </font>
    <font>
      <sz val="27"/>
      <color theme="1" tint="0.24994659260841701"/>
      <name val="Calibri"/>
      <family val="2"/>
      <scheme val="minor"/>
    </font>
    <font>
      <sz val="10"/>
      <color theme="1" tint="0.24994659260841701"/>
      <name val="Calibri"/>
      <family val="2"/>
      <scheme val="minor"/>
    </font>
    <font>
      <b/>
      <sz val="10"/>
      <color theme="1" tint="0.24994659260841701"/>
      <name val="Calibri"/>
      <family val="2"/>
      <scheme val="minor"/>
    </font>
    <font>
      <sz val="10"/>
      <color theme="1" tint="0.249977111117893"/>
      <name val="Calibri"/>
      <family val="2"/>
      <scheme val="minor"/>
    </font>
    <font>
      <sz val="10"/>
      <color theme="4" tint="-0.249977111117893"/>
      <name val="Calibri"/>
      <family val="2"/>
      <scheme val="minor"/>
    </font>
    <font>
      <b/>
      <sz val="10"/>
      <color theme="1" tint="0.249977111117893"/>
      <name val="Calibri"/>
      <family val="2"/>
      <scheme val="minor"/>
    </font>
    <font>
      <b/>
      <sz val="9"/>
      <name val="Arial"/>
      <family val="2"/>
    </font>
    <font>
      <b/>
      <sz val="12"/>
      <color theme="1"/>
      <name val="Calibri"/>
      <family val="2"/>
      <scheme val="minor"/>
    </font>
    <font>
      <b/>
      <sz val="10"/>
      <color rgb="FFFFFFFF"/>
      <name val="Calibri"/>
      <family val="2"/>
    </font>
    <font>
      <b/>
      <sz val="8"/>
      <color rgb="FFFFFFFF"/>
      <name val="Calibri"/>
      <family val="2"/>
    </font>
    <font>
      <b/>
      <sz val="10"/>
      <color rgb="FF000000"/>
      <name val="Calibri"/>
      <family val="2"/>
    </font>
    <font>
      <b/>
      <i/>
      <sz val="10"/>
      <color rgb="FF000000"/>
      <name val="Calibri"/>
      <family val="2"/>
    </font>
    <font>
      <sz val="8"/>
      <color rgb="FFFFFFFF"/>
      <name val="Calibri"/>
      <family val="2"/>
    </font>
    <font>
      <sz val="8"/>
      <color theme="1"/>
      <name val="Calibri"/>
      <family val="2"/>
      <scheme val="minor"/>
    </font>
    <font>
      <sz val="9"/>
      <color theme="0"/>
      <name val="Arial"/>
      <family val="2"/>
    </font>
    <font>
      <b/>
      <sz val="12"/>
      <color rgb="FF000000"/>
      <name val="Calibri"/>
      <family val="2"/>
    </font>
    <font>
      <b/>
      <sz val="12"/>
      <color theme="0"/>
      <name val="Calibri"/>
      <family val="2"/>
    </font>
    <font>
      <sz val="8"/>
      <color theme="0"/>
      <name val="Arial"/>
      <family val="2"/>
    </font>
    <font>
      <sz val="8"/>
      <color theme="4"/>
      <name val="Arial"/>
      <family val="2"/>
    </font>
  </fonts>
  <fills count="108">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9" tint="0.59999389629810485"/>
        <bgColor indexed="64"/>
      </patternFill>
    </fill>
    <fill>
      <patternFill patternType="solid">
        <fgColor theme="0" tint="-0.14999847407452621"/>
        <bgColor indexed="64"/>
      </patternFill>
    </fill>
    <fill>
      <patternFill patternType="solid">
        <fgColor theme="6"/>
        <bgColor indexed="64"/>
      </patternFill>
    </fill>
    <fill>
      <patternFill patternType="solid">
        <fgColor theme="1"/>
        <bgColor indexed="64"/>
      </patternFill>
    </fill>
    <fill>
      <patternFill patternType="solid">
        <fgColor theme="2" tint="-9.9978637043366805E-2"/>
        <bgColor indexed="64"/>
      </patternFill>
    </fill>
    <fill>
      <patternFill patternType="solid">
        <fgColor theme="4" tint="0.79998168889431442"/>
        <bgColor theme="4" tint="0.79998168889431442"/>
      </patternFill>
    </fill>
    <fill>
      <patternFill patternType="solid">
        <fgColor indexed="41"/>
        <bgColor indexed="64"/>
      </patternFill>
    </fill>
    <fill>
      <patternFill patternType="solid">
        <fgColor rgb="FF365F91"/>
        <bgColor indexed="64"/>
      </patternFill>
    </fill>
    <fill>
      <patternFill patternType="solid">
        <fgColor rgb="FFDDDDDD"/>
        <bgColor indexed="64"/>
      </patternFill>
    </fill>
    <fill>
      <patternFill patternType="solid">
        <fgColor rgb="FFEEEEEE"/>
        <bgColor indexed="64"/>
      </patternFill>
    </fill>
    <fill>
      <patternFill patternType="solid">
        <fgColor rgb="FFD6E3BC"/>
        <bgColor indexed="64"/>
      </patternFill>
    </fill>
    <fill>
      <patternFill patternType="solid">
        <fgColor rgb="FFB8CCE4"/>
        <bgColor indexed="64"/>
      </patternFill>
    </fill>
    <fill>
      <patternFill patternType="solid">
        <fgColor rgb="FF538DD5"/>
        <bgColor indexed="64"/>
      </patternFill>
    </fill>
    <fill>
      <patternFill patternType="solid">
        <fgColor rgb="FF8DB4E2"/>
        <bgColor indexed="64"/>
      </patternFill>
    </fill>
    <fill>
      <patternFill patternType="solid">
        <fgColor rgb="FFC5D9F1"/>
        <bgColor indexed="64"/>
      </patternFill>
    </fill>
    <fill>
      <patternFill patternType="solid">
        <fgColor rgb="FFDCE6F1"/>
        <bgColor indexed="64"/>
      </patternFill>
    </fill>
    <fill>
      <patternFill patternType="solid">
        <fgColor rgb="FFFFFFFF"/>
        <bgColor indexed="64"/>
      </patternFill>
    </fill>
    <fill>
      <patternFill patternType="solid">
        <fgColor rgb="FFE5DFEC"/>
        <bgColor indexed="64"/>
      </patternFill>
    </fill>
    <fill>
      <patternFill patternType="solid">
        <fgColor rgb="FFF3F3EC"/>
        <bgColor indexed="64"/>
      </patternFill>
    </fill>
    <fill>
      <patternFill patternType="solid">
        <fgColor rgb="FF7F7F7F"/>
        <bgColor indexed="64"/>
      </patternFill>
    </fill>
    <fill>
      <patternFill patternType="solid">
        <fgColor rgb="FF54A6B4"/>
        <bgColor indexed="64"/>
      </patternFill>
    </fill>
    <fill>
      <patternFill patternType="solid">
        <fgColor rgb="FFF0994B"/>
        <bgColor indexed="64"/>
      </patternFill>
    </fill>
    <fill>
      <patternFill patternType="solid">
        <fgColor indexed="23"/>
        <bgColor indexed="64"/>
      </patternFill>
    </fill>
    <fill>
      <patternFill patternType="solid">
        <fgColor rgb="FF000000"/>
        <bgColor rgb="FF000000"/>
      </patternFill>
    </fill>
    <fill>
      <patternFill patternType="solid">
        <fgColor rgb="FF808080"/>
        <bgColor rgb="FF808080"/>
      </patternFill>
    </fill>
    <fill>
      <patternFill patternType="solid">
        <fgColor rgb="FFB2B2B2"/>
        <bgColor rgb="FFB2B2B2"/>
      </patternFill>
    </fill>
    <fill>
      <patternFill patternType="solid">
        <fgColor rgb="FFDBDBDB"/>
        <bgColor rgb="FFDBDBDB"/>
      </patternFill>
    </fill>
    <fill>
      <patternFill patternType="solid">
        <fgColor rgb="FFF2F2F2"/>
        <bgColor rgb="FFF2F2F2"/>
      </patternFill>
    </fill>
    <fill>
      <patternFill patternType="solid">
        <fgColor rgb="FFC2D69B"/>
        <bgColor indexed="64"/>
      </patternFill>
    </fill>
    <fill>
      <patternFill patternType="solid">
        <fgColor theme="0" tint="-4.9989318521683403E-2"/>
        <bgColor indexed="64"/>
      </patternFill>
    </fill>
    <fill>
      <patternFill patternType="solid">
        <fgColor theme="2"/>
        <bgColor indexed="64"/>
      </patternFill>
    </fill>
    <fill>
      <patternFill patternType="solid">
        <fgColor rgb="FF92D050"/>
        <bgColor indexed="64"/>
      </patternFill>
    </fill>
    <fill>
      <patternFill patternType="solid">
        <fgColor theme="2"/>
        <bgColor theme="2"/>
      </patternFill>
    </fill>
    <fill>
      <patternFill patternType="solid">
        <fgColor theme="1" tint="0.499984740745262"/>
        <bgColor theme="2"/>
      </patternFill>
    </fill>
    <fill>
      <patternFill patternType="solid">
        <fgColor theme="4"/>
        <bgColor theme="2"/>
      </patternFill>
    </fill>
    <fill>
      <patternFill patternType="solid">
        <fgColor theme="0"/>
        <bgColor theme="2"/>
      </patternFill>
    </fill>
    <fill>
      <patternFill patternType="solid">
        <fgColor theme="2" tint="-0.249977111117893"/>
        <bgColor theme="2"/>
      </patternFill>
    </fill>
    <fill>
      <patternFill patternType="solid">
        <fgColor theme="2" tint="-9.9978637043366805E-2"/>
        <bgColor rgb="FFF2F2F2"/>
      </patternFill>
    </fill>
    <fill>
      <patternFill patternType="solid">
        <fgColor theme="2" tint="-9.9978637043366805E-2"/>
        <bgColor theme="2"/>
      </patternFill>
    </fill>
    <fill>
      <patternFill patternType="solid">
        <fgColor theme="0" tint="-0.499984740745262"/>
        <bgColor theme="2"/>
      </patternFill>
    </fill>
    <fill>
      <patternFill patternType="solid">
        <fgColor theme="0" tint="-0.34998626667073579"/>
        <bgColor theme="2"/>
      </patternFill>
    </fill>
    <fill>
      <patternFill patternType="solid">
        <fgColor rgb="FFBFBFBF"/>
        <bgColor indexed="64"/>
      </patternFill>
    </fill>
    <fill>
      <patternFill patternType="solid">
        <fgColor theme="1"/>
        <bgColor rgb="FFFFFFFF"/>
      </patternFill>
    </fill>
    <fill>
      <patternFill patternType="solid">
        <fgColor rgb="FFFFFFFF"/>
        <bgColor rgb="FFFFFFFF"/>
      </patternFill>
    </fill>
    <fill>
      <patternFill patternType="solid">
        <fgColor theme="0" tint="-0.14999847407452621"/>
        <bgColor rgb="FFFFFFFF"/>
      </patternFill>
    </fill>
    <fill>
      <patternFill patternType="solid">
        <fgColor theme="4"/>
        <bgColor indexed="64"/>
      </patternFill>
    </fill>
  </fills>
  <borders count="15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medium">
        <color auto="1"/>
      </right>
      <top style="medium">
        <color auto="1"/>
      </top>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medium">
        <color auto="1"/>
      </left>
      <right style="medium">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medium">
        <color auto="1"/>
      </top>
      <bottom style="medium">
        <color auto="1"/>
      </bottom>
      <diagonal/>
    </border>
    <border>
      <left/>
      <right style="medium">
        <color auto="1"/>
      </right>
      <top style="thin">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auto="1"/>
      </top>
      <bottom style="double">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bottom/>
      <diagonal/>
    </border>
    <border>
      <left/>
      <right/>
      <top/>
      <bottom style="medium">
        <color rgb="FF808080"/>
      </bottom>
      <diagonal/>
    </border>
    <border>
      <left style="medium">
        <color rgb="FF808080"/>
      </left>
      <right style="medium">
        <color rgb="FF808080"/>
      </right>
      <top/>
      <bottom style="medium">
        <color rgb="FF808080"/>
      </bottom>
      <diagonal/>
    </border>
    <border>
      <left/>
      <right style="medium">
        <color rgb="FF808080"/>
      </right>
      <top/>
      <bottom style="medium">
        <color rgb="FF808080"/>
      </bottom>
      <diagonal/>
    </border>
    <border>
      <left/>
      <right style="medium">
        <color rgb="FF808080"/>
      </right>
      <top/>
      <bottom/>
      <diagonal/>
    </border>
    <border>
      <left style="medium">
        <color rgb="FF808080"/>
      </left>
      <right/>
      <top style="medium">
        <color rgb="FF808080"/>
      </top>
      <bottom style="medium">
        <color rgb="FF808080"/>
      </bottom>
      <diagonal/>
    </border>
    <border>
      <left/>
      <right/>
      <top style="medium">
        <color rgb="FF808080"/>
      </top>
      <bottom style="medium">
        <color rgb="FF808080"/>
      </bottom>
      <diagonal/>
    </border>
    <border>
      <left/>
      <right style="medium">
        <color rgb="FF808080"/>
      </right>
      <top style="medium">
        <color rgb="FF808080"/>
      </top>
      <bottom style="medium">
        <color rgb="FF808080"/>
      </bottom>
      <diagonal/>
    </border>
    <border>
      <left style="medium">
        <color rgb="FF808080"/>
      </left>
      <right style="medium">
        <color rgb="FF808080"/>
      </right>
      <top style="medium">
        <color rgb="FF808080"/>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thick">
        <color rgb="FF000001"/>
      </bottom>
      <diagonal/>
    </border>
    <border>
      <left style="thick">
        <color rgb="FF000001"/>
      </left>
      <right/>
      <top style="thick">
        <color rgb="FF000001"/>
      </top>
      <bottom style="thick">
        <color rgb="FF000001"/>
      </bottom>
      <diagonal/>
    </border>
    <border>
      <left/>
      <right/>
      <top style="thick">
        <color rgb="FF000001"/>
      </top>
      <bottom style="thick">
        <color rgb="FF000001"/>
      </bottom>
      <diagonal/>
    </border>
    <border>
      <left/>
      <right style="thick">
        <color rgb="FF000001"/>
      </right>
      <top style="thick">
        <color rgb="FF000001"/>
      </top>
      <bottom style="thick">
        <color rgb="FF000001"/>
      </bottom>
      <diagonal/>
    </border>
    <border>
      <left style="medium">
        <color rgb="FFCCCCCC"/>
      </left>
      <right style="medium">
        <color rgb="FFCCCCCC"/>
      </right>
      <top style="medium">
        <color rgb="FFCCCCCC"/>
      </top>
      <bottom/>
      <diagonal/>
    </border>
    <border>
      <left style="medium">
        <color rgb="FFCCCCCC"/>
      </left>
      <right style="medium">
        <color rgb="FFCCCCCC"/>
      </right>
      <top/>
      <bottom/>
      <diagonal/>
    </border>
    <border>
      <left style="medium">
        <color rgb="FFCCCCCC"/>
      </left>
      <right style="medium">
        <color rgb="FFCCCCCC"/>
      </right>
      <top/>
      <bottom style="medium">
        <color rgb="FFCCCCCC"/>
      </bottom>
      <diagonal/>
    </border>
    <border>
      <left style="medium">
        <color rgb="FFCCCCCC"/>
      </left>
      <right/>
      <top/>
      <bottom/>
      <diagonal/>
    </border>
    <border>
      <left style="medium">
        <color rgb="FFCCCCCC"/>
      </left>
      <right/>
      <top style="medium">
        <color rgb="FFCCCCCC"/>
      </top>
      <bottom style="medium">
        <color rgb="FFCCCCCC"/>
      </bottom>
      <diagonal/>
    </border>
    <border>
      <left/>
      <right style="medium">
        <color rgb="FFCCCCCC"/>
      </right>
      <top style="medium">
        <color rgb="FFCCCCCC"/>
      </top>
      <bottom style="medium">
        <color rgb="FFCCCCCC"/>
      </bottom>
      <diagonal/>
    </border>
    <border>
      <left/>
      <right style="medium">
        <color rgb="FFCCCCCC"/>
      </right>
      <top/>
      <bottom style="medium">
        <color rgb="FFCCCCCC"/>
      </bottom>
      <diagonal/>
    </border>
    <border>
      <left style="medium">
        <color rgb="FFCCCCCC"/>
      </left>
      <right style="medium">
        <color rgb="FFCCCCCC"/>
      </right>
      <top style="medium">
        <color indexed="64"/>
      </top>
      <bottom style="medium">
        <color rgb="FFCCCCCC"/>
      </bottom>
      <diagonal/>
    </border>
    <border>
      <left style="medium">
        <color rgb="FFCCCCCC"/>
      </left>
      <right style="medium">
        <color rgb="FFCCCCCC"/>
      </right>
      <top style="medium">
        <color rgb="FFCCCCCC"/>
      </top>
      <bottom style="medium">
        <color indexed="64"/>
      </bottom>
      <diagonal/>
    </border>
    <border>
      <left style="medium">
        <color rgb="FFCCCCCC"/>
      </left>
      <right/>
      <top style="medium">
        <color rgb="FFCCCCCC"/>
      </top>
      <bottom/>
      <diagonal/>
    </border>
    <border>
      <left style="medium">
        <color rgb="FFCCCCCC"/>
      </left>
      <right/>
      <top style="medium">
        <color indexed="64"/>
      </top>
      <bottom style="medium">
        <color rgb="FFCCCCCC"/>
      </bottom>
      <diagonal/>
    </border>
    <border>
      <left style="medium">
        <color rgb="FFCCCCCC"/>
      </left>
      <right/>
      <top style="medium">
        <color rgb="FFCCCCCC"/>
      </top>
      <bottom style="medium">
        <color indexed="64"/>
      </bottom>
      <diagonal/>
    </border>
    <border>
      <left style="medium">
        <color rgb="FFCCCCCC"/>
      </left>
      <right/>
      <top/>
      <bottom style="medium">
        <color rgb="FFCCCCCC"/>
      </bottom>
      <diagonal/>
    </border>
    <border>
      <left/>
      <right style="medium">
        <color rgb="FFCCCCCC"/>
      </right>
      <top style="medium">
        <color rgb="FFCCCCCC"/>
      </top>
      <bottom/>
      <diagonal/>
    </border>
    <border>
      <left/>
      <right style="medium">
        <color rgb="FFCCCCCC"/>
      </right>
      <top style="medium">
        <color indexed="64"/>
      </top>
      <bottom style="medium">
        <color rgb="FFCCCCCC"/>
      </bottom>
      <diagonal/>
    </border>
    <border>
      <left/>
      <right style="medium">
        <color rgb="FFCCCCCC"/>
      </right>
      <top style="medium">
        <color rgb="FFCCCCCC"/>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style="medium">
        <color indexed="64"/>
      </right>
      <top style="medium">
        <color indexed="64"/>
      </top>
      <bottom style="medium">
        <color rgb="FFCCCCCC"/>
      </bottom>
      <diagonal/>
    </border>
    <border>
      <left style="medium">
        <color indexed="64"/>
      </left>
      <right style="medium">
        <color rgb="FFCCCCCC"/>
      </right>
      <top style="medium">
        <color rgb="FFCCCCCC"/>
      </top>
      <bottom style="medium">
        <color rgb="FFCCCCCC"/>
      </bottom>
      <diagonal/>
    </border>
    <border>
      <left style="medium">
        <color rgb="FFCCCCCC"/>
      </left>
      <right style="medium">
        <color indexed="64"/>
      </right>
      <top style="medium">
        <color rgb="FFCCCCCC"/>
      </top>
      <bottom style="medium">
        <color rgb="FFCCCCCC"/>
      </bottom>
      <diagonal/>
    </border>
    <border>
      <left style="medium">
        <color indexed="64"/>
      </left>
      <right style="medium">
        <color rgb="FFCCCCCC"/>
      </right>
      <top style="medium">
        <color rgb="FFCCCCCC"/>
      </top>
      <bottom/>
      <diagonal/>
    </border>
    <border>
      <left style="medium">
        <color indexed="64"/>
      </left>
      <right style="medium">
        <color rgb="FFCCCCCC"/>
      </right>
      <top style="medium">
        <color rgb="FFCCCCCC"/>
      </top>
      <bottom style="medium">
        <color indexed="64"/>
      </bottom>
      <diagonal/>
    </border>
    <border>
      <left style="medium">
        <color indexed="64"/>
      </left>
      <right style="medium">
        <color rgb="FFCCCCCC"/>
      </right>
      <top/>
      <bottom style="medium">
        <color rgb="FFCCCCCC"/>
      </bottom>
      <diagonal/>
    </border>
    <border>
      <left style="medium">
        <color rgb="FFCCCCCC"/>
      </left>
      <right style="medium">
        <color indexed="64"/>
      </right>
      <top/>
      <bottom style="medium">
        <color rgb="FFCCCCCC"/>
      </bottom>
      <diagonal/>
    </border>
    <border>
      <left style="medium">
        <color indexed="64"/>
      </left>
      <right style="medium">
        <color rgb="FFCCCCCC"/>
      </right>
      <top/>
      <bottom/>
      <diagonal/>
    </border>
    <border>
      <left/>
      <right style="medium">
        <color rgb="FFCCCCCC"/>
      </right>
      <top/>
      <bottom/>
      <diagonal/>
    </border>
    <border>
      <left/>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ck">
        <color rgb="FF000000"/>
      </right>
      <top/>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style="thick">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rgb="FF000000"/>
      </right>
      <top style="medium">
        <color indexed="64"/>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right style="thin">
        <color rgb="FF000000"/>
      </right>
      <top/>
      <bottom style="thin">
        <color rgb="FF000000"/>
      </bottom>
      <diagonal/>
    </border>
    <border>
      <left style="medium">
        <color indexed="64"/>
      </left>
      <right/>
      <top/>
      <bottom style="thin">
        <color rgb="FF000000"/>
      </bottom>
      <diagonal/>
    </border>
    <border>
      <left style="medium">
        <color indexed="64"/>
      </left>
      <right style="medium">
        <color indexed="64"/>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medium">
        <color indexed="64"/>
      </left>
      <right/>
      <top style="thin">
        <color rgb="FF000000"/>
      </top>
      <bottom/>
      <diagonal/>
    </border>
    <border>
      <left style="medium">
        <color indexed="64"/>
      </left>
      <right style="medium">
        <color indexed="64"/>
      </right>
      <top style="thin">
        <color rgb="FF000000"/>
      </top>
      <bottom/>
      <diagonal/>
    </border>
    <border>
      <left style="thin">
        <color rgb="FF000000"/>
      </left>
      <right style="thin">
        <color rgb="FF000000"/>
      </right>
      <top style="thin">
        <color rgb="FF000000"/>
      </top>
      <bottom/>
      <diagonal/>
    </border>
    <border>
      <left style="thin">
        <color rgb="FF000000"/>
      </left>
      <right/>
      <top style="medium">
        <color indexed="64"/>
      </top>
      <bottom style="thin">
        <color rgb="FF000000"/>
      </bottom>
      <diagonal/>
    </border>
    <border>
      <left style="thin">
        <color rgb="FF000000"/>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601">
    <xf numFmtId="0" fontId="0" fillId="0" borderId="0" applyNumberFormat="0" applyFont="0" applyFill="0" applyBorder="0" applyAlignment="0" applyProtection="0"/>
    <xf numFmtId="43" fontId="19" fillId="0" borderId="0" applyNumberFormat="0" applyFont="0" applyFill="0" applyBorder="0" applyAlignment="0" applyProtection="0"/>
    <xf numFmtId="43" fontId="19" fillId="0" borderId="0" applyNumberFormat="0" applyFont="0" applyFill="0" applyBorder="0" applyAlignment="0" applyProtection="0"/>
    <xf numFmtId="0" fontId="19" fillId="0" borderId="0" applyNumberFormat="0" applyFont="0" applyFill="0" applyBorder="0" applyAlignment="0" applyProtection="0"/>
    <xf numFmtId="0" fontId="18" fillId="0" borderId="0"/>
    <xf numFmtId="167" fontId="19" fillId="0" borderId="0" applyFont="0" applyFill="0" applyBorder="0" applyAlignment="0" applyProtection="0"/>
    <xf numFmtId="9" fontId="19" fillId="0" borderId="0" applyFont="0" applyFill="0" applyBorder="0" applyAlignment="0" applyProtection="0"/>
    <xf numFmtId="0" fontId="17" fillId="0" borderId="0"/>
    <xf numFmtId="0" fontId="16" fillId="0" borderId="0"/>
    <xf numFmtId="0" fontId="16" fillId="0" borderId="0"/>
    <xf numFmtId="0" fontId="15"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2" fillId="0" borderId="0"/>
    <xf numFmtId="167" fontId="12" fillId="0" borderId="0" applyFont="0" applyFill="0" applyBorder="0" applyAlignment="0" applyProtection="0"/>
    <xf numFmtId="168" fontId="12" fillId="0" borderId="0" applyFont="0" applyFill="0" applyBorder="0" applyAlignment="0" applyProtection="0"/>
    <xf numFmtId="0" fontId="11" fillId="0" borderId="0"/>
    <xf numFmtId="167" fontId="11" fillId="0" borderId="0" applyFont="0" applyFill="0" applyBorder="0" applyAlignment="0" applyProtection="0"/>
    <xf numFmtId="0" fontId="33" fillId="40" borderId="0" applyNumberFormat="0" applyBorder="0" applyAlignment="0" applyProtection="0"/>
    <xf numFmtId="0" fontId="34" fillId="17" borderId="0" applyNumberFormat="0" applyBorder="0" applyAlignment="0" applyProtection="0"/>
    <xf numFmtId="0" fontId="33" fillId="41" borderId="0" applyNumberFormat="0" applyBorder="0" applyAlignment="0" applyProtection="0"/>
    <xf numFmtId="0" fontId="34" fillId="21" borderId="0" applyNumberFormat="0" applyBorder="0" applyAlignment="0" applyProtection="0"/>
    <xf numFmtId="0" fontId="33" fillId="42" borderId="0" applyNumberFormat="0" applyBorder="0" applyAlignment="0" applyProtection="0"/>
    <xf numFmtId="0" fontId="34" fillId="25" borderId="0" applyNumberFormat="0" applyBorder="0" applyAlignment="0" applyProtection="0"/>
    <xf numFmtId="0" fontId="33" fillId="43" borderId="0" applyNumberFormat="0" applyBorder="0" applyAlignment="0" applyProtection="0"/>
    <xf numFmtId="0" fontId="34" fillId="29" borderId="0" applyNumberFormat="0" applyBorder="0" applyAlignment="0" applyProtection="0"/>
    <xf numFmtId="0" fontId="33" fillId="44" borderId="0" applyNumberFormat="0" applyBorder="0" applyAlignment="0" applyProtection="0"/>
    <xf numFmtId="0" fontId="34" fillId="33" borderId="0" applyNumberFormat="0" applyBorder="0" applyAlignment="0" applyProtection="0"/>
    <xf numFmtId="0" fontId="33" fillId="45" borderId="0" applyNumberFormat="0" applyBorder="0" applyAlignment="0" applyProtection="0"/>
    <xf numFmtId="0" fontId="34" fillId="37" borderId="0" applyNumberFormat="0" applyBorder="0" applyAlignment="0" applyProtection="0"/>
    <xf numFmtId="0" fontId="33" fillId="46" borderId="0" applyNumberFormat="0" applyBorder="0" applyAlignment="0" applyProtection="0"/>
    <xf numFmtId="0" fontId="34" fillId="18" borderId="0" applyNumberFormat="0" applyBorder="0" applyAlignment="0" applyProtection="0"/>
    <xf numFmtId="0" fontId="33" fillId="47" borderId="0" applyNumberFormat="0" applyBorder="0" applyAlignment="0" applyProtection="0"/>
    <xf numFmtId="0" fontId="34" fillId="22" borderId="0" applyNumberFormat="0" applyBorder="0" applyAlignment="0" applyProtection="0"/>
    <xf numFmtId="0" fontId="33" fillId="48" borderId="0" applyNumberFormat="0" applyBorder="0" applyAlignment="0" applyProtection="0"/>
    <xf numFmtId="0" fontId="34" fillId="26" borderId="0" applyNumberFormat="0" applyBorder="0" applyAlignment="0" applyProtection="0"/>
    <xf numFmtId="0" fontId="33" fillId="43" borderId="0" applyNumberFormat="0" applyBorder="0" applyAlignment="0" applyProtection="0"/>
    <xf numFmtId="0" fontId="34" fillId="30" borderId="0" applyNumberFormat="0" applyBorder="0" applyAlignment="0" applyProtection="0"/>
    <xf numFmtId="0" fontId="33" fillId="46" borderId="0" applyNumberFormat="0" applyBorder="0" applyAlignment="0" applyProtection="0"/>
    <xf numFmtId="0" fontId="34" fillId="34" borderId="0" applyNumberFormat="0" applyBorder="0" applyAlignment="0" applyProtection="0"/>
    <xf numFmtId="0" fontId="33" fillId="49" borderId="0" applyNumberFormat="0" applyBorder="0" applyAlignment="0" applyProtection="0"/>
    <xf numFmtId="0" fontId="34" fillId="38" borderId="0" applyNumberFormat="0" applyBorder="0" applyAlignment="0" applyProtection="0"/>
    <xf numFmtId="0" fontId="35" fillId="50" borderId="0" applyNumberFormat="0" applyBorder="0" applyAlignment="0" applyProtection="0"/>
    <xf numFmtId="0" fontId="36" fillId="19" borderId="0" applyNumberFormat="0" applyBorder="0" applyAlignment="0" applyProtection="0"/>
    <xf numFmtId="0" fontId="35" fillId="47" borderId="0" applyNumberFormat="0" applyBorder="0" applyAlignment="0" applyProtection="0"/>
    <xf numFmtId="0" fontId="36" fillId="23" borderId="0" applyNumberFormat="0" applyBorder="0" applyAlignment="0" applyProtection="0"/>
    <xf numFmtId="0" fontId="35" fillId="48" borderId="0" applyNumberFormat="0" applyBorder="0" applyAlignment="0" applyProtection="0"/>
    <xf numFmtId="0" fontId="36" fillId="27" borderId="0" applyNumberFormat="0" applyBorder="0" applyAlignment="0" applyProtection="0"/>
    <xf numFmtId="0" fontId="35" fillId="51" borderId="0" applyNumberFormat="0" applyBorder="0" applyAlignment="0" applyProtection="0"/>
    <xf numFmtId="0" fontId="36" fillId="31" borderId="0" applyNumberFormat="0" applyBorder="0" applyAlignment="0" applyProtection="0"/>
    <xf numFmtId="0" fontId="35" fillId="52" borderId="0" applyNumberFormat="0" applyBorder="0" applyAlignment="0" applyProtection="0"/>
    <xf numFmtId="0" fontId="36" fillId="35" borderId="0" applyNumberFormat="0" applyBorder="0" applyAlignment="0" applyProtection="0"/>
    <xf numFmtId="0" fontId="35" fillId="53" borderId="0" applyNumberFormat="0" applyBorder="0" applyAlignment="0" applyProtection="0"/>
    <xf numFmtId="0" fontId="36" fillId="39" borderId="0" applyNumberFormat="0" applyBorder="0" applyAlignment="0" applyProtection="0"/>
    <xf numFmtId="0" fontId="37" fillId="42" borderId="0" applyNumberFormat="0" applyBorder="0" applyAlignment="0" applyProtection="0"/>
    <xf numFmtId="0" fontId="38" fillId="9" borderId="0" applyNumberFormat="0" applyBorder="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39" fillId="54" borderId="63" applyNumberFormat="0" applyAlignment="0" applyProtection="0"/>
    <xf numFmtId="0" fontId="40" fillId="13" borderId="57" applyNumberFormat="0" applyAlignment="0" applyProtection="0"/>
    <xf numFmtId="0" fontId="41" fillId="55" borderId="64" applyNumberFormat="0" applyAlignment="0" applyProtection="0"/>
    <xf numFmtId="0" fontId="42" fillId="14" borderId="60" applyNumberFormat="0" applyAlignment="0" applyProtection="0"/>
    <xf numFmtId="0" fontId="43" fillId="0" borderId="65" applyNumberFormat="0" applyFill="0" applyAlignment="0" applyProtection="0"/>
    <xf numFmtId="0" fontId="44" fillId="0" borderId="59" applyNumberFormat="0" applyFill="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 fontId="45" fillId="0" borderId="0">
      <protection locked="0"/>
    </xf>
    <xf numFmtId="169" fontId="45" fillId="0" borderId="0">
      <protection locked="0"/>
    </xf>
    <xf numFmtId="170" fontId="45" fillId="0" borderId="0">
      <protection locked="0"/>
    </xf>
    <xf numFmtId="170" fontId="45" fillId="0" borderId="0">
      <protection locked="0"/>
    </xf>
    <xf numFmtId="0" fontId="46" fillId="0" borderId="0" applyNumberFormat="0" applyFill="0" applyBorder="0" applyAlignment="0" applyProtection="0"/>
    <xf numFmtId="0" fontId="47" fillId="0" borderId="0" applyNumberFormat="0" applyFill="0" applyBorder="0" applyAlignment="0" applyProtection="0"/>
    <xf numFmtId="0" fontId="35" fillId="56" borderId="0" applyNumberFormat="0" applyBorder="0" applyAlignment="0" applyProtection="0"/>
    <xf numFmtId="0" fontId="36" fillId="16" borderId="0" applyNumberFormat="0" applyBorder="0" applyAlignment="0" applyProtection="0"/>
    <xf numFmtId="0" fontId="35" fillId="57" borderId="0" applyNumberFormat="0" applyBorder="0" applyAlignment="0" applyProtection="0"/>
    <xf numFmtId="0" fontId="36" fillId="20" borderId="0" applyNumberFormat="0" applyBorder="0" applyAlignment="0" applyProtection="0"/>
    <xf numFmtId="0" fontId="35" fillId="58" borderId="0" applyNumberFormat="0" applyBorder="0" applyAlignment="0" applyProtection="0"/>
    <xf numFmtId="0" fontId="36" fillId="24" borderId="0" applyNumberFormat="0" applyBorder="0" applyAlignment="0" applyProtection="0"/>
    <xf numFmtId="0" fontId="35" fillId="51" borderId="0" applyNumberFormat="0" applyBorder="0" applyAlignment="0" applyProtection="0"/>
    <xf numFmtId="0" fontId="36" fillId="28" borderId="0" applyNumberFormat="0" applyBorder="0" applyAlignment="0" applyProtection="0"/>
    <xf numFmtId="0" fontId="35" fillId="52" borderId="0" applyNumberFormat="0" applyBorder="0" applyAlignment="0" applyProtection="0"/>
    <xf numFmtId="0" fontId="36" fillId="32" borderId="0" applyNumberFormat="0" applyBorder="0" applyAlignment="0" applyProtection="0"/>
    <xf numFmtId="0" fontId="35" fillId="59" borderId="0" applyNumberFormat="0" applyBorder="0" applyAlignment="0" applyProtection="0"/>
    <xf numFmtId="0" fontId="36" fillId="36" borderId="0" applyNumberFormat="0" applyBorder="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8" fillId="45" borderId="63" applyNumberFormat="0" applyAlignment="0" applyProtection="0"/>
    <xf numFmtId="0" fontId="49" fillId="12" borderId="57" applyNumberFormat="0" applyAlignment="0" applyProtection="0"/>
    <xf numFmtId="164" fontId="19" fillId="0" borderId="0" applyFont="0" applyFill="0" applyBorder="0" applyAlignment="0" applyProtection="0"/>
    <xf numFmtId="164" fontId="19" fillId="0" borderId="0" applyFont="0" applyFill="0" applyBorder="0" applyAlignment="0" applyProtection="0"/>
    <xf numFmtId="171" fontId="45" fillId="0" borderId="0">
      <protection locked="0"/>
    </xf>
    <xf numFmtId="171" fontId="45" fillId="0" borderId="0">
      <protection locked="0"/>
    </xf>
    <xf numFmtId="172" fontId="50" fillId="0" borderId="0">
      <protection locked="0"/>
    </xf>
    <xf numFmtId="172" fontId="50" fillId="0" borderId="0">
      <protection locked="0"/>
    </xf>
    <xf numFmtId="172" fontId="50" fillId="0" borderId="0">
      <protection locked="0"/>
    </xf>
    <xf numFmtId="172" fontId="50" fillId="0" borderId="0">
      <protection locked="0"/>
    </xf>
    <xf numFmtId="0" fontId="51" fillId="0" borderId="0"/>
    <xf numFmtId="0" fontId="52" fillId="0" borderId="0"/>
    <xf numFmtId="0" fontId="53" fillId="41" borderId="0" applyNumberFormat="0" applyBorder="0" applyAlignment="0" applyProtection="0"/>
    <xf numFmtId="0" fontId="54" fillId="10" borderId="0" applyNumberFormat="0" applyBorder="0" applyAlignment="0" applyProtection="0"/>
    <xf numFmtId="166" fontId="32"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32" fillId="0" borderId="0" applyFont="0" applyFill="0" applyBorder="0" applyAlignment="0" applyProtection="0"/>
    <xf numFmtId="165" fontId="19" fillId="0" borderId="0" applyFont="0" applyFill="0" applyBorder="0" applyAlignment="0" applyProtection="0"/>
    <xf numFmtId="168" fontId="19" fillId="0" borderId="0" applyFont="0" applyFill="0" applyBorder="0" applyAlignment="0" applyProtection="0"/>
    <xf numFmtId="168" fontId="55"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5" fontId="19"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167" fontId="32"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34"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7" fontId="19" fillId="0" borderId="0" applyFont="0" applyFill="0" applyBorder="0" applyAlignment="0" applyProtection="0"/>
    <xf numFmtId="164" fontId="19"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56" fillId="60" borderId="0" applyNumberFormat="0" applyBorder="0" applyAlignment="0" applyProtection="0"/>
    <xf numFmtId="0" fontId="57" fillId="11" borderId="0" applyNumberFormat="0" applyBorder="0" applyAlignment="0" applyProtection="0"/>
    <xf numFmtId="0" fontId="32" fillId="0" borderId="0"/>
    <xf numFmtId="0" fontId="19" fillId="0" borderId="0"/>
    <xf numFmtId="0" fontId="11" fillId="0" borderId="0"/>
    <xf numFmtId="0" fontId="1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8" fillId="0" borderId="0"/>
    <xf numFmtId="0" fontId="34" fillId="0" borderId="0"/>
    <xf numFmtId="0" fontId="19" fillId="0" borderId="0"/>
    <xf numFmtId="0" fontId="34" fillId="0" borderId="0"/>
    <xf numFmtId="0" fontId="11" fillId="0" borderId="0"/>
    <xf numFmtId="0" fontId="19" fillId="0" borderId="0"/>
    <xf numFmtId="0" fontId="1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9" fillId="0" borderId="0"/>
    <xf numFmtId="0" fontId="11" fillId="0" borderId="0"/>
    <xf numFmtId="0" fontId="11" fillId="0" borderId="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19"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3" fillId="61" borderId="66" applyNumberFormat="0" applyFont="0" applyAlignment="0" applyProtection="0"/>
    <xf numFmtId="0" fontId="34" fillId="15" borderId="61" applyNumberFormat="0" applyFont="0" applyAlignment="0" applyProtection="0"/>
    <xf numFmtId="173" fontId="45" fillId="0" borderId="0">
      <protection locked="0"/>
    </xf>
    <xf numFmtId="9" fontId="32" fillId="0" borderId="0" applyFont="0" applyFill="0" applyBorder="0" applyAlignment="0" applyProtection="0"/>
    <xf numFmtId="9" fontId="3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59" fillId="54" borderId="67" applyNumberFormat="0" applyAlignment="0" applyProtection="0"/>
    <xf numFmtId="0" fontId="60" fillId="13" borderId="58" applyNumberFormat="0" applyAlignment="0" applyProtection="0"/>
    <xf numFmtId="0" fontId="61" fillId="0" borderId="0" applyNumberFormat="0" applyFill="0" applyBorder="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64" fillId="0" borderId="0" applyNumberFormat="0" applyFill="0" applyBorder="0" applyAlignment="0" applyProtection="0"/>
    <xf numFmtId="0" fontId="65" fillId="0" borderId="68" applyNumberFormat="0" applyFill="0" applyAlignment="0" applyProtection="0"/>
    <xf numFmtId="0" fontId="66" fillId="0" borderId="54" applyNumberFormat="0" applyFill="0" applyAlignment="0" applyProtection="0"/>
    <xf numFmtId="0" fontId="67" fillId="0" borderId="69" applyNumberFormat="0" applyFill="0" applyAlignment="0" applyProtection="0"/>
    <xf numFmtId="0" fontId="68" fillId="0" borderId="55" applyNumberFormat="0" applyFill="0" applyAlignment="0" applyProtection="0"/>
    <xf numFmtId="0" fontId="46" fillId="0" borderId="70" applyNumberFormat="0" applyFill="0" applyAlignment="0" applyProtection="0"/>
    <xf numFmtId="0" fontId="47" fillId="0" borderId="56" applyNumberFormat="0" applyFill="0" applyAlignment="0" applyProtection="0"/>
    <xf numFmtId="0" fontId="69" fillId="0" borderId="0" applyNumberFormat="0" applyFill="0" applyBorder="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172" fontId="45" fillId="0" borderId="72">
      <protection locked="0"/>
    </xf>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70" fillId="0" borderId="71" applyNumberFormat="0" applyFill="0" applyAlignment="0" applyProtection="0"/>
    <xf numFmtId="0" fontId="22" fillId="0" borderId="62" applyNumberFormat="0" applyFill="0" applyAlignment="0" applyProtection="0"/>
    <xf numFmtId="172" fontId="45" fillId="0" borderId="72">
      <protection locked="0"/>
    </xf>
    <xf numFmtId="0" fontId="19" fillId="0" borderId="0"/>
    <xf numFmtId="0" fontId="11" fillId="0" borderId="0"/>
    <xf numFmtId="9"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167" fontId="11" fillId="0" borderId="0" applyFont="0" applyFill="0" applyBorder="0" applyAlignment="0" applyProtection="0"/>
    <xf numFmtId="168" fontId="11" fillId="0" borderId="0" applyFont="0" applyFill="0" applyBorder="0" applyAlignment="0" applyProtection="0"/>
    <xf numFmtId="0" fontId="73" fillId="0" borderId="0" applyNumberFormat="0" applyFill="0" applyBorder="0" applyAlignment="0" applyProtection="0"/>
    <xf numFmtId="0" fontId="74" fillId="0" borderId="54" applyNumberFormat="0" applyFill="0" applyAlignment="0" applyProtection="0"/>
    <xf numFmtId="0" fontId="75" fillId="0" borderId="55" applyNumberFormat="0" applyFill="0" applyAlignment="0" applyProtection="0"/>
    <xf numFmtId="0" fontId="76" fillId="0" borderId="56" applyNumberFormat="0" applyFill="0" applyAlignment="0" applyProtection="0"/>
    <xf numFmtId="0" fontId="76" fillId="0" borderId="0" applyNumberFormat="0" applyFill="0" applyBorder="0" applyAlignment="0" applyProtection="0"/>
    <xf numFmtId="0" fontId="77" fillId="9" borderId="0" applyNumberFormat="0" applyBorder="0" applyAlignment="0" applyProtection="0"/>
    <xf numFmtId="0" fontId="78" fillId="10" borderId="0" applyNumberFormat="0" applyBorder="0" applyAlignment="0" applyProtection="0"/>
    <xf numFmtId="0" fontId="79" fillId="11" borderId="0" applyNumberFormat="0" applyBorder="0" applyAlignment="0" applyProtection="0"/>
    <xf numFmtId="0" fontId="80" fillId="12" borderId="57" applyNumberFormat="0" applyAlignment="0" applyProtection="0"/>
    <xf numFmtId="0" fontId="81" fillId="13" borderId="58" applyNumberFormat="0" applyAlignment="0" applyProtection="0"/>
    <xf numFmtId="0" fontId="82" fillId="13" borderId="57" applyNumberFormat="0" applyAlignment="0" applyProtection="0"/>
    <xf numFmtId="0" fontId="83" fillId="0" borderId="59" applyNumberFormat="0" applyFill="0" applyAlignment="0" applyProtection="0"/>
    <xf numFmtId="0" fontId="84" fillId="14" borderId="60" applyNumberFormat="0" applyAlignment="0" applyProtection="0"/>
    <xf numFmtId="0" fontId="85" fillId="0" borderId="0" applyNumberFormat="0" applyFill="0" applyBorder="0" applyAlignment="0" applyProtection="0"/>
    <xf numFmtId="0" fontId="86" fillId="0" borderId="0" applyNumberFormat="0" applyFill="0" applyBorder="0" applyAlignment="0" applyProtection="0"/>
    <xf numFmtId="0" fontId="87" fillId="0" borderId="62" applyNumberFormat="0" applyFill="0" applyAlignment="0" applyProtection="0"/>
    <xf numFmtId="0" fontId="88"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88" fillId="19" borderId="0" applyNumberFormat="0" applyBorder="0" applyAlignment="0" applyProtection="0"/>
    <xf numFmtId="0" fontId="88"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88" fillId="23" borderId="0" applyNumberFormat="0" applyBorder="0" applyAlignment="0" applyProtection="0"/>
    <xf numFmtId="0" fontId="88"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88" fillId="27" borderId="0" applyNumberFormat="0" applyBorder="0" applyAlignment="0" applyProtection="0"/>
    <xf numFmtId="0" fontId="88"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88" fillId="31" borderId="0" applyNumberFormat="0" applyBorder="0" applyAlignment="0" applyProtection="0"/>
    <xf numFmtId="0" fontId="88"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88" fillId="35" borderId="0" applyNumberFormat="0" applyBorder="0" applyAlignment="0" applyProtection="0"/>
    <xf numFmtId="0" fontId="88" fillId="36" borderId="0" applyNumberFormat="0" applyBorder="0" applyAlignment="0" applyProtection="0"/>
    <xf numFmtId="0" fontId="10" fillId="37" borderId="0" applyNumberFormat="0" applyBorder="0" applyAlignment="0" applyProtection="0"/>
    <xf numFmtId="0" fontId="10" fillId="38" borderId="0" applyNumberFormat="0" applyBorder="0" applyAlignment="0" applyProtection="0"/>
    <xf numFmtId="0" fontId="88" fillId="39" borderId="0" applyNumberFormat="0" applyBorder="0" applyAlignment="0" applyProtection="0"/>
    <xf numFmtId="0" fontId="90" fillId="0" borderId="0"/>
    <xf numFmtId="0" fontId="10" fillId="0" borderId="0"/>
    <xf numFmtId="0" fontId="10" fillId="15" borderId="61" applyNumberFormat="0" applyFont="0" applyAlignment="0" applyProtection="0"/>
    <xf numFmtId="0" fontId="19" fillId="0" borderId="0" applyNumberFormat="0" applyFont="0" applyFill="0" applyBorder="0" applyAlignment="0" applyProtection="0"/>
    <xf numFmtId="0" fontId="9" fillId="0" borderId="0"/>
    <xf numFmtId="167" fontId="9" fillId="0" borderId="0" applyFont="0" applyFill="0" applyBorder="0" applyAlignment="0" applyProtection="0"/>
    <xf numFmtId="9" fontId="9" fillId="0" borderId="0" applyFont="0" applyFill="0" applyBorder="0" applyAlignment="0" applyProtection="0"/>
    <xf numFmtId="0" fontId="8" fillId="0" borderId="0"/>
    <xf numFmtId="167" fontId="8" fillId="0" borderId="0" applyFont="0" applyFill="0" applyBorder="0" applyAlignment="0" applyProtection="0"/>
    <xf numFmtId="9" fontId="8" fillId="0" borderId="0" applyFont="0" applyFill="0" applyBorder="0" applyAlignment="0" applyProtection="0"/>
    <xf numFmtId="0" fontId="7" fillId="0" borderId="0"/>
    <xf numFmtId="167" fontId="7" fillId="0" borderId="0" applyFont="0" applyFill="0" applyBorder="0" applyAlignment="0" applyProtection="0"/>
    <xf numFmtId="9" fontId="7" fillId="0" borderId="0" applyFont="0" applyFill="0" applyBorder="0" applyAlignment="0" applyProtection="0"/>
    <xf numFmtId="0" fontId="6" fillId="0" borderId="0"/>
    <xf numFmtId="167" fontId="6" fillId="0" borderId="0" applyFont="0" applyFill="0" applyBorder="0" applyAlignment="0" applyProtection="0"/>
    <xf numFmtId="9" fontId="6" fillId="0" borderId="0" applyFont="0" applyFill="0" applyBorder="0" applyAlignment="0" applyProtection="0"/>
    <xf numFmtId="0" fontId="30" fillId="0" borderId="0"/>
    <xf numFmtId="9" fontId="30" fillId="0" borderId="0" applyFont="0" applyFill="0" applyBorder="0" applyAlignment="0" applyProtection="0"/>
    <xf numFmtId="0" fontId="5" fillId="0" borderId="0"/>
    <xf numFmtId="165" fontId="5" fillId="0" borderId="0" applyFont="0" applyFill="0" applyBorder="0" applyAlignment="0" applyProtection="0"/>
    <xf numFmtId="0" fontId="108" fillId="0" borderId="0"/>
    <xf numFmtId="0" fontId="4" fillId="0" borderId="0"/>
    <xf numFmtId="43" fontId="4" fillId="0" borderId="0" applyFont="0" applyFill="0" applyBorder="0" applyAlignment="0" applyProtection="0"/>
    <xf numFmtId="178" fontId="31" fillId="0" borderId="0" applyFont="0" applyBorder="0" applyProtection="0"/>
    <xf numFmtId="0" fontId="3" fillId="0" borderId="0"/>
    <xf numFmtId="178" fontId="89" fillId="0" borderId="0" applyBorder="0" applyProtection="0"/>
    <xf numFmtId="9" fontId="89" fillId="0" borderId="0" applyBorder="0" applyProtection="0"/>
    <xf numFmtId="9" fontId="3" fillId="0" borderId="0" applyFont="0" applyFill="0" applyBorder="0" applyAlignment="0" applyProtection="0"/>
    <xf numFmtId="0" fontId="89" fillId="0" borderId="0" applyNumberFormat="0" applyBorder="0" applyProtection="0"/>
    <xf numFmtId="0" fontId="89" fillId="0" borderId="0" applyNumberFormat="0" applyBorder="0" applyProtection="0"/>
    <xf numFmtId="0" fontId="89" fillId="0" borderId="0" applyNumberFormat="0" applyBorder="0" applyProtection="0"/>
    <xf numFmtId="184" fontId="31" fillId="0" borderId="0" applyFont="0" applyBorder="0" applyProtection="0"/>
    <xf numFmtId="0" fontId="129" fillId="0" borderId="0" applyNumberFormat="0" applyBorder="0" applyProtection="0"/>
    <xf numFmtId="0" fontId="2" fillId="0" borderId="0"/>
    <xf numFmtId="168"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0" fontId="182" fillId="94" borderId="0">
      <alignment vertical="center"/>
    </xf>
    <xf numFmtId="6" fontId="2" fillId="0" borderId="0" applyFont="0" applyFill="0" applyBorder="0" applyAlignment="0" applyProtection="0"/>
    <xf numFmtId="0" fontId="185" fillId="92" borderId="0" applyNumberFormat="0" applyBorder="0" applyAlignment="0" applyProtection="0"/>
    <xf numFmtId="0" fontId="88" fillId="95" borderId="0" applyNumberFormat="0" applyBorder="0" applyAlignment="0" applyProtection="0">
      <alignment horizontal="right" indent="1"/>
    </xf>
    <xf numFmtId="0" fontId="183" fillId="92" borderId="0" applyNumberFormat="0" applyBorder="0" applyProtection="0">
      <alignment horizontal="left" vertical="center" indent="4"/>
    </xf>
    <xf numFmtId="187" fontId="184" fillId="92" borderId="0" applyBorder="0" applyProtection="0">
      <alignment horizontal="right" vertical="center" indent="2"/>
    </xf>
    <xf numFmtId="0" fontId="186" fillId="92" borderId="0" applyNumberFormat="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1030">
    <xf numFmtId="0" fontId="0" fillId="0" borderId="0" xfId="0"/>
    <xf numFmtId="0" fontId="20" fillId="0" borderId="0" xfId="0" applyNumberFormat="1" applyFont="1" applyFill="1" applyBorder="1" applyAlignment="1">
      <alignment horizontal="left" vertical="center"/>
    </xf>
    <xf numFmtId="0" fontId="0" fillId="0" borderId="0" xfId="0" applyNumberFormat="1" applyFont="1" applyFill="1" applyBorder="1" applyAlignment="1">
      <alignment horizontal="left" vertical="center" wrapText="1"/>
    </xf>
    <xf numFmtId="0" fontId="24" fillId="0" borderId="0" xfId="0" applyNumberFormat="1" applyFont="1" applyFill="1" applyBorder="1" applyAlignment="1">
      <alignment vertical="center"/>
    </xf>
    <xf numFmtId="0" fontId="23" fillId="0" borderId="0" xfId="0" applyNumberFormat="1" applyFont="1" applyFill="1" applyBorder="1" applyAlignment="1">
      <alignment horizontal="center" vertical="center" wrapText="1"/>
    </xf>
    <xf numFmtId="0" fontId="24" fillId="0" borderId="14" xfId="0" applyNumberFormat="1" applyFont="1" applyFill="1" applyBorder="1" applyAlignment="1">
      <alignment vertical="center" wrapText="1"/>
    </xf>
    <xf numFmtId="0" fontId="20" fillId="3" borderId="35" xfId="0" applyNumberFormat="1" applyFont="1" applyFill="1" applyBorder="1" applyAlignment="1">
      <alignment horizontal="center" vertical="center"/>
    </xf>
    <xf numFmtId="0" fontId="24" fillId="5" borderId="12" xfId="0" applyNumberFormat="1" applyFont="1" applyFill="1" applyBorder="1" applyAlignment="1">
      <alignment horizontal="center" vertical="center" wrapText="1"/>
    </xf>
    <xf numFmtId="0" fontId="24" fillId="5" borderId="45" xfId="0" applyNumberFormat="1" applyFont="1" applyFill="1" applyBorder="1" applyAlignment="1">
      <alignment horizontal="center" vertical="center" wrapText="1"/>
    </xf>
    <xf numFmtId="0" fontId="20" fillId="3" borderId="16" xfId="0" applyNumberFormat="1" applyFont="1" applyFill="1" applyBorder="1" applyAlignment="1">
      <alignment horizontal="center" vertical="center" wrapText="1"/>
    </xf>
    <xf numFmtId="0" fontId="24" fillId="0" borderId="7" xfId="0" applyNumberFormat="1" applyFont="1" applyFill="1" applyBorder="1" applyAlignment="1">
      <alignment vertical="center" wrapText="1"/>
    </xf>
    <xf numFmtId="0" fontId="24" fillId="0" borderId="49" xfId="0" applyNumberFormat="1" applyFont="1" applyFill="1" applyBorder="1" applyAlignment="1">
      <alignment vertical="center" wrapText="1"/>
    </xf>
    <xf numFmtId="0" fontId="0" fillId="0" borderId="0" xfId="0"/>
    <xf numFmtId="0" fontId="24" fillId="5" borderId="23" xfId="0" applyNumberFormat="1" applyFont="1" applyFill="1" applyBorder="1" applyAlignment="1">
      <alignment horizontal="center" vertical="center" wrapText="1"/>
    </xf>
    <xf numFmtId="0" fontId="20" fillId="3" borderId="18" xfId="0" applyNumberFormat="1" applyFont="1" applyFill="1" applyBorder="1" applyAlignment="1">
      <alignment horizontal="center" vertical="center" wrapText="1"/>
    </xf>
    <xf numFmtId="0" fontId="20" fillId="3" borderId="34" xfId="0" applyNumberFormat="1" applyFont="1" applyFill="1" applyBorder="1" applyAlignment="1">
      <alignment horizontal="center" vertical="center" wrapText="1"/>
    </xf>
    <xf numFmtId="0" fontId="24" fillId="5" borderId="20" xfId="0" applyNumberFormat="1" applyFont="1" applyFill="1" applyBorder="1" applyAlignment="1">
      <alignment horizontal="center" vertical="center" wrapText="1"/>
    </xf>
    <xf numFmtId="0" fontId="0" fillId="0" borderId="0" xfId="0" applyBorder="1"/>
    <xf numFmtId="0" fontId="20" fillId="3" borderId="17" xfId="0" applyNumberFormat="1" applyFont="1" applyFill="1" applyBorder="1" applyAlignment="1">
      <alignment horizontal="center" vertical="center" wrapText="1"/>
    </xf>
    <xf numFmtId="0" fontId="29" fillId="0" borderId="11" xfId="0" applyNumberFormat="1" applyFont="1" applyFill="1" applyBorder="1" applyAlignment="1">
      <alignment vertical="center" wrapText="1"/>
    </xf>
    <xf numFmtId="0" fontId="24" fillId="0" borderId="12" xfId="0" applyNumberFormat="1" applyFont="1" applyFill="1" applyBorder="1" applyAlignment="1">
      <alignment vertical="center" wrapText="1"/>
    </xf>
    <xf numFmtId="0" fontId="24" fillId="0" borderId="11" xfId="0" applyNumberFormat="1" applyFont="1" applyFill="1" applyBorder="1" applyAlignment="1">
      <alignment vertical="center" wrapText="1"/>
    </xf>
    <xf numFmtId="0" fontId="29" fillId="0" borderId="49" xfId="0" applyNumberFormat="1" applyFont="1" applyFill="1" applyBorder="1" applyAlignment="1">
      <alignment vertical="center" wrapText="1"/>
    </xf>
    <xf numFmtId="0" fontId="0" fillId="0" borderId="0" xfId="0" applyNumberFormat="1" applyFont="1" applyFill="1" applyBorder="1" applyAlignment="1">
      <alignment vertical="center"/>
    </xf>
    <xf numFmtId="167" fontId="0" fillId="0" borderId="0" xfId="0" applyNumberFormat="1" applyFont="1" applyFill="1" applyBorder="1" applyAlignment="1">
      <alignment vertical="center"/>
    </xf>
    <xf numFmtId="10" fontId="0" fillId="0" borderId="0" xfId="0" applyNumberFormat="1" applyFont="1" applyFill="1" applyBorder="1" applyAlignment="1">
      <alignment vertical="center"/>
    </xf>
    <xf numFmtId="0" fontId="94" fillId="0" borderId="0" xfId="0" applyFont="1"/>
    <xf numFmtId="0" fontId="95" fillId="0" borderId="0" xfId="0" applyFont="1" applyAlignment="1">
      <alignment horizontal="left" vertical="center" readingOrder="1"/>
    </xf>
    <xf numFmtId="0" fontId="96" fillId="0" borderId="0" xfId="0" applyFont="1" applyAlignment="1">
      <alignment horizontal="left" vertical="center" readingOrder="1"/>
    </xf>
    <xf numFmtId="0" fontId="99" fillId="3" borderId="0" xfId="0" applyFont="1" applyFill="1"/>
    <xf numFmtId="0" fontId="94" fillId="63" borderId="0" xfId="0" applyFont="1" applyFill="1"/>
    <xf numFmtId="0" fontId="96" fillId="63" borderId="0" xfId="0" applyFont="1" applyFill="1" applyAlignment="1">
      <alignment horizontal="left" vertical="center" readingOrder="1"/>
    </xf>
    <xf numFmtId="2" fontId="0" fillId="5" borderId="0" xfId="0" applyNumberFormat="1" applyFont="1" applyFill="1" applyBorder="1" applyAlignment="1">
      <alignment horizontal="center" vertical="center"/>
    </xf>
    <xf numFmtId="0" fontId="0" fillId="5" borderId="0" xfId="0" applyNumberFormat="1" applyFont="1" applyFill="1" applyBorder="1" applyAlignment="1">
      <alignment horizontal="center" vertical="center"/>
    </xf>
    <xf numFmtId="0" fontId="100" fillId="0" borderId="0" xfId="1570" applyFont="1"/>
    <xf numFmtId="0" fontId="102" fillId="0" borderId="0" xfId="1570" applyFont="1"/>
    <xf numFmtId="3" fontId="0" fillId="0" borderId="0" xfId="0" applyNumberFormat="1" applyFont="1" applyFill="1" applyBorder="1" applyAlignment="1">
      <alignment horizontal="right" vertical="center"/>
    </xf>
    <xf numFmtId="3" fontId="0" fillId="0" borderId="0" xfId="5" applyNumberFormat="1" applyFont="1" applyFill="1" applyBorder="1" applyAlignment="1">
      <alignment horizontal="right" vertical="center"/>
    </xf>
    <xf numFmtId="3" fontId="91" fillId="0" borderId="0" xfId="5" applyNumberFormat="1" applyFont="1" applyFill="1" applyBorder="1" applyAlignment="1">
      <alignment horizontal="right" vertical="center"/>
    </xf>
    <xf numFmtId="9" fontId="0" fillId="0" borderId="0" xfId="6" applyFont="1" applyFill="1" applyBorder="1" applyAlignment="1">
      <alignment horizontal="right" vertical="center"/>
    </xf>
    <xf numFmtId="2" fontId="23" fillId="5" borderId="0" xfId="0" applyNumberFormat="1" applyFont="1" applyFill="1" applyBorder="1" applyAlignment="1">
      <alignment horizontal="center" vertical="center"/>
    </xf>
    <xf numFmtId="0" fontId="104" fillId="65" borderId="0" xfId="0" applyNumberFormat="1" applyFont="1" applyFill="1" applyBorder="1" applyAlignment="1">
      <alignment horizontal="center" vertical="center"/>
    </xf>
    <xf numFmtId="0" fontId="0" fillId="66" borderId="0" xfId="0" applyNumberFormat="1" applyFont="1" applyFill="1" applyBorder="1" applyAlignment="1">
      <alignment horizontal="center" vertical="center"/>
    </xf>
    <xf numFmtId="3" fontId="23" fillId="66" borderId="0" xfId="0" applyNumberFormat="1" applyFont="1" applyFill="1" applyBorder="1" applyAlignment="1">
      <alignment horizontal="right" vertical="center" wrapText="1"/>
    </xf>
    <xf numFmtId="0" fontId="0" fillId="66" borderId="0" xfId="0" applyNumberFormat="1" applyFont="1" applyFill="1" applyBorder="1" applyAlignment="1">
      <alignment vertical="center"/>
    </xf>
    <xf numFmtId="0" fontId="0" fillId="0" borderId="0" xfId="0" applyAlignment="1">
      <alignment horizontal="left"/>
    </xf>
    <xf numFmtId="0" fontId="103" fillId="65" borderId="0" xfId="0" applyNumberFormat="1" applyFont="1" applyFill="1" applyBorder="1" applyAlignment="1">
      <alignment horizontal="center" vertical="center" wrapText="1"/>
    </xf>
    <xf numFmtId="0" fontId="103" fillId="65" borderId="0" xfId="0" applyNumberFormat="1" applyFont="1" applyFill="1" applyBorder="1" applyAlignment="1">
      <alignment horizontal="center" vertical="center"/>
    </xf>
    <xf numFmtId="0" fontId="106" fillId="65" borderId="0" xfId="0" applyNumberFormat="1" applyFont="1" applyFill="1" applyBorder="1" applyAlignment="1">
      <alignment horizontal="center" vertical="center"/>
    </xf>
    <xf numFmtId="0" fontId="28" fillId="66" borderId="0" xfId="0"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0" fillId="3" borderId="0" xfId="0" applyNumberFormat="1" applyFont="1" applyFill="1" applyBorder="1" applyAlignment="1">
      <alignment horizontal="center" vertical="center"/>
    </xf>
    <xf numFmtId="0" fontId="28" fillId="3" borderId="0" xfId="0" applyNumberFormat="1" applyFont="1" applyFill="1" applyBorder="1" applyAlignment="1">
      <alignment horizontal="center" vertical="center"/>
    </xf>
    <xf numFmtId="3" fontId="23" fillId="3" borderId="0" xfId="0" applyNumberFormat="1" applyFont="1" applyFill="1" applyBorder="1" applyAlignment="1">
      <alignment horizontal="right" vertical="center" wrapText="1"/>
    </xf>
    <xf numFmtId="0" fontId="0" fillId="3" borderId="0" xfId="0" applyNumberFormat="1" applyFont="1" applyFill="1" applyBorder="1" applyAlignment="1">
      <alignment vertical="center"/>
    </xf>
    <xf numFmtId="0" fontId="20" fillId="3" borderId="9" xfId="0" applyNumberFormat="1" applyFont="1" applyFill="1" applyBorder="1" applyAlignment="1">
      <alignment horizontal="center" vertical="center" wrapText="1"/>
    </xf>
    <xf numFmtId="0" fontId="20" fillId="3" borderId="43" xfId="0" applyNumberFormat="1" applyFont="1" applyFill="1" applyBorder="1" applyAlignment="1">
      <alignment horizontal="center" vertical="center" wrapText="1"/>
    </xf>
    <xf numFmtId="0" fontId="20" fillId="3" borderId="44" xfId="0" applyNumberFormat="1" applyFont="1" applyFill="1" applyBorder="1" applyAlignment="1">
      <alignment horizontal="center" vertical="center" wrapText="1"/>
    </xf>
    <xf numFmtId="0" fontId="20" fillId="3" borderId="42" xfId="0" applyNumberFormat="1" applyFont="1" applyFill="1" applyBorder="1" applyAlignment="1">
      <alignment horizontal="center" vertical="center" wrapText="1"/>
    </xf>
    <xf numFmtId="0" fontId="107" fillId="0" borderId="0" xfId="0" applyNumberFormat="1" applyFont="1" applyFill="1" applyBorder="1" applyAlignment="1">
      <alignment horizontal="center" vertical="center"/>
    </xf>
    <xf numFmtId="0" fontId="107" fillId="5" borderId="0" xfId="0" applyNumberFormat="1" applyFont="1" applyFill="1" applyBorder="1" applyAlignment="1">
      <alignment horizontal="center" vertical="center"/>
    </xf>
    <xf numFmtId="0" fontId="108" fillId="2" borderId="0" xfId="1574" applyFill="1" applyBorder="1"/>
    <xf numFmtId="0" fontId="108" fillId="2" borderId="0" xfId="1574" applyFill="1"/>
    <xf numFmtId="0" fontId="108" fillId="0" borderId="0" xfId="1574"/>
    <xf numFmtId="0" fontId="23" fillId="2" borderId="0" xfId="1574" applyFont="1" applyFill="1" applyBorder="1"/>
    <xf numFmtId="0" fontId="19" fillId="2" borderId="0" xfId="1574" applyFont="1" applyFill="1" applyBorder="1"/>
    <xf numFmtId="0" fontId="19" fillId="2" borderId="0" xfId="1574" applyFont="1" applyFill="1"/>
    <xf numFmtId="0" fontId="19" fillId="0" borderId="0" xfId="1574" applyFont="1"/>
    <xf numFmtId="0" fontId="113" fillId="68" borderId="19" xfId="1574" applyFont="1" applyFill="1" applyBorder="1" applyAlignment="1">
      <alignment horizontal="center" vertical="center" wrapText="1"/>
    </xf>
    <xf numFmtId="0" fontId="113" fillId="68" borderId="20" xfId="1574" applyFont="1" applyFill="1" applyBorder="1" applyAlignment="1">
      <alignment horizontal="center" vertical="center" wrapText="1"/>
    </xf>
    <xf numFmtId="0" fontId="113" fillId="68" borderId="21" xfId="1574" applyFont="1" applyFill="1" applyBorder="1" applyAlignment="1">
      <alignment horizontal="center" vertical="center" wrapText="1"/>
    </xf>
    <xf numFmtId="0" fontId="114" fillId="0" borderId="20" xfId="1574" applyFont="1" applyFill="1" applyBorder="1" applyAlignment="1">
      <alignment vertical="top" wrapText="1"/>
    </xf>
    <xf numFmtId="2" fontId="70" fillId="2" borderId="23" xfId="1574" applyNumberFormat="1" applyFont="1" applyFill="1" applyBorder="1" applyAlignment="1">
      <alignment wrapText="1"/>
    </xf>
    <xf numFmtId="2" fontId="70" fillId="2" borderId="24" xfId="1574" applyNumberFormat="1" applyFont="1" applyFill="1" applyBorder="1" applyAlignment="1">
      <alignment wrapText="1"/>
    </xf>
    <xf numFmtId="2" fontId="70" fillId="0" borderId="23" xfId="1574" applyNumberFormat="1" applyFont="1" applyFill="1" applyBorder="1" applyAlignment="1">
      <alignment horizontal="right" wrapText="1"/>
    </xf>
    <xf numFmtId="2" fontId="70" fillId="0" borderId="20" xfId="1574" applyNumberFormat="1" applyFont="1" applyFill="1" applyBorder="1" applyAlignment="1">
      <alignment horizontal="right" wrapText="1"/>
    </xf>
    <xf numFmtId="0" fontId="55" fillId="0" borderId="23" xfId="1574" applyFont="1" applyFill="1" applyBorder="1" applyAlignment="1">
      <alignment vertical="top" wrapText="1"/>
    </xf>
    <xf numFmtId="2" fontId="33" fillId="2" borderId="23" xfId="1574" applyNumberFormat="1" applyFont="1" applyFill="1" applyBorder="1" applyAlignment="1">
      <alignment wrapText="1"/>
    </xf>
    <xf numFmtId="2" fontId="33" fillId="2" borderId="24" xfId="1574" applyNumberFormat="1" applyFont="1" applyFill="1" applyBorder="1" applyAlignment="1">
      <alignment wrapText="1"/>
    </xf>
    <xf numFmtId="0" fontId="114" fillId="0" borderId="23" xfId="1574" applyFont="1" applyFill="1" applyBorder="1" applyAlignment="1">
      <alignment vertical="top" wrapText="1"/>
    </xf>
    <xf numFmtId="0" fontId="55" fillId="0" borderId="41" xfId="1574" applyFont="1" applyFill="1" applyBorder="1" applyAlignment="1">
      <alignment vertical="top" wrapText="1"/>
    </xf>
    <xf numFmtId="2" fontId="33" fillId="2" borderId="41" xfId="1574" applyNumberFormat="1" applyFont="1" applyFill="1" applyBorder="1" applyAlignment="1">
      <alignment wrapText="1"/>
    </xf>
    <xf numFmtId="2" fontId="33" fillId="2" borderId="46" xfId="1574" applyNumberFormat="1" applyFont="1" applyFill="1" applyBorder="1" applyAlignment="1">
      <alignment wrapText="1"/>
    </xf>
    <xf numFmtId="2" fontId="70" fillId="0" borderId="41" xfId="1574" applyNumberFormat="1" applyFont="1" applyFill="1" applyBorder="1" applyAlignment="1">
      <alignment horizontal="right" wrapText="1"/>
    </xf>
    <xf numFmtId="0" fontId="115" fillId="68" borderId="23" xfId="1574" applyFont="1" applyFill="1" applyBorder="1"/>
    <xf numFmtId="175" fontId="115" fillId="68" borderId="23" xfId="1574" applyNumberFormat="1" applyFont="1" applyFill="1" applyBorder="1"/>
    <xf numFmtId="175" fontId="115" fillId="68" borderId="24" xfId="1574" applyNumberFormat="1" applyFont="1" applyFill="1" applyBorder="1"/>
    <xf numFmtId="176" fontId="115" fillId="68" borderId="23" xfId="1574" applyNumberFormat="1" applyFont="1" applyFill="1" applyBorder="1" applyAlignment="1">
      <alignment horizontal="right"/>
    </xf>
    <xf numFmtId="0" fontId="34" fillId="2" borderId="0" xfId="1574" applyFont="1" applyFill="1" applyBorder="1"/>
    <xf numFmtId="0" fontId="70" fillId="63" borderId="46" xfId="1574" applyFont="1" applyFill="1" applyBorder="1"/>
    <xf numFmtId="175" fontId="70" fillId="63" borderId="77" xfId="1574" applyNumberFormat="1" applyFont="1" applyFill="1" applyBorder="1"/>
    <xf numFmtId="175" fontId="70" fillId="63" borderId="76" xfId="1574" applyNumberFormat="1" applyFont="1" applyFill="1" applyBorder="1"/>
    <xf numFmtId="176" fontId="70" fillId="63" borderId="41" xfId="1574" applyNumberFormat="1" applyFont="1" applyFill="1" applyBorder="1" applyAlignment="1">
      <alignment horizontal="right"/>
    </xf>
    <xf numFmtId="0" fontId="19" fillId="2" borderId="0" xfId="1574" applyFont="1" applyFill="1" applyBorder="1" applyAlignment="1">
      <alignment horizontal="right"/>
    </xf>
    <xf numFmtId="0" fontId="116" fillId="63" borderId="75" xfId="1574" applyFont="1" applyFill="1" applyBorder="1"/>
    <xf numFmtId="175" fontId="114" fillId="63" borderId="0" xfId="1574" applyNumberFormat="1" applyFont="1" applyFill="1" applyBorder="1"/>
    <xf numFmtId="175" fontId="70" fillId="63" borderId="0" xfId="1574" applyNumberFormat="1" applyFont="1" applyFill="1" applyBorder="1"/>
    <xf numFmtId="175" fontId="70" fillId="63" borderId="74" xfId="1574" applyNumberFormat="1" applyFont="1" applyFill="1" applyBorder="1"/>
    <xf numFmtId="176" fontId="70" fillId="63" borderId="20" xfId="1574" applyNumberFormat="1" applyFont="1" applyFill="1" applyBorder="1" applyAlignment="1">
      <alignment horizontal="right"/>
    </xf>
    <xf numFmtId="0" fontId="117" fillId="63" borderId="75" xfId="1574" applyFont="1" applyFill="1" applyBorder="1"/>
    <xf numFmtId="176" fontId="70" fillId="0" borderId="80" xfId="1574" quotePrefix="1" applyNumberFormat="1" applyFont="1" applyFill="1" applyBorder="1" applyAlignment="1">
      <alignment horizontal="right"/>
    </xf>
    <xf numFmtId="175" fontId="118" fillId="63" borderId="0" xfId="1574" applyNumberFormat="1" applyFont="1" applyFill="1" applyBorder="1"/>
    <xf numFmtId="175" fontId="119" fillId="63" borderId="0" xfId="1574" applyNumberFormat="1" applyFont="1" applyFill="1" applyBorder="1"/>
    <xf numFmtId="175" fontId="119" fillId="63" borderId="74" xfId="1574" applyNumberFormat="1" applyFont="1" applyFill="1" applyBorder="1"/>
    <xf numFmtId="176" fontId="70" fillId="0" borderId="81" xfId="1574" quotePrefix="1" applyNumberFormat="1" applyFont="1" applyFill="1" applyBorder="1" applyAlignment="1">
      <alignment horizontal="right"/>
    </xf>
    <xf numFmtId="0" fontId="120" fillId="63" borderId="21" xfId="1574" applyFont="1" applyFill="1" applyBorder="1"/>
    <xf numFmtId="175" fontId="118" fillId="63" borderId="78" xfId="1574" applyNumberFormat="1" applyFont="1" applyFill="1" applyBorder="1"/>
    <xf numFmtId="175" fontId="119" fillId="63" borderId="78" xfId="1574" applyNumberFormat="1" applyFont="1" applyFill="1" applyBorder="1"/>
    <xf numFmtId="175" fontId="119" fillId="63" borderId="19" xfId="1574" applyNumberFormat="1" applyFont="1" applyFill="1" applyBorder="1"/>
    <xf numFmtId="176" fontId="33" fillId="0" borderId="80" xfId="1574" applyNumberFormat="1" applyFont="1" applyFill="1" applyBorder="1" applyAlignment="1">
      <alignment horizontal="right"/>
    </xf>
    <xf numFmtId="0" fontId="23" fillId="68" borderId="24" xfId="1574" applyFont="1" applyFill="1" applyBorder="1"/>
    <xf numFmtId="0" fontId="119" fillId="68" borderId="79" xfId="1574" applyFont="1" applyFill="1" applyBorder="1"/>
    <xf numFmtId="0" fontId="119" fillId="68" borderId="22" xfId="1574" applyFont="1" applyFill="1" applyBorder="1"/>
    <xf numFmtId="176" fontId="70" fillId="68" borderId="20" xfId="1574" applyNumberFormat="1" applyFont="1" applyFill="1" applyBorder="1" applyAlignment="1">
      <alignment horizontal="right"/>
    </xf>
    <xf numFmtId="0" fontId="108" fillId="2" borderId="0" xfId="1574" applyFill="1" applyBorder="1" applyAlignment="1">
      <alignment horizontal="right"/>
    </xf>
    <xf numFmtId="0" fontId="23" fillId="5" borderId="0" xfId="1574" applyFont="1" applyFill="1" applyBorder="1"/>
    <xf numFmtId="0" fontId="119" fillId="5" borderId="0" xfId="1574" applyFont="1" applyFill="1" applyBorder="1"/>
    <xf numFmtId="176" fontId="70" fillId="5" borderId="0" xfId="1574" applyNumberFormat="1" applyFont="1" applyFill="1" applyBorder="1" applyAlignment="1">
      <alignment horizontal="right"/>
    </xf>
    <xf numFmtId="0" fontId="34" fillId="5" borderId="0" xfId="1574" applyFont="1" applyFill="1" applyBorder="1"/>
    <xf numFmtId="0" fontId="108" fillId="5" borderId="0" xfId="1574" applyFill="1" applyBorder="1" applyAlignment="1">
      <alignment horizontal="right"/>
    </xf>
    <xf numFmtId="0" fontId="23" fillId="5" borderId="0" xfId="1574" quotePrefix="1" applyFont="1" applyFill="1" applyBorder="1"/>
    <xf numFmtId="0" fontId="108" fillId="5" borderId="0" xfId="1574" applyFill="1" applyBorder="1"/>
    <xf numFmtId="0" fontId="108" fillId="5" borderId="0" xfId="1574" applyFill="1"/>
    <xf numFmtId="0" fontId="71" fillId="2" borderId="0" xfId="1574" applyFont="1" applyFill="1" applyAlignment="1">
      <alignment horizontal="left" wrapText="1"/>
    </xf>
    <xf numFmtId="0" fontId="108" fillId="0" borderId="0" xfId="1574" applyBorder="1"/>
    <xf numFmtId="0" fontId="0" fillId="2" borderId="0" xfId="1574" applyFont="1" applyFill="1"/>
    <xf numFmtId="0" fontId="100" fillId="67" borderId="22" xfId="1570" applyNumberFormat="1" applyFont="1" applyFill="1" applyBorder="1" applyAlignment="1">
      <alignment horizontal="left" vertical="center" wrapText="1"/>
    </xf>
    <xf numFmtId="0" fontId="100" fillId="0" borderId="79" xfId="1570" applyNumberFormat="1" applyFont="1" applyBorder="1" applyAlignment="1">
      <alignment horizontal="left" vertical="center" wrapText="1"/>
    </xf>
    <xf numFmtId="0" fontId="100" fillId="0" borderId="22" xfId="1570" applyNumberFormat="1" applyFont="1" applyBorder="1" applyAlignment="1">
      <alignment horizontal="left" vertical="center" wrapText="1"/>
    </xf>
    <xf numFmtId="0" fontId="0" fillId="0" borderId="0" xfId="1" applyNumberFormat="1" applyFont="1"/>
    <xf numFmtId="3" fontId="94" fillId="67" borderId="23" xfId="1" applyNumberFormat="1" applyFont="1" applyFill="1" applyBorder="1" applyAlignment="1">
      <alignment horizontal="center" vertical="center" wrapText="1"/>
    </xf>
    <xf numFmtId="3" fontId="94" fillId="0" borderId="23" xfId="1" applyNumberFormat="1" applyFont="1" applyBorder="1" applyAlignment="1">
      <alignment horizontal="center" vertical="center" wrapText="1"/>
    </xf>
    <xf numFmtId="0" fontId="100" fillId="0" borderId="0" xfId="1570" applyNumberFormat="1" applyFont="1" applyFill="1" applyBorder="1" applyAlignment="1">
      <alignment horizontal="left" vertical="center" wrapText="1"/>
    </xf>
    <xf numFmtId="0" fontId="126" fillId="69" borderId="86" xfId="0" applyFont="1" applyFill="1" applyBorder="1" applyAlignment="1">
      <alignment horizontal="center" vertical="center" wrapText="1"/>
    </xf>
    <xf numFmtId="0" fontId="126" fillId="69" borderId="85" xfId="0" applyFont="1" applyFill="1" applyBorder="1" applyAlignment="1">
      <alignment horizontal="center" vertical="center" wrapText="1"/>
    </xf>
    <xf numFmtId="0" fontId="128" fillId="0" borderId="0" xfId="0" applyFont="1" applyAlignment="1">
      <alignment horizontal="center" vertical="center" wrapText="1"/>
    </xf>
    <xf numFmtId="0" fontId="127" fillId="0" borderId="83" xfId="0" applyFont="1" applyBorder="1" applyAlignment="1">
      <alignment horizontal="center" vertical="center" wrapText="1"/>
    </xf>
    <xf numFmtId="0" fontId="123" fillId="0" borderId="0" xfId="0" applyFont="1" applyAlignment="1">
      <alignment vertical="center"/>
    </xf>
    <xf numFmtId="0" fontId="58" fillId="0" borderId="91" xfId="0" applyFont="1" applyBorder="1" applyAlignment="1">
      <alignment vertical="center" wrapText="1"/>
    </xf>
    <xf numFmtId="0" fontId="129" fillId="0" borderId="91" xfId="0" applyFont="1" applyBorder="1" applyAlignment="1">
      <alignment vertical="center"/>
    </xf>
    <xf numFmtId="0" fontId="129" fillId="0" borderId="91" xfId="0" applyFont="1" applyBorder="1" applyAlignment="1">
      <alignment horizontal="right" vertical="center"/>
    </xf>
    <xf numFmtId="0" fontId="0" fillId="0" borderId="0" xfId="0" applyAlignment="1">
      <alignment vertical="center"/>
    </xf>
    <xf numFmtId="0" fontId="58" fillId="0" borderId="92" xfId="0" applyFont="1" applyBorder="1" applyAlignment="1">
      <alignment vertical="center" wrapText="1"/>
    </xf>
    <xf numFmtId="3" fontId="129" fillId="0" borderId="92" xfId="0" applyNumberFormat="1" applyFont="1" applyBorder="1" applyAlignment="1">
      <alignment horizontal="right" vertical="center"/>
    </xf>
    <xf numFmtId="0" fontId="129" fillId="0" borderId="92" xfId="0" applyFont="1" applyBorder="1" applyAlignment="1">
      <alignment horizontal="right" vertical="center"/>
    </xf>
    <xf numFmtId="0" fontId="131" fillId="71" borderId="91" xfId="0" applyFont="1" applyFill="1" applyBorder="1" applyAlignment="1">
      <alignment vertical="center" wrapText="1"/>
    </xf>
    <xf numFmtId="3" fontId="129" fillId="0" borderId="91" xfId="0" applyNumberFormat="1" applyFont="1" applyBorder="1" applyAlignment="1">
      <alignment horizontal="right" vertical="center"/>
    </xf>
    <xf numFmtId="3" fontId="129" fillId="72" borderId="91" xfId="0" applyNumberFormat="1" applyFont="1" applyFill="1" applyBorder="1" applyAlignment="1">
      <alignment horizontal="right" vertical="center"/>
    </xf>
    <xf numFmtId="0" fontId="58" fillId="72" borderId="91" xfId="0" applyFont="1" applyFill="1" applyBorder="1" applyAlignment="1">
      <alignment vertical="center" wrapText="1"/>
    </xf>
    <xf numFmtId="0" fontId="58" fillId="73" borderId="91" xfId="0" applyFont="1" applyFill="1" applyBorder="1" applyAlignment="1">
      <alignment vertical="center" wrapText="1"/>
    </xf>
    <xf numFmtId="3" fontId="129" fillId="73" borderId="91" xfId="0" applyNumberFormat="1" applyFont="1" applyFill="1" applyBorder="1" applyAlignment="1">
      <alignment horizontal="right" vertical="center"/>
    </xf>
    <xf numFmtId="0" fontId="129" fillId="0" borderId="91" xfId="0" applyFont="1" applyBorder="1" applyAlignment="1">
      <alignment vertical="center" wrapText="1"/>
    </xf>
    <xf numFmtId="3" fontId="129" fillId="0" borderId="91" xfId="0" applyNumberFormat="1" applyFont="1" applyBorder="1" applyAlignment="1">
      <alignment horizontal="right" vertical="center" wrapText="1"/>
    </xf>
    <xf numFmtId="0" fontId="132" fillId="0" borderId="91" xfId="0" applyFont="1" applyBorder="1" applyAlignment="1">
      <alignment vertical="center" wrapText="1"/>
    </xf>
    <xf numFmtId="0" fontId="129" fillId="0" borderId="96" xfId="0" applyFont="1" applyBorder="1" applyAlignment="1">
      <alignment vertical="center" wrapText="1"/>
    </xf>
    <xf numFmtId="0" fontId="129" fillId="0" borderId="98" xfId="0" applyFont="1" applyBorder="1" applyAlignment="1">
      <alignment vertical="center" wrapText="1"/>
    </xf>
    <xf numFmtId="0" fontId="129" fillId="0" borderId="103" xfId="0" applyFont="1" applyBorder="1" applyAlignment="1">
      <alignment vertical="center" wrapText="1"/>
    </xf>
    <xf numFmtId="3" fontId="129" fillId="0" borderId="98" xfId="0" applyNumberFormat="1" applyFont="1" applyBorder="1" applyAlignment="1">
      <alignment horizontal="right" vertical="center" wrapText="1"/>
    </xf>
    <xf numFmtId="0" fontId="129" fillId="0" borderId="100" xfId="0" applyFont="1" applyBorder="1" applyAlignment="1">
      <alignment vertical="center" wrapText="1"/>
    </xf>
    <xf numFmtId="0" fontId="129" fillId="0" borderId="112" xfId="0" applyFont="1" applyBorder="1" applyAlignment="1">
      <alignment horizontal="right" vertical="center" wrapText="1"/>
    </xf>
    <xf numFmtId="0" fontId="129" fillId="0" borderId="103" xfId="0" applyFont="1" applyBorder="1" applyAlignment="1">
      <alignment horizontal="right" vertical="center" wrapText="1"/>
    </xf>
    <xf numFmtId="0" fontId="129" fillId="0" borderId="113" xfId="0" applyFont="1" applyBorder="1" applyAlignment="1">
      <alignment vertical="center" wrapText="1"/>
    </xf>
    <xf numFmtId="0" fontId="129" fillId="63" borderId="104" xfId="0" applyFont="1" applyFill="1" applyBorder="1" applyAlignment="1">
      <alignment vertical="center" wrapText="1"/>
    </xf>
    <xf numFmtId="3" fontId="129" fillId="63" borderId="104" xfId="0" applyNumberFormat="1" applyFont="1" applyFill="1" applyBorder="1" applyAlignment="1">
      <alignment horizontal="right" vertical="center" wrapText="1"/>
    </xf>
    <xf numFmtId="0" fontId="129" fillId="63" borderId="98" xfId="0" applyFont="1" applyFill="1" applyBorder="1" applyAlignment="1">
      <alignment vertical="center" wrapText="1"/>
    </xf>
    <xf numFmtId="3" fontId="129" fillId="63" borderId="98" xfId="0" applyNumberFormat="1" applyFont="1" applyFill="1" applyBorder="1" applyAlignment="1">
      <alignment horizontal="right" vertical="center" wrapText="1"/>
    </xf>
    <xf numFmtId="3" fontId="129" fillId="0" borderId="114" xfId="1" applyNumberFormat="1" applyFont="1" applyBorder="1" applyAlignment="1">
      <alignment horizontal="right" vertical="center" wrapText="1"/>
    </xf>
    <xf numFmtId="3" fontId="129" fillId="0" borderId="91" xfId="1" applyNumberFormat="1" applyFont="1" applyBorder="1" applyAlignment="1">
      <alignment horizontal="right" vertical="center" wrapText="1"/>
    </xf>
    <xf numFmtId="3" fontId="129" fillId="0" borderId="115" xfId="1" applyNumberFormat="1" applyFont="1" applyBorder="1" applyAlignment="1">
      <alignment horizontal="right" vertical="center" wrapText="1"/>
    </xf>
    <xf numFmtId="3" fontId="129" fillId="0" borderId="101" xfId="1" applyNumberFormat="1" applyFont="1" applyBorder="1" applyAlignment="1">
      <alignment horizontal="right" vertical="center" wrapText="1"/>
    </xf>
    <xf numFmtId="3" fontId="129" fillId="63" borderId="107" xfId="1" applyNumberFormat="1" applyFont="1" applyFill="1" applyBorder="1" applyAlignment="1">
      <alignment horizontal="right" vertical="center" wrapText="1"/>
    </xf>
    <xf numFmtId="3" fontId="129" fillId="0" borderId="96" xfId="1" applyNumberFormat="1" applyFont="1" applyBorder="1" applyAlignment="1">
      <alignment horizontal="right" vertical="center" wrapText="1"/>
    </xf>
    <xf numFmtId="3" fontId="129" fillId="0" borderId="109" xfId="1" applyNumberFormat="1" applyFont="1" applyBorder="1" applyAlignment="1">
      <alignment horizontal="right" vertical="center" wrapText="1"/>
    </xf>
    <xf numFmtId="3" fontId="129" fillId="0" borderId="100" xfId="1" applyNumberFormat="1" applyFont="1" applyBorder="1" applyAlignment="1">
      <alignment horizontal="right" vertical="center" wrapText="1"/>
    </xf>
    <xf numFmtId="3" fontId="129" fillId="0" borderId="108" xfId="1" applyNumberFormat="1" applyFont="1" applyBorder="1" applyAlignment="1">
      <alignment horizontal="right" vertical="center" wrapText="1"/>
    </xf>
    <xf numFmtId="3" fontId="129" fillId="72" borderId="97" xfId="1" applyNumberFormat="1" applyFont="1" applyFill="1" applyBorder="1" applyAlignment="1">
      <alignment horizontal="right" vertical="center" wrapText="1"/>
    </xf>
    <xf numFmtId="3" fontId="129" fillId="0" borderId="121" xfId="1" applyNumberFormat="1" applyFont="1" applyBorder="1" applyAlignment="1">
      <alignment horizontal="right" vertical="center" wrapText="1"/>
    </xf>
    <xf numFmtId="3" fontId="129" fillId="63" borderId="108" xfId="1" applyNumberFormat="1" applyFont="1" applyFill="1" applyBorder="1" applyAlignment="1">
      <alignment horizontal="right" vertical="center" wrapText="1"/>
    </xf>
    <xf numFmtId="3" fontId="132" fillId="0" borderId="100" xfId="1" applyNumberFormat="1" applyFont="1" applyBorder="1" applyAlignment="1">
      <alignment horizontal="right" vertical="center" wrapText="1"/>
    </xf>
    <xf numFmtId="3" fontId="132" fillId="0" borderId="118" xfId="1" applyNumberFormat="1" applyFont="1" applyBorder="1" applyAlignment="1">
      <alignment horizontal="right" vertical="center" wrapText="1"/>
    </xf>
    <xf numFmtId="3" fontId="132" fillId="0" borderId="98" xfId="1" applyNumberFormat="1" applyFont="1" applyBorder="1" applyAlignment="1">
      <alignment horizontal="right" vertical="center" wrapText="1"/>
    </xf>
    <xf numFmtId="3" fontId="132" fillId="0" borderId="119" xfId="1" applyNumberFormat="1" applyFont="1" applyBorder="1" applyAlignment="1">
      <alignment horizontal="right" vertical="center" wrapText="1"/>
    </xf>
    <xf numFmtId="3" fontId="129" fillId="0" borderId="101" xfId="1" applyNumberFormat="1" applyFont="1" applyFill="1" applyBorder="1" applyAlignment="1">
      <alignment horizontal="right" vertical="center" wrapText="1"/>
    </xf>
    <xf numFmtId="0" fontId="58" fillId="0" borderId="100" xfId="1" applyNumberFormat="1" applyFont="1" applyBorder="1" applyAlignment="1">
      <alignment vertical="center" wrapText="1"/>
    </xf>
    <xf numFmtId="0" fontId="58" fillId="0" borderId="114" xfId="1" applyNumberFormat="1" applyFont="1" applyBorder="1" applyAlignment="1">
      <alignment vertical="center" wrapText="1"/>
    </xf>
    <xf numFmtId="0" fontId="58" fillId="0" borderId="91" xfId="1" applyNumberFormat="1" applyFont="1" applyBorder="1" applyAlignment="1">
      <alignment vertical="center" wrapText="1"/>
    </xf>
    <xf numFmtId="0" fontId="58" fillId="0" borderId="101" xfId="1" applyNumberFormat="1" applyFont="1" applyBorder="1" applyAlignment="1">
      <alignment vertical="center" wrapText="1"/>
    </xf>
    <xf numFmtId="0" fontId="58" fillId="0" borderId="96" xfId="0" applyFont="1" applyBorder="1" applyAlignment="1">
      <alignment vertical="center" wrapText="1"/>
    </xf>
    <xf numFmtId="0" fontId="58" fillId="0" borderId="105" xfId="1" applyNumberFormat="1" applyFont="1" applyBorder="1" applyAlignment="1">
      <alignment vertical="center" wrapText="1"/>
    </xf>
    <xf numFmtId="0" fontId="58" fillId="0" borderId="116" xfId="1" applyNumberFormat="1" applyFont="1" applyBorder="1" applyAlignment="1">
      <alignment vertical="center" wrapText="1"/>
    </xf>
    <xf numFmtId="0" fontId="58" fillId="0" borderId="96" xfId="1" applyNumberFormat="1" applyFont="1" applyBorder="1" applyAlignment="1">
      <alignment vertical="center" wrapText="1"/>
    </xf>
    <xf numFmtId="0" fontId="58" fillId="0" borderId="109" xfId="1" applyNumberFormat="1" applyFont="1" applyBorder="1" applyAlignment="1">
      <alignment vertical="center" wrapText="1"/>
    </xf>
    <xf numFmtId="0" fontId="58" fillId="0" borderId="103" xfId="0" applyFont="1" applyBorder="1" applyAlignment="1">
      <alignment vertical="center" wrapText="1"/>
    </xf>
    <xf numFmtId="0" fontId="58" fillId="0" borderId="106" xfId="1" applyNumberFormat="1" applyFont="1" applyBorder="1" applyAlignment="1">
      <alignment vertical="center" wrapText="1"/>
    </xf>
    <xf numFmtId="0" fontId="58" fillId="0" borderId="110" xfId="1" applyNumberFormat="1" applyFont="1" applyBorder="1" applyAlignment="1">
      <alignment vertical="center" wrapText="1"/>
    </xf>
    <xf numFmtId="0" fontId="0" fillId="0" borderId="2" xfId="0" applyBorder="1" applyAlignment="1">
      <alignment vertical="center"/>
    </xf>
    <xf numFmtId="0" fontId="0" fillId="0" borderId="82" xfId="0" applyBorder="1" applyAlignment="1">
      <alignment vertical="center"/>
    </xf>
    <xf numFmtId="0" fontId="0" fillId="0" borderId="0" xfId="0" applyBorder="1" applyAlignment="1">
      <alignment vertical="center"/>
    </xf>
    <xf numFmtId="0" fontId="0" fillId="63" borderId="4" xfId="0" applyFill="1" applyBorder="1" applyAlignment="1">
      <alignment vertical="center"/>
    </xf>
    <xf numFmtId="3" fontId="58" fillId="63" borderId="111" xfId="1" applyNumberFormat="1" applyFont="1" applyFill="1" applyBorder="1" applyAlignment="1">
      <alignment vertical="center" wrapText="1"/>
    </xf>
    <xf numFmtId="0" fontId="0" fillId="63" borderId="5" xfId="0" applyFill="1" applyBorder="1" applyAlignment="1">
      <alignment vertical="center"/>
    </xf>
    <xf numFmtId="3" fontId="58" fillId="63" borderId="117" xfId="1" applyNumberFormat="1" applyFont="1" applyFill="1" applyBorder="1" applyAlignment="1">
      <alignment vertical="center" wrapText="1"/>
    </xf>
    <xf numFmtId="0" fontId="58" fillId="72" borderId="120" xfId="1" applyNumberFormat="1" applyFont="1" applyFill="1" applyBorder="1" applyAlignment="1">
      <alignment vertical="center" wrapText="1"/>
    </xf>
    <xf numFmtId="0" fontId="0" fillId="63" borderId="0" xfId="0" applyFill="1" applyAlignment="1">
      <alignment vertical="center"/>
    </xf>
    <xf numFmtId="0" fontId="58" fillId="63" borderId="0" xfId="1" applyNumberFormat="1" applyFont="1" applyFill="1" applyBorder="1" applyAlignment="1">
      <alignment vertical="center" wrapText="1"/>
    </xf>
    <xf numFmtId="0" fontId="58" fillId="0" borderId="100" xfId="0" applyFont="1" applyBorder="1" applyAlignment="1">
      <alignment vertical="center" wrapText="1"/>
    </xf>
    <xf numFmtId="0" fontId="58" fillId="0" borderId="114" xfId="0" applyFont="1" applyBorder="1" applyAlignment="1">
      <alignment vertical="center" wrapText="1"/>
    </xf>
    <xf numFmtId="2" fontId="0" fillId="0" borderId="0" xfId="0" applyNumberFormat="1" applyFont="1" applyFill="1" applyBorder="1" applyAlignment="1">
      <alignment horizontal="center" vertical="center"/>
    </xf>
    <xf numFmtId="0" fontId="0" fillId="0" borderId="0" xfId="0" applyBorder="1" applyAlignment="1">
      <alignment horizontal="center" vertical="center"/>
    </xf>
    <xf numFmtId="0" fontId="105" fillId="0" borderId="0" xfId="1572" applyFont="1" applyBorder="1" applyAlignment="1">
      <alignment horizontal="left" vertical="center" wrapText="1"/>
    </xf>
    <xf numFmtId="0" fontId="105" fillId="0" borderId="0" xfId="1572" applyFont="1" applyBorder="1" applyAlignment="1">
      <alignment horizontal="center" vertical="center" wrapText="1"/>
    </xf>
    <xf numFmtId="174" fontId="105" fillId="0" borderId="0" xfId="1573" applyNumberFormat="1" applyFont="1" applyBorder="1" applyAlignment="1">
      <alignment horizontal="center" vertical="center" wrapText="1"/>
    </xf>
    <xf numFmtId="174" fontId="103" fillId="7" borderId="0" xfId="1573" applyNumberFormat="1" applyFont="1" applyFill="1" applyBorder="1" applyAlignment="1">
      <alignment horizontal="center" vertical="center" wrapText="1"/>
    </xf>
    <xf numFmtId="0" fontId="104" fillId="65" borderId="0" xfId="0" applyFont="1" applyFill="1" applyBorder="1" applyAlignment="1">
      <alignment horizontal="center" vertical="center"/>
    </xf>
    <xf numFmtId="0" fontId="103" fillId="65" borderId="0" xfId="1572" applyFont="1" applyFill="1" applyBorder="1" applyAlignment="1">
      <alignment horizontal="left" vertical="center" wrapText="1"/>
    </xf>
    <xf numFmtId="0" fontId="103" fillId="65" borderId="0" xfId="1572" applyFont="1" applyFill="1" applyBorder="1" applyAlignment="1">
      <alignment horizontal="center" vertical="center"/>
    </xf>
    <xf numFmtId="174" fontId="103" fillId="65" borderId="0" xfId="1573" applyNumberFormat="1" applyFont="1" applyFill="1" applyBorder="1" applyAlignment="1">
      <alignment horizontal="right" vertical="center"/>
    </xf>
    <xf numFmtId="174" fontId="103" fillId="65" borderId="0" xfId="1573" applyNumberFormat="1" applyFont="1" applyFill="1" applyBorder="1" applyAlignment="1">
      <alignment horizontal="center" vertical="center"/>
    </xf>
    <xf numFmtId="174" fontId="104" fillId="65" borderId="0" xfId="1573" applyNumberFormat="1" applyFont="1" applyFill="1" applyBorder="1" applyAlignment="1">
      <alignment horizontal="center" vertical="center"/>
    </xf>
    <xf numFmtId="0" fontId="104" fillId="65" borderId="0" xfId="0" applyFont="1" applyFill="1" applyBorder="1" applyAlignment="1">
      <alignment vertical="center"/>
    </xf>
    <xf numFmtId="0" fontId="105" fillId="64" borderId="0" xfId="1572" applyFont="1" applyFill="1" applyBorder="1" applyAlignment="1">
      <alignment horizontal="left" vertical="center" wrapText="1"/>
    </xf>
    <xf numFmtId="0" fontId="105" fillId="64" borderId="0" xfId="1572" applyFont="1" applyFill="1" applyBorder="1" applyAlignment="1">
      <alignment horizontal="center" vertical="center" wrapText="1"/>
    </xf>
    <xf numFmtId="174" fontId="105" fillId="64" borderId="0" xfId="1573" applyNumberFormat="1" applyFont="1" applyFill="1" applyBorder="1" applyAlignment="1">
      <alignment horizontal="right" vertical="center" wrapText="1"/>
    </xf>
    <xf numFmtId="174" fontId="105" fillId="64" borderId="0" xfId="1573" applyNumberFormat="1" applyFont="1" applyFill="1" applyBorder="1" applyAlignment="1">
      <alignment vertical="center" wrapText="1"/>
    </xf>
    <xf numFmtId="0" fontId="105" fillId="64" borderId="0" xfId="1572" applyFont="1" applyFill="1" applyBorder="1" applyAlignment="1">
      <alignment vertical="center" wrapText="1"/>
    </xf>
    <xf numFmtId="0" fontId="30" fillId="0" borderId="0" xfId="1572" applyFont="1" applyBorder="1" applyAlignment="1">
      <alignment horizontal="left" vertical="center" wrapText="1"/>
    </xf>
    <xf numFmtId="0" fontId="30" fillId="0" borderId="0" xfId="1572" applyFont="1" applyBorder="1" applyAlignment="1">
      <alignment horizontal="center" vertical="center" wrapText="1"/>
    </xf>
    <xf numFmtId="174" fontId="30" fillId="0" borderId="0" xfId="1573" applyNumberFormat="1" applyFont="1" applyBorder="1" applyAlignment="1">
      <alignment horizontal="right" vertical="center" wrapText="1"/>
    </xf>
    <xf numFmtId="174" fontId="30" fillId="0" borderId="0" xfId="1573" applyNumberFormat="1" applyFont="1" applyBorder="1" applyAlignment="1">
      <alignment vertical="center" wrapText="1"/>
    </xf>
    <xf numFmtId="0" fontId="30" fillId="0" borderId="0" xfId="1572" applyFont="1" applyBorder="1" applyAlignment="1">
      <alignment vertical="center"/>
    </xf>
    <xf numFmtId="0" fontId="30" fillId="0" borderId="0" xfId="1572" applyFont="1" applyBorder="1" applyAlignment="1">
      <alignment vertical="center" wrapText="1"/>
    </xf>
    <xf numFmtId="0" fontId="25" fillId="0" borderId="0" xfId="1572" applyFont="1" applyBorder="1" applyAlignment="1">
      <alignment horizontal="left" vertical="center" wrapText="1"/>
    </xf>
    <xf numFmtId="0" fontId="25" fillId="0" borderId="0" xfId="1572" applyFont="1" applyBorder="1" applyAlignment="1">
      <alignment horizontal="center" vertical="center" wrapText="1"/>
    </xf>
    <xf numFmtId="174" fontId="25" fillId="0" borderId="0" xfId="1573" applyNumberFormat="1" applyFont="1" applyBorder="1" applyAlignment="1">
      <alignment horizontal="right" vertical="center" wrapText="1"/>
    </xf>
    <xf numFmtId="174" fontId="25" fillId="0" borderId="0" xfId="1573" applyNumberFormat="1" applyFont="1" applyBorder="1" applyAlignment="1">
      <alignment vertical="center" wrapText="1"/>
    </xf>
    <xf numFmtId="0" fontId="25" fillId="0" borderId="0" xfId="1572" applyFont="1" applyBorder="1" applyAlignment="1">
      <alignment vertical="center" wrapText="1"/>
    </xf>
    <xf numFmtId="0" fontId="25" fillId="0" borderId="0" xfId="0" applyFont="1" applyBorder="1" applyAlignment="1">
      <alignment vertical="center"/>
    </xf>
    <xf numFmtId="0" fontId="105" fillId="64" borderId="0" xfId="1572" applyFont="1" applyFill="1" applyBorder="1" applyAlignment="1">
      <alignment horizontal="left" vertical="center"/>
    </xf>
    <xf numFmtId="0" fontId="0" fillId="0" borderId="0" xfId="0" applyBorder="1" applyAlignment="1">
      <alignment horizontal="left" vertical="center"/>
    </xf>
    <xf numFmtId="174" fontId="30" fillId="0" borderId="0" xfId="1" applyNumberFormat="1" applyFont="1" applyBorder="1" applyAlignment="1">
      <alignment vertical="center" wrapText="1"/>
    </xf>
    <xf numFmtId="174" fontId="25" fillId="0" borderId="0" xfId="1" applyNumberFormat="1" applyFont="1" applyBorder="1" applyAlignment="1">
      <alignment vertical="center" wrapText="1"/>
    </xf>
    <xf numFmtId="174" fontId="30" fillId="6" borderId="0" xfId="1" applyNumberFormat="1" applyFont="1" applyFill="1" applyBorder="1" applyAlignment="1">
      <alignment vertical="center" wrapText="1"/>
    </xf>
    <xf numFmtId="0" fontId="136" fillId="78" borderId="0" xfId="0" applyFont="1" applyFill="1" applyAlignment="1">
      <alignment vertical="center" wrapText="1"/>
    </xf>
    <xf numFmtId="0" fontId="136" fillId="80" borderId="0" xfId="0" applyFont="1" applyFill="1" applyAlignment="1">
      <alignment vertical="center" wrapText="1"/>
    </xf>
    <xf numFmtId="0" fontId="136" fillId="81" borderId="0" xfId="0" applyFont="1" applyFill="1" applyAlignment="1">
      <alignment vertical="center" wrapText="1"/>
    </xf>
    <xf numFmtId="0" fontId="138" fillId="80" borderId="0" xfId="0" applyFont="1" applyFill="1" applyAlignment="1">
      <alignment vertical="center" wrapText="1"/>
    </xf>
    <xf numFmtId="0" fontId="139" fillId="82" borderId="122" xfId="0" applyFont="1" applyFill="1" applyBorder="1" applyAlignment="1">
      <alignment horizontal="left" vertical="center" wrapText="1"/>
    </xf>
    <xf numFmtId="0" fontId="140" fillId="83" borderId="122" xfId="0" applyFont="1" applyFill="1" applyBorder="1" applyAlignment="1">
      <alignment horizontal="center" vertical="center" wrapText="1"/>
    </xf>
    <xf numFmtId="0" fontId="139" fillId="82" borderId="122" xfId="0" applyFont="1" applyFill="1" applyBorder="1" applyAlignment="1">
      <alignment horizontal="center" vertical="center" wrapText="1"/>
    </xf>
    <xf numFmtId="0" fontId="136" fillId="78" borderId="0" xfId="0" applyFont="1" applyFill="1" applyAlignment="1">
      <alignment horizontal="left" vertical="center" wrapText="1"/>
    </xf>
    <xf numFmtId="0" fontId="136" fillId="81" borderId="0" xfId="0" applyFont="1" applyFill="1" applyAlignment="1">
      <alignment horizontal="left" vertical="center" wrapText="1"/>
    </xf>
    <xf numFmtId="0" fontId="138" fillId="80" borderId="0" xfId="0" applyFont="1" applyFill="1" applyAlignment="1">
      <alignment horizontal="left" vertical="center" wrapText="1"/>
    </xf>
    <xf numFmtId="0" fontId="142" fillId="0" borderId="0" xfId="0" applyFont="1" applyFill="1" applyAlignment="1">
      <alignment vertical="center" wrapText="1"/>
    </xf>
    <xf numFmtId="3" fontId="143" fillId="0" borderId="125" xfId="0" applyNumberFormat="1" applyFont="1" applyFill="1" applyBorder="1" applyAlignment="1">
      <alignment horizontal="right" vertical="center" wrapText="1"/>
    </xf>
    <xf numFmtId="3" fontId="137" fillId="0" borderId="125" xfId="0" applyNumberFormat="1" applyFont="1" applyFill="1" applyBorder="1" applyAlignment="1">
      <alignment horizontal="center" vertical="center" wrapText="1"/>
    </xf>
    <xf numFmtId="0" fontId="136" fillId="0" borderId="0" xfId="0" applyFont="1" applyFill="1" applyAlignment="1">
      <alignment vertical="center" wrapText="1"/>
    </xf>
    <xf numFmtId="0" fontId="0" fillId="0" borderId="0" xfId="0" applyFill="1"/>
    <xf numFmtId="0" fontId="138" fillId="0" borderId="125" xfId="0" applyFont="1" applyFill="1" applyBorder="1" applyAlignment="1">
      <alignment vertical="center" wrapText="1"/>
    </xf>
    <xf numFmtId="0" fontId="142" fillId="0" borderId="122" xfId="0" applyFont="1" applyFill="1" applyBorder="1" applyAlignment="1">
      <alignment vertical="center" wrapText="1"/>
    </xf>
    <xf numFmtId="3" fontId="144" fillId="0" borderId="126" xfId="0" applyNumberFormat="1" applyFont="1" applyFill="1" applyBorder="1" applyAlignment="1">
      <alignment horizontal="right" vertical="center" wrapText="1"/>
    </xf>
    <xf numFmtId="0" fontId="138" fillId="0" borderId="126" xfId="0" applyFont="1" applyFill="1" applyBorder="1" applyAlignment="1">
      <alignment vertical="center" wrapText="1"/>
    </xf>
    <xf numFmtId="0" fontId="141" fillId="0" borderId="123" xfId="0" applyFont="1" applyFill="1" applyBorder="1" applyAlignment="1">
      <alignment horizontal="left" vertical="center" wrapText="1"/>
    </xf>
    <xf numFmtId="3" fontId="143" fillId="0" borderId="126" xfId="0" applyNumberFormat="1" applyFont="1" applyFill="1" applyBorder="1" applyAlignment="1">
      <alignment horizontal="right" vertical="center" wrapText="1"/>
    </xf>
    <xf numFmtId="3" fontId="137" fillId="0" borderId="126" xfId="0" applyNumberFormat="1" applyFont="1" applyFill="1" applyBorder="1" applyAlignment="1">
      <alignment horizontal="center" vertical="center" wrapText="1"/>
    </xf>
    <xf numFmtId="0" fontId="141" fillId="0" borderId="124" xfId="0" applyFont="1" applyFill="1" applyBorder="1" applyAlignment="1">
      <alignment horizontal="left" vertical="center" wrapText="1"/>
    </xf>
    <xf numFmtId="0" fontId="145" fillId="0" borderId="124" xfId="0" applyFont="1" applyFill="1" applyBorder="1" applyAlignment="1">
      <alignment horizontal="left" vertical="center" wrapText="1"/>
    </xf>
    <xf numFmtId="0" fontId="145" fillId="0" borderId="123" xfId="0" applyFont="1" applyFill="1" applyBorder="1" applyAlignment="1">
      <alignment horizontal="left" vertical="center" wrapText="1"/>
    </xf>
    <xf numFmtId="0" fontId="136" fillId="0" borderId="0" xfId="0" applyFont="1" applyFill="1" applyAlignment="1">
      <alignment horizontal="left" vertical="center" wrapText="1"/>
    </xf>
    <xf numFmtId="3" fontId="146" fillId="0" borderId="0" xfId="0" applyNumberFormat="1" applyFont="1" applyFill="1" applyAlignment="1">
      <alignment horizontal="center" vertical="center" wrapText="1"/>
    </xf>
    <xf numFmtId="3" fontId="142" fillId="0" borderId="0" xfId="0" applyNumberFormat="1" applyFont="1" applyFill="1" applyAlignment="1">
      <alignment horizontal="right" vertical="center" wrapText="1"/>
    </xf>
    <xf numFmtId="0" fontId="137" fillId="80" borderId="0" xfId="0" applyFont="1" applyFill="1" applyAlignment="1">
      <alignment horizontal="left" vertical="center"/>
    </xf>
    <xf numFmtId="0" fontId="136" fillId="78" borderId="0" xfId="0" applyFont="1" applyFill="1" applyAlignment="1">
      <alignment horizontal="center" vertical="center" wrapText="1"/>
    </xf>
    <xf numFmtId="0" fontId="136" fillId="81" borderId="0" xfId="0" applyFont="1" applyFill="1" applyAlignment="1">
      <alignment horizontal="center" vertical="center" wrapText="1"/>
    </xf>
    <xf numFmtId="0" fontId="138" fillId="80" borderId="0" xfId="0" applyFont="1" applyFill="1" applyAlignment="1">
      <alignment horizontal="center" vertical="center" wrapText="1"/>
    </xf>
    <xf numFmtId="0" fontId="142" fillId="0" borderId="0" xfId="0" applyFont="1" applyFill="1" applyAlignment="1">
      <alignment horizontal="center" vertical="center" wrapText="1"/>
    </xf>
    <xf numFmtId="0" fontId="142" fillId="0" borderId="122" xfId="0" applyFont="1" applyFill="1" applyBorder="1" applyAlignment="1">
      <alignment horizontal="center" vertical="center" wrapText="1"/>
    </xf>
    <xf numFmtId="0" fontId="136" fillId="0" borderId="0" xfId="0" applyFont="1" applyFill="1" applyAlignment="1">
      <alignment horizontal="center" vertical="center" wrapText="1"/>
    </xf>
    <xf numFmtId="0" fontId="0" fillId="0" borderId="0" xfId="0" applyAlignment="1">
      <alignment horizontal="center"/>
    </xf>
    <xf numFmtId="0" fontId="136" fillId="80" borderId="0" xfId="1" applyNumberFormat="1" applyFont="1" applyFill="1" applyAlignment="1">
      <alignment vertical="center" wrapText="1"/>
    </xf>
    <xf numFmtId="0" fontId="136" fillId="81" borderId="0" xfId="1" applyNumberFormat="1" applyFont="1" applyFill="1" applyAlignment="1">
      <alignment vertical="center" wrapText="1"/>
    </xf>
    <xf numFmtId="0" fontId="136" fillId="0" borderId="0" xfId="1" applyNumberFormat="1" applyFont="1" applyFill="1" applyAlignment="1">
      <alignment vertical="center" wrapText="1"/>
    </xf>
    <xf numFmtId="1" fontId="136" fillId="0" borderId="0" xfId="1" applyNumberFormat="1" applyFont="1" applyFill="1" applyAlignment="1">
      <alignment vertical="center" wrapText="1"/>
    </xf>
    <xf numFmtId="0" fontId="147" fillId="0" borderId="124" xfId="0" applyFont="1" applyFill="1" applyBorder="1" applyAlignment="1">
      <alignment horizontal="left" vertical="center" wrapText="1"/>
    </xf>
    <xf numFmtId="0" fontId="105" fillId="64" borderId="0" xfId="1572" applyFont="1" applyFill="1" applyBorder="1" applyAlignment="1">
      <alignment vertical="center"/>
    </xf>
    <xf numFmtId="177" fontId="70" fillId="0" borderId="0" xfId="1576" applyNumberFormat="1" applyFont="1" applyBorder="1" applyAlignment="1">
      <alignment vertical="center" wrapText="1"/>
    </xf>
    <xf numFmtId="0" fontId="4" fillId="0" borderId="0" xfId="1575" applyBorder="1" applyAlignment="1">
      <alignment vertical="center"/>
    </xf>
    <xf numFmtId="0" fontId="4" fillId="0" borderId="0" xfId="1575" applyBorder="1" applyAlignment="1">
      <alignment horizontal="center" vertical="center"/>
    </xf>
    <xf numFmtId="177" fontId="0" fillId="0" borderId="0" xfId="1576" applyNumberFormat="1" applyFont="1" applyBorder="1" applyAlignment="1">
      <alignment horizontal="right" vertical="center"/>
    </xf>
    <xf numFmtId="177" fontId="0" fillId="0" borderId="0" xfId="1576" applyNumberFormat="1" applyFont="1" applyBorder="1" applyAlignment="1">
      <alignment vertical="center"/>
    </xf>
    <xf numFmtId="9" fontId="4" fillId="0" borderId="0" xfId="1575" applyNumberFormat="1" applyBorder="1" applyAlignment="1">
      <alignment vertical="center"/>
    </xf>
    <xf numFmtId="3" fontId="4" fillId="0" borderId="0" xfId="1" applyNumberFormat="1" applyFont="1" applyBorder="1" applyAlignment="1">
      <alignment vertical="center"/>
    </xf>
    <xf numFmtId="0" fontId="41" fillId="84" borderId="0" xfId="1575" applyFont="1" applyFill="1" applyBorder="1" applyAlignment="1">
      <alignment horizontal="center" vertical="center"/>
    </xf>
    <xf numFmtId="177" fontId="41" fillId="84" borderId="0" xfId="1576" applyNumberFormat="1" applyFont="1" applyFill="1" applyBorder="1" applyAlignment="1">
      <alignment horizontal="center" vertical="center"/>
    </xf>
    <xf numFmtId="0" fontId="72" fillId="0" borderId="0" xfId="1575" applyFont="1" applyBorder="1" applyAlignment="1">
      <alignment horizontal="left" vertical="center" wrapText="1"/>
    </xf>
    <xf numFmtId="0" fontId="72" fillId="0" borderId="0" xfId="1575" applyFont="1" applyBorder="1" applyAlignment="1">
      <alignment horizontal="center" vertical="center" wrapText="1"/>
    </xf>
    <xf numFmtId="177" fontId="72" fillId="0" borderId="0" xfId="1576" applyNumberFormat="1" applyFont="1" applyBorder="1" applyAlignment="1">
      <alignment horizontal="right" vertical="center" wrapText="1"/>
    </xf>
    <xf numFmtId="177" fontId="72" fillId="0" borderId="0" xfId="1576" applyNumberFormat="1" applyFont="1" applyBorder="1" applyAlignment="1">
      <alignment horizontal="center" vertical="center" wrapText="1"/>
    </xf>
    <xf numFmtId="3" fontId="72" fillId="0" borderId="0" xfId="1" applyNumberFormat="1" applyFont="1" applyBorder="1" applyAlignment="1">
      <alignment horizontal="center" vertical="center" wrapText="1"/>
    </xf>
    <xf numFmtId="3" fontId="72" fillId="0" borderId="0" xfId="1575" applyNumberFormat="1" applyFont="1" applyBorder="1" applyAlignment="1">
      <alignment horizontal="center" vertical="center" wrapText="1"/>
    </xf>
    <xf numFmtId="0" fontId="72" fillId="63" borderId="0" xfId="1575" applyFont="1" applyFill="1" applyBorder="1" applyAlignment="1">
      <alignment vertical="center" wrapText="1"/>
    </xf>
    <xf numFmtId="0" fontId="72" fillId="63" borderId="0" xfId="1575" applyFont="1" applyFill="1" applyBorder="1" applyAlignment="1">
      <alignment horizontal="center" vertical="center" wrapText="1"/>
    </xf>
    <xf numFmtId="177" fontId="72" fillId="63" borderId="0" xfId="1576" applyNumberFormat="1" applyFont="1" applyFill="1" applyBorder="1" applyAlignment="1">
      <alignment horizontal="right" vertical="center" wrapText="1"/>
    </xf>
    <xf numFmtId="177" fontId="72" fillId="63" borderId="0" xfId="1576" applyNumberFormat="1" applyFont="1" applyFill="1" applyBorder="1" applyAlignment="1">
      <alignment vertical="center" wrapText="1"/>
    </xf>
    <xf numFmtId="0" fontId="119" fillId="0" borderId="0" xfId="1575" applyFont="1" applyBorder="1" applyAlignment="1">
      <alignment vertical="center" wrapText="1"/>
    </xf>
    <xf numFmtId="0" fontId="119" fillId="0" borderId="0" xfId="1575" applyFont="1" applyBorder="1" applyAlignment="1">
      <alignment horizontal="center" vertical="center" wrapText="1"/>
    </xf>
    <xf numFmtId="177" fontId="119" fillId="0" borderId="0" xfId="1576" applyNumberFormat="1" applyFont="1" applyBorder="1" applyAlignment="1">
      <alignment horizontal="right" vertical="center" wrapText="1"/>
    </xf>
    <xf numFmtId="177" fontId="119" fillId="0" borderId="0" xfId="1576" applyNumberFormat="1" applyFont="1" applyBorder="1" applyAlignment="1">
      <alignment vertical="center" wrapText="1"/>
    </xf>
    <xf numFmtId="3" fontId="119" fillId="0" borderId="0" xfId="1" applyNumberFormat="1" applyFont="1" applyBorder="1" applyAlignment="1">
      <alignment vertical="center" wrapText="1"/>
    </xf>
    <xf numFmtId="0" fontId="24" fillId="0" borderId="0" xfId="1575" applyFont="1" applyBorder="1" applyAlignment="1">
      <alignment horizontal="justify" vertical="center" wrapText="1"/>
    </xf>
    <xf numFmtId="0" fontId="24" fillId="0" borderId="0" xfId="1575" applyFont="1" applyBorder="1" applyAlignment="1">
      <alignment horizontal="center" vertical="center" wrapText="1"/>
    </xf>
    <xf numFmtId="177" fontId="24" fillId="0" borderId="0" xfId="1576" applyNumberFormat="1" applyFont="1" applyBorder="1" applyAlignment="1">
      <alignment horizontal="right" vertical="center" wrapText="1"/>
    </xf>
    <xf numFmtId="177" fontId="24" fillId="0" borderId="0" xfId="1576" applyNumberFormat="1" applyFont="1" applyBorder="1" applyAlignment="1">
      <alignment vertical="center" wrapText="1"/>
    </xf>
    <xf numFmtId="0" fontId="24" fillId="0" borderId="0" xfId="1575" applyFont="1" applyBorder="1" applyAlignment="1">
      <alignment vertical="center" wrapText="1"/>
    </xf>
    <xf numFmtId="3" fontId="24" fillId="0" borderId="0" xfId="1" applyNumberFormat="1" applyFont="1" applyBorder="1" applyAlignment="1">
      <alignment vertical="center" wrapText="1"/>
    </xf>
    <xf numFmtId="0" fontId="119" fillId="0" borderId="0" xfId="1575" applyFont="1" applyBorder="1" applyAlignment="1">
      <alignment horizontal="justify" vertical="center" wrapText="1"/>
    </xf>
    <xf numFmtId="0" fontId="72" fillId="0" borderId="0" xfId="1575" applyFont="1" applyBorder="1" applyAlignment="1">
      <alignment horizontal="right" vertical="center" wrapText="1"/>
    </xf>
    <xf numFmtId="177" fontId="72" fillId="0" borderId="0" xfId="1576" applyNumberFormat="1" applyFont="1" applyBorder="1" applyAlignment="1">
      <alignment vertical="center" wrapText="1"/>
    </xf>
    <xf numFmtId="0" fontId="119" fillId="0" borderId="0" xfId="1575" applyFont="1" applyFill="1" applyBorder="1" applyAlignment="1">
      <alignment horizontal="justify" vertical="center" wrapText="1"/>
    </xf>
    <xf numFmtId="0" fontId="33" fillId="0" borderId="0" xfId="1575" applyFont="1" applyBorder="1" applyAlignment="1">
      <alignment horizontal="center" vertical="center" wrapText="1"/>
    </xf>
    <xf numFmtId="0" fontId="33" fillId="0" borderId="0" xfId="1575" applyFont="1" applyBorder="1" applyAlignment="1">
      <alignment vertical="center" wrapText="1"/>
    </xf>
    <xf numFmtId="177" fontId="149" fillId="0" borderId="0" xfId="1576" applyNumberFormat="1" applyFont="1" applyBorder="1" applyAlignment="1">
      <alignment vertical="center" wrapText="1"/>
    </xf>
    <xf numFmtId="0" fontId="21" fillId="2" borderId="0" xfId="0" applyNumberFormat="1" applyFont="1" applyFill="1" applyBorder="1" applyAlignment="1">
      <alignment horizontal="left" vertical="center" wrapText="1"/>
    </xf>
    <xf numFmtId="0" fontId="0" fillId="0" borderId="0" xfId="0" applyNumberFormat="1" applyFont="1" applyFill="1" applyBorder="1" applyAlignment="1">
      <alignment vertical="center" wrapText="1"/>
    </xf>
    <xf numFmtId="0" fontId="21" fillId="0" borderId="0" xfId="0" applyNumberFormat="1" applyFont="1" applyFill="1" applyBorder="1" applyAlignment="1">
      <alignment vertical="center" wrapText="1"/>
    </xf>
    <xf numFmtId="0" fontId="21" fillId="0" borderId="0" xfId="0" applyNumberFormat="1" applyFont="1" applyFill="1" applyBorder="1" applyAlignment="1">
      <alignment horizontal="left" vertical="center" wrapText="1"/>
    </xf>
    <xf numFmtId="0" fontId="29" fillId="0" borderId="0" xfId="0" applyNumberFormat="1" applyFont="1" applyFill="1" applyBorder="1" applyAlignment="1">
      <alignment vertical="center"/>
    </xf>
    <xf numFmtId="0" fontId="0" fillId="5" borderId="0" xfId="0" applyNumberFormat="1" applyFont="1" applyFill="1" applyBorder="1" applyAlignment="1">
      <alignment vertical="center"/>
    </xf>
    <xf numFmtId="0" fontId="24" fillId="62" borderId="41" xfId="0" applyNumberFormat="1" applyFont="1" applyFill="1" applyBorder="1" applyAlignment="1">
      <alignment horizontal="center" vertical="center"/>
    </xf>
    <xf numFmtId="0" fontId="24" fillId="62" borderId="20" xfId="0" applyNumberFormat="1" applyFont="1" applyFill="1" applyBorder="1" applyAlignment="1">
      <alignment horizontal="center" vertical="center"/>
    </xf>
    <xf numFmtId="0" fontId="20" fillId="3" borderId="8" xfId="0" applyNumberFormat="1" applyFont="1" applyFill="1" applyBorder="1" applyAlignment="1">
      <alignment horizontal="center" vertical="center" wrapText="1"/>
    </xf>
    <xf numFmtId="0" fontId="20" fillId="3" borderId="1" xfId="0" applyNumberFormat="1" applyFont="1" applyFill="1" applyBorder="1" applyAlignment="1">
      <alignment horizontal="center" vertical="center"/>
    </xf>
    <xf numFmtId="0" fontId="29" fillId="0" borderId="7" xfId="0" applyNumberFormat="1" applyFont="1" applyFill="1" applyBorder="1" applyAlignment="1">
      <alignment vertical="center" wrapText="1"/>
    </xf>
    <xf numFmtId="0" fontId="0" fillId="0" borderId="0" xfId="0" applyFont="1" applyFill="1" applyBorder="1" applyAlignment="1">
      <alignment vertical="center"/>
    </xf>
    <xf numFmtId="0" fontId="148" fillId="5" borderId="23" xfId="0" applyNumberFormat="1" applyFont="1" applyFill="1" applyBorder="1" applyAlignment="1">
      <alignment horizontal="center" vertical="center" wrapText="1"/>
    </xf>
    <xf numFmtId="0" fontId="148" fillId="5" borderId="28" xfId="0" applyNumberFormat="1" applyFont="1" applyFill="1" applyBorder="1" applyAlignment="1">
      <alignment horizontal="center" vertical="center" wrapText="1"/>
    </xf>
    <xf numFmtId="0" fontId="148" fillId="5" borderId="26" xfId="0" applyNumberFormat="1" applyFont="1" applyFill="1" applyBorder="1" applyAlignment="1">
      <alignment horizontal="center" vertical="center" wrapText="1"/>
    </xf>
    <xf numFmtId="0" fontId="24" fillId="62" borderId="73" xfId="0" applyNumberFormat="1" applyFont="1" applyFill="1" applyBorder="1" applyAlignment="1">
      <alignment horizontal="center" vertical="center"/>
    </xf>
    <xf numFmtId="3" fontId="0" fillId="0" borderId="0" xfId="0" applyNumberFormat="1" applyFont="1" applyFill="1" applyBorder="1" applyAlignment="1">
      <alignment vertical="center"/>
    </xf>
    <xf numFmtId="9" fontId="136" fillId="0" borderId="0" xfId="6" applyFont="1" applyFill="1" applyAlignment="1">
      <alignment vertical="center" wrapText="1"/>
    </xf>
    <xf numFmtId="3" fontId="142" fillId="0" borderId="0" xfId="1" applyNumberFormat="1" applyFont="1" applyFill="1" applyAlignment="1">
      <alignment horizontal="right" vertical="center" wrapText="1"/>
    </xf>
    <xf numFmtId="3" fontId="136" fillId="0" borderId="0" xfId="1" applyNumberFormat="1" applyFont="1" applyFill="1" applyAlignment="1">
      <alignment vertical="center" wrapText="1"/>
    </xf>
    <xf numFmtId="179" fontId="150" fillId="0" borderId="0" xfId="1577" applyNumberFormat="1" applyFont="1" applyFill="1" applyAlignment="1" applyProtection="1">
      <alignment horizontal="center" vertical="center"/>
    </xf>
    <xf numFmtId="180" fontId="151" fillId="0" borderId="0" xfId="1578" applyNumberFormat="1" applyFont="1" applyFill="1" applyAlignment="1">
      <alignment horizontal="center" vertical="center"/>
    </xf>
    <xf numFmtId="181" fontId="152" fillId="0" borderId="0" xfId="1579" applyNumberFormat="1" applyFont="1" applyFill="1" applyAlignment="1" applyProtection="1">
      <alignment horizontal="right" vertical="center" wrapText="1"/>
    </xf>
    <xf numFmtId="181" fontId="151" fillId="0" borderId="0" xfId="1579" applyNumberFormat="1" applyFont="1" applyFill="1" applyAlignment="1" applyProtection="1">
      <alignment horizontal="right" vertical="center"/>
    </xf>
    <xf numFmtId="0" fontId="151" fillId="0" borderId="0" xfId="1579" applyNumberFormat="1" applyFont="1" applyFill="1" applyAlignment="1" applyProtection="1">
      <alignment horizontal="right" vertical="center"/>
    </xf>
    <xf numFmtId="0" fontId="151" fillId="0" borderId="0" xfId="1578" applyFont="1" applyFill="1" applyAlignment="1">
      <alignment horizontal="center" vertical="center"/>
    </xf>
    <xf numFmtId="0" fontId="152" fillId="0" borderId="0" xfId="1578" applyFont="1" applyFill="1" applyAlignment="1">
      <alignment horizontal="center" vertical="center" wrapText="1"/>
    </xf>
    <xf numFmtId="0" fontId="85" fillId="0" borderId="0" xfId="1578" applyFont="1"/>
    <xf numFmtId="0" fontId="153" fillId="0" borderId="0" xfId="1578" applyFont="1" applyFill="1" applyAlignment="1">
      <alignment horizontal="center" vertical="center"/>
    </xf>
    <xf numFmtId="183" fontId="151" fillId="0" borderId="0" xfId="1578" applyNumberFormat="1" applyFont="1" applyFill="1" applyAlignment="1">
      <alignment horizontal="center" vertical="center"/>
    </xf>
    <xf numFmtId="181" fontId="153" fillId="0" borderId="0" xfId="1577" applyNumberFormat="1" applyFont="1" applyFill="1" applyAlignment="1" applyProtection="1">
      <alignment horizontal="center" vertical="center"/>
    </xf>
    <xf numFmtId="49" fontId="153" fillId="0" borderId="128" xfId="1577" applyNumberFormat="1" applyFont="1" applyFill="1" applyBorder="1" applyAlignment="1" applyProtection="1">
      <alignment horizontal="center" vertical="center"/>
    </xf>
    <xf numFmtId="49" fontId="153" fillId="0" borderId="129" xfId="1577" applyNumberFormat="1" applyFont="1" applyFill="1" applyBorder="1" applyAlignment="1" applyProtection="1">
      <alignment horizontal="center" vertical="center"/>
    </xf>
    <xf numFmtId="0" fontId="3" fillId="0" borderId="0" xfId="1578"/>
    <xf numFmtId="180" fontId="151" fillId="0" borderId="0" xfId="1578" applyNumberFormat="1" applyFont="1" applyFill="1" applyAlignment="1">
      <alignment vertical="center"/>
    </xf>
    <xf numFmtId="180" fontId="151" fillId="0" borderId="0" xfId="1579" applyNumberFormat="1" applyFont="1" applyFill="1" applyAlignment="1" applyProtection="1">
      <alignment horizontal="right" vertical="center"/>
    </xf>
    <xf numFmtId="0" fontId="151" fillId="0" borderId="0" xfId="1578" applyNumberFormat="1" applyFont="1" applyFill="1" applyAlignment="1">
      <alignment vertical="center"/>
    </xf>
    <xf numFmtId="180" fontId="153" fillId="0" borderId="0" xfId="1578" applyNumberFormat="1" applyFont="1" applyFill="1" applyAlignment="1">
      <alignment vertical="center"/>
    </xf>
    <xf numFmtId="183" fontId="151" fillId="0" borderId="0" xfId="1578" applyNumberFormat="1" applyFont="1" applyFill="1" applyAlignment="1">
      <alignment vertical="center"/>
    </xf>
    <xf numFmtId="181" fontId="153" fillId="0" borderId="0" xfId="1577" applyNumberFormat="1" applyFont="1" applyFill="1" applyAlignment="1" applyProtection="1">
      <alignment vertical="center"/>
    </xf>
    <xf numFmtId="49" fontId="153" fillId="0" borderId="130" xfId="1577" applyNumberFormat="1" applyFont="1" applyFill="1" applyBorder="1" applyAlignment="1" applyProtection="1">
      <alignment horizontal="center" vertical="center"/>
    </xf>
    <xf numFmtId="49" fontId="153" fillId="0" borderId="131" xfId="1577" applyNumberFormat="1" applyFont="1" applyFill="1" applyBorder="1" applyAlignment="1" applyProtection="1">
      <alignment horizontal="center" vertical="center"/>
    </xf>
    <xf numFmtId="0" fontId="151" fillId="0" borderId="0" xfId="1578" applyFont="1" applyFill="1" applyAlignment="1">
      <alignment horizontal="center" vertical="center" wrapText="1"/>
    </xf>
    <xf numFmtId="179" fontId="154" fillId="85" borderId="0" xfId="1577" applyNumberFormat="1" applyFont="1" applyFill="1" applyAlignment="1" applyProtection="1">
      <alignment horizontal="center" vertical="center" wrapText="1"/>
    </xf>
    <xf numFmtId="0" fontId="155" fillId="85" borderId="0" xfId="1578" applyFont="1" applyFill="1" applyAlignment="1">
      <alignment horizontal="center" vertical="center" wrapText="1"/>
    </xf>
    <xf numFmtId="181" fontId="155" fillId="85" borderId="0" xfId="1579" applyNumberFormat="1" applyFont="1" applyFill="1" applyAlignment="1" applyProtection="1">
      <alignment horizontal="center" vertical="center" wrapText="1"/>
    </xf>
    <xf numFmtId="9" fontId="155" fillId="85" borderId="0" xfId="1580" applyFont="1" applyFill="1" applyAlignment="1" applyProtection="1">
      <alignment horizontal="center" vertical="center" wrapText="1"/>
    </xf>
    <xf numFmtId="181" fontId="155" fillId="85" borderId="0" xfId="1578" applyNumberFormat="1" applyFont="1" applyFill="1" applyAlignment="1">
      <alignment horizontal="center" vertical="center" wrapText="1"/>
    </xf>
    <xf numFmtId="183" fontId="155" fillId="85" borderId="0" xfId="1578" applyNumberFormat="1" applyFont="1" applyFill="1" applyAlignment="1">
      <alignment horizontal="center" vertical="center" wrapText="1"/>
    </xf>
    <xf numFmtId="181" fontId="155" fillId="85" borderId="0" xfId="1577" applyNumberFormat="1" applyFont="1" applyFill="1" applyAlignment="1" applyProtection="1">
      <alignment horizontal="center" vertical="center" wrapText="1"/>
    </xf>
    <xf numFmtId="49" fontId="155" fillId="85" borderId="130" xfId="1577" applyNumberFormat="1" applyFont="1" applyFill="1" applyBorder="1" applyAlignment="1" applyProtection="1">
      <alignment horizontal="center" vertical="center" textRotation="180" wrapText="1"/>
    </xf>
    <xf numFmtId="49" fontId="155" fillId="85" borderId="131" xfId="1577" applyNumberFormat="1" applyFont="1" applyFill="1" applyBorder="1" applyAlignment="1" applyProtection="1">
      <alignment horizontal="center" vertical="center" textRotation="180" wrapText="1"/>
    </xf>
    <xf numFmtId="0" fontId="156" fillId="85" borderId="0" xfId="1578" applyFont="1" applyFill="1" applyAlignment="1">
      <alignment horizontal="left" vertical="center" wrapText="1"/>
    </xf>
    <xf numFmtId="181" fontId="155" fillId="85" borderId="0" xfId="1579" applyNumberFormat="1" applyFont="1" applyFill="1" applyAlignment="1" applyProtection="1">
      <alignment horizontal="right" vertical="center" wrapText="1"/>
      <protection locked="0"/>
    </xf>
    <xf numFmtId="184" fontId="157" fillId="85" borderId="0" xfId="1578" applyNumberFormat="1" applyFont="1" applyFill="1" applyAlignment="1">
      <alignment horizontal="center" vertical="center" wrapText="1"/>
    </xf>
    <xf numFmtId="185" fontId="155" fillId="85" borderId="0" xfId="1578" applyNumberFormat="1" applyFont="1" applyFill="1" applyAlignment="1">
      <alignment horizontal="center" vertical="center" wrapText="1"/>
    </xf>
    <xf numFmtId="49" fontId="155" fillId="85" borderId="130" xfId="1577" applyNumberFormat="1" applyFont="1" applyFill="1" applyBorder="1" applyAlignment="1" applyProtection="1">
      <alignment horizontal="center" vertical="center" wrapText="1"/>
    </xf>
    <xf numFmtId="49" fontId="155" fillId="85" borderId="131" xfId="1577" applyNumberFormat="1" applyFont="1" applyFill="1" applyBorder="1" applyAlignment="1" applyProtection="1">
      <alignment horizontal="center" vertical="center" wrapText="1"/>
    </xf>
    <xf numFmtId="179" fontId="158" fillId="86" borderId="0" xfId="1577" applyNumberFormat="1" applyFont="1" applyFill="1" applyAlignment="1" applyProtection="1">
      <alignment horizontal="center" vertical="center" wrapText="1"/>
    </xf>
    <xf numFmtId="0" fontId="151" fillId="86" borderId="0" xfId="1578" applyFont="1" applyFill="1" applyAlignment="1">
      <alignment horizontal="justify" vertical="center" wrapText="1"/>
    </xf>
    <xf numFmtId="181" fontId="151" fillId="86" borderId="0" xfId="1579" applyNumberFormat="1" applyFont="1" applyFill="1" applyAlignment="1" applyProtection="1">
      <alignment horizontal="right" vertical="center" wrapText="1"/>
      <protection locked="0"/>
    </xf>
    <xf numFmtId="9" fontId="151" fillId="86" borderId="0" xfId="1581" applyFont="1" applyFill="1" applyAlignment="1" applyProtection="1">
      <alignment horizontal="center" vertical="center" wrapText="1"/>
      <protection locked="0"/>
    </xf>
    <xf numFmtId="186" fontId="152" fillId="86" borderId="0" xfId="1578" applyNumberFormat="1" applyFont="1" applyFill="1" applyAlignment="1">
      <alignment horizontal="center" vertical="center" wrapText="1"/>
    </xf>
    <xf numFmtId="186" fontId="152" fillId="86" borderId="0" xfId="1582" applyNumberFormat="1" applyFont="1" applyFill="1" applyAlignment="1" applyProtection="1">
      <alignment horizontal="center" vertical="center" wrapText="1"/>
    </xf>
    <xf numFmtId="0" fontId="152" fillId="86" borderId="0" xfId="1578" applyFont="1" applyFill="1" applyAlignment="1">
      <alignment horizontal="center" vertical="center" wrapText="1"/>
    </xf>
    <xf numFmtId="183" fontId="152" fillId="86" borderId="0" xfId="1582" applyNumberFormat="1" applyFont="1" applyFill="1" applyAlignment="1" applyProtection="1">
      <alignment horizontal="center" vertical="center" wrapText="1"/>
    </xf>
    <xf numFmtId="181" fontId="152" fillId="86" borderId="0" xfId="1577" applyNumberFormat="1" applyFont="1" applyFill="1" applyAlignment="1" applyProtection="1">
      <alignment horizontal="center" vertical="center" wrapText="1"/>
    </xf>
    <xf numFmtId="49" fontId="151" fillId="0" borderId="130" xfId="1577" applyNumberFormat="1" applyFont="1" applyFill="1" applyBorder="1" applyAlignment="1" applyProtection="1">
      <alignment horizontal="center" vertical="center" wrapText="1"/>
    </xf>
    <xf numFmtId="49" fontId="151" fillId="0" borderId="131" xfId="1577" applyNumberFormat="1" applyFont="1" applyFill="1" applyBorder="1" applyAlignment="1" applyProtection="1">
      <alignment horizontal="center" vertical="center" wrapText="1"/>
    </xf>
    <xf numFmtId="179" fontId="158" fillId="87" borderId="0" xfId="1577" applyNumberFormat="1" applyFont="1" applyFill="1" applyAlignment="1" applyProtection="1">
      <alignment horizontal="center" vertical="center" wrapText="1"/>
    </xf>
    <xf numFmtId="0" fontId="151" fillId="87" borderId="0" xfId="1578" applyFont="1" applyFill="1" applyAlignment="1">
      <alignment horizontal="justify" vertical="center" wrapText="1"/>
    </xf>
    <xf numFmtId="181" fontId="151" fillId="87" borderId="0" xfId="1579" applyNumberFormat="1" applyFont="1" applyFill="1" applyAlignment="1" applyProtection="1">
      <alignment horizontal="right" vertical="center" wrapText="1"/>
      <protection locked="0"/>
    </xf>
    <xf numFmtId="9" fontId="152" fillId="87" borderId="0" xfId="1583" applyNumberFormat="1" applyFont="1" applyFill="1" applyAlignment="1" applyProtection="1">
      <alignment horizontal="center" vertical="center" wrapText="1"/>
      <protection locked="0"/>
    </xf>
    <xf numFmtId="186" fontId="151" fillId="87" borderId="0" xfId="1578" applyNumberFormat="1" applyFont="1" applyFill="1" applyAlignment="1">
      <alignment horizontal="center" vertical="center" wrapText="1"/>
    </xf>
    <xf numFmtId="186" fontId="151" fillId="87" borderId="0" xfId="1582" applyNumberFormat="1" applyFont="1" applyFill="1" applyAlignment="1" applyProtection="1">
      <alignment horizontal="center" vertical="center" wrapText="1"/>
    </xf>
    <xf numFmtId="0" fontId="151" fillId="87" borderId="0" xfId="1578" applyFont="1" applyFill="1" applyAlignment="1">
      <alignment horizontal="center" vertical="center" wrapText="1"/>
    </xf>
    <xf numFmtId="183" fontId="151" fillId="87" borderId="0" xfId="1582" applyNumberFormat="1" applyFont="1" applyFill="1" applyAlignment="1" applyProtection="1">
      <alignment horizontal="center" vertical="center" wrapText="1"/>
    </xf>
    <xf numFmtId="181" fontId="151" fillId="87" borderId="0" xfId="1577" applyNumberFormat="1" applyFont="1" applyFill="1" applyAlignment="1" applyProtection="1">
      <alignment horizontal="center" vertical="center" wrapText="1"/>
    </xf>
    <xf numFmtId="179" fontId="159" fillId="88" borderId="0" xfId="1577" applyNumberFormat="1" applyFont="1" applyFill="1" applyAlignment="1" applyProtection="1">
      <alignment horizontal="center" vertical="center" wrapText="1"/>
    </xf>
    <xf numFmtId="0" fontId="160" fillId="88" borderId="0" xfId="1578" applyFont="1" applyFill="1" applyAlignment="1">
      <alignment horizontal="left" vertical="center" wrapText="1"/>
    </xf>
    <xf numFmtId="181" fontId="160" fillId="88" borderId="0" xfId="1579" applyNumberFormat="1" applyFont="1" applyFill="1" applyAlignment="1" applyProtection="1">
      <alignment horizontal="right" vertical="center" wrapText="1"/>
    </xf>
    <xf numFmtId="9" fontId="161" fillId="88" borderId="0" xfId="1583" applyNumberFormat="1" applyFont="1" applyFill="1" applyAlignment="1" applyProtection="1">
      <alignment horizontal="center" vertical="center" wrapText="1"/>
      <protection locked="0"/>
    </xf>
    <xf numFmtId="186" fontId="162" fillId="88" borderId="0" xfId="1578" applyNumberFormat="1" applyFont="1" applyFill="1" applyAlignment="1">
      <alignment horizontal="center" vertical="center" wrapText="1"/>
    </xf>
    <xf numFmtId="0" fontId="162" fillId="88" borderId="0" xfId="1578" applyFont="1" applyFill="1" applyAlignment="1">
      <alignment horizontal="center" vertical="center" wrapText="1"/>
    </xf>
    <xf numFmtId="183" fontId="162" fillId="88" borderId="0" xfId="1578" applyNumberFormat="1" applyFont="1" applyFill="1" applyAlignment="1">
      <alignment horizontal="center" vertical="center" wrapText="1"/>
    </xf>
    <xf numFmtId="181" fontId="162" fillId="88" borderId="0" xfId="1577" applyNumberFormat="1" applyFont="1" applyFill="1" applyAlignment="1" applyProtection="1">
      <alignment horizontal="center" vertical="center" wrapText="1"/>
    </xf>
    <xf numFmtId="179" fontId="158" fillId="0" borderId="0" xfId="1577" applyNumberFormat="1" applyFont="1" applyFill="1" applyAlignment="1" applyProtection="1">
      <alignment horizontal="center" vertical="center" wrapText="1"/>
    </xf>
    <xf numFmtId="0" fontId="152" fillId="0" borderId="0" xfId="1578" applyFont="1" applyFill="1" applyAlignment="1">
      <alignment horizontal="left" vertical="center" wrapText="1"/>
    </xf>
    <xf numFmtId="3" fontId="152" fillId="0" borderId="0" xfId="1579" applyNumberFormat="1" applyFont="1" applyFill="1" applyAlignment="1" applyProtection="1">
      <alignment horizontal="right" vertical="center" wrapText="1"/>
    </xf>
    <xf numFmtId="184" fontId="152" fillId="0" borderId="0" xfId="1578" applyNumberFormat="1" applyFont="1" applyFill="1" applyAlignment="1">
      <alignment horizontal="center" vertical="center" wrapText="1"/>
    </xf>
    <xf numFmtId="186" fontId="152" fillId="0" borderId="0" xfId="1578" applyNumberFormat="1" applyFont="1" applyFill="1" applyAlignment="1">
      <alignment horizontal="center" vertical="center" wrapText="1"/>
    </xf>
    <xf numFmtId="183" fontId="152" fillId="0" borderId="0" xfId="1578" applyNumberFormat="1" applyFont="1" applyFill="1" applyAlignment="1">
      <alignment horizontal="center" vertical="center" wrapText="1"/>
    </xf>
    <xf numFmtId="181" fontId="152" fillId="0" borderId="0" xfId="1577" applyNumberFormat="1" applyFont="1" applyFill="1" applyAlignment="1" applyProtection="1">
      <alignment horizontal="center" vertical="center" wrapText="1"/>
    </xf>
    <xf numFmtId="181" fontId="152" fillId="0" borderId="0" xfId="1577" applyNumberFormat="1" applyFont="1" applyFill="1" applyAlignment="1" applyProtection="1">
      <alignment horizontal="right" vertical="center" wrapText="1"/>
    </xf>
    <xf numFmtId="179" fontId="158" fillId="85" borderId="0" xfId="1577" applyNumberFormat="1" applyFont="1" applyFill="1" applyAlignment="1" applyProtection="1">
      <alignment horizontal="center" vertical="center" wrapText="1"/>
    </xf>
    <xf numFmtId="179" fontId="150" fillId="0" borderId="0" xfId="1577" applyNumberFormat="1" applyFont="1" applyFill="1" applyAlignment="1" applyProtection="1">
      <alignment horizontal="center" vertical="center" wrapText="1"/>
    </xf>
    <xf numFmtId="9" fontId="152" fillId="0" borderId="0" xfId="1578" applyNumberFormat="1" applyFont="1" applyFill="1" applyAlignment="1">
      <alignment horizontal="center" vertical="center" wrapText="1"/>
    </xf>
    <xf numFmtId="186" fontId="163" fillId="0" borderId="0" xfId="1578" applyNumberFormat="1" applyFont="1" applyFill="1" applyAlignment="1">
      <alignment horizontal="center" vertical="center" wrapText="1"/>
    </xf>
    <xf numFmtId="186" fontId="163" fillId="0" borderId="0" xfId="1584" applyNumberFormat="1" applyFont="1" applyFill="1" applyAlignment="1" applyProtection="1">
      <alignment horizontal="center" vertical="center" wrapText="1"/>
    </xf>
    <xf numFmtId="0" fontId="163" fillId="0" borderId="0" xfId="1578" applyFont="1" applyFill="1" applyAlignment="1">
      <alignment horizontal="center" vertical="center" wrapText="1"/>
    </xf>
    <xf numFmtId="183" fontId="152" fillId="0" borderId="0" xfId="1584" applyNumberFormat="1" applyFont="1" applyFill="1" applyAlignment="1" applyProtection="1">
      <alignment horizontal="center" vertical="center" wrapText="1"/>
    </xf>
    <xf numFmtId="181" fontId="163" fillId="0" borderId="0" xfId="1577" applyNumberFormat="1" applyFont="1" applyFill="1" applyAlignment="1" applyProtection="1">
      <alignment horizontal="center" vertical="center" wrapText="1"/>
    </xf>
    <xf numFmtId="49" fontId="163" fillId="0" borderId="130" xfId="1577" applyNumberFormat="1" applyFont="1" applyFill="1" applyBorder="1" applyAlignment="1" applyProtection="1">
      <alignment horizontal="center" vertical="center" wrapText="1"/>
    </xf>
    <xf numFmtId="49" fontId="163" fillId="0" borderId="131" xfId="1577" applyNumberFormat="1" applyFont="1" applyFill="1" applyBorder="1" applyAlignment="1" applyProtection="1">
      <alignment horizontal="center" vertical="center" wrapText="1"/>
    </xf>
    <xf numFmtId="9" fontId="152" fillId="0" borderId="0" xfId="1583" applyNumberFormat="1" applyFont="1" applyFill="1" applyAlignment="1" applyProtection="1">
      <alignment horizontal="center" vertical="center" wrapText="1"/>
      <protection locked="0"/>
    </xf>
    <xf numFmtId="179" fontId="164" fillId="0" borderId="0" xfId="1577" applyNumberFormat="1" applyFont="1" applyFill="1" applyAlignment="1" applyProtection="1">
      <alignment horizontal="center" vertical="center" wrapText="1"/>
    </xf>
    <xf numFmtId="0" fontId="151" fillId="0" borderId="0" xfId="1578" applyFont="1" applyFill="1" applyAlignment="1">
      <alignment horizontal="left" vertical="center" wrapText="1"/>
    </xf>
    <xf numFmtId="181" fontId="151" fillId="0" borderId="0" xfId="1579" applyNumberFormat="1" applyFont="1" applyFill="1" applyAlignment="1" applyProtection="1">
      <alignment horizontal="right" vertical="center" wrapText="1"/>
    </xf>
    <xf numFmtId="9" fontId="151" fillId="0" borderId="0" xfId="1583" applyNumberFormat="1" applyFont="1" applyFill="1" applyAlignment="1" applyProtection="1">
      <alignment horizontal="center" vertical="center" wrapText="1"/>
      <protection locked="0"/>
    </xf>
    <xf numFmtId="186" fontId="153" fillId="0" borderId="0" xfId="1578" applyNumberFormat="1" applyFont="1" applyFill="1" applyAlignment="1">
      <alignment horizontal="center" vertical="center" wrapText="1"/>
    </xf>
    <xf numFmtId="0" fontId="153" fillId="0" borderId="0" xfId="1578" applyFont="1" applyFill="1" applyAlignment="1">
      <alignment horizontal="center" vertical="center" wrapText="1"/>
    </xf>
    <xf numFmtId="183" fontId="151" fillId="0" borderId="0" xfId="1578" applyNumberFormat="1" applyFont="1" applyFill="1" applyAlignment="1">
      <alignment horizontal="center" vertical="center" wrapText="1"/>
    </xf>
    <xf numFmtId="181" fontId="153" fillId="0" borderId="0" xfId="1577" applyNumberFormat="1" applyFont="1" applyFill="1" applyAlignment="1" applyProtection="1">
      <alignment horizontal="center" vertical="center" wrapText="1"/>
    </xf>
    <xf numFmtId="49" fontId="153" fillId="0" borderId="130" xfId="1577" applyNumberFormat="1" applyFont="1" applyFill="1" applyBorder="1" applyAlignment="1" applyProtection="1">
      <alignment horizontal="center" vertical="center" wrapText="1"/>
    </xf>
    <xf numFmtId="49" fontId="153" fillId="0" borderId="131" xfId="1577" applyNumberFormat="1" applyFont="1" applyFill="1" applyBorder="1" applyAlignment="1" applyProtection="1">
      <alignment horizontal="center" vertical="center" wrapText="1"/>
    </xf>
    <xf numFmtId="181" fontId="163" fillId="0" borderId="0" xfId="1578" applyNumberFormat="1" applyFont="1" applyFill="1" applyAlignment="1">
      <alignment horizontal="center" vertical="center" wrapText="1"/>
    </xf>
    <xf numFmtId="0" fontId="24" fillId="0" borderId="40" xfId="0" applyFont="1" applyBorder="1" applyAlignment="1">
      <alignment vertical="center" wrapText="1"/>
    </xf>
    <xf numFmtId="0" fontId="0" fillId="0" borderId="0"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10" fontId="122" fillId="0" borderId="0" xfId="0" applyNumberFormat="1" applyFont="1" applyFill="1" applyBorder="1" applyAlignment="1">
      <alignment vertical="center"/>
    </xf>
    <xf numFmtId="0" fontId="0" fillId="0" borderId="0" xfId="0" applyFont="1" applyFill="1" applyAlignment="1">
      <alignment horizontal="center" vertical="center"/>
    </xf>
    <xf numFmtId="3" fontId="169" fillId="0" borderId="8" xfId="361" applyNumberFormat="1" applyFont="1" applyFill="1" applyBorder="1" applyAlignment="1">
      <alignment horizontal="center" vertical="center"/>
    </xf>
    <xf numFmtId="3" fontId="169" fillId="0" borderId="12" xfId="361" applyNumberFormat="1" applyFont="1" applyFill="1" applyBorder="1" applyAlignment="1">
      <alignment horizontal="center" vertical="center"/>
    </xf>
    <xf numFmtId="0" fontId="148" fillId="5" borderId="23" xfId="0" applyNumberFormat="1" applyFont="1" applyFill="1" applyBorder="1" applyAlignment="1">
      <alignment horizontal="center" vertical="center"/>
    </xf>
    <xf numFmtId="0" fontId="24" fillId="0" borderId="0" xfId="0" applyNumberFormat="1" applyFont="1" applyFill="1" applyBorder="1" applyAlignment="1">
      <alignment vertical="center" wrapText="1"/>
    </xf>
    <xf numFmtId="3" fontId="169" fillId="0" borderId="36" xfId="361" applyNumberFormat="1" applyFont="1" applyFill="1" applyBorder="1" applyAlignment="1">
      <alignment horizontal="center" vertical="center"/>
    </xf>
    <xf numFmtId="0" fontId="24" fillId="0" borderId="12" xfId="0" applyNumberFormat="1" applyFont="1" applyFill="1" applyBorder="1" applyAlignment="1">
      <alignment horizontal="left" vertical="center" wrapText="1"/>
    </xf>
    <xf numFmtId="0" fontId="24" fillId="0" borderId="45" xfId="0" applyNumberFormat="1" applyFont="1" applyFill="1" applyBorder="1" applyAlignment="1">
      <alignment horizontal="left" vertical="center" wrapText="1"/>
    </xf>
    <xf numFmtId="3" fontId="169" fillId="0" borderId="45" xfId="361" applyNumberFormat="1" applyFont="1" applyFill="1" applyBorder="1" applyAlignment="1">
      <alignment horizontal="center" vertical="center"/>
    </xf>
    <xf numFmtId="0" fontId="24" fillId="5" borderId="14" xfId="0" applyNumberFormat="1" applyFont="1" applyFill="1" applyBorder="1" applyAlignment="1">
      <alignment horizontal="left" vertical="center" wrapText="1"/>
    </xf>
    <xf numFmtId="0" fontId="24" fillId="5" borderId="14" xfId="0" applyNumberFormat="1" applyFont="1" applyFill="1" applyBorder="1" applyAlignment="1">
      <alignment horizontal="center" vertical="center" wrapText="1"/>
    </xf>
    <xf numFmtId="3" fontId="169" fillId="0" borderId="14" xfId="361" applyNumberFormat="1" applyFont="1" applyFill="1" applyBorder="1" applyAlignment="1">
      <alignment horizontal="center" vertical="center"/>
    </xf>
    <xf numFmtId="0" fontId="24" fillId="0" borderId="0" xfId="0" applyFont="1" applyAlignment="1">
      <alignment vertical="center"/>
    </xf>
    <xf numFmtId="0" fontId="24" fillId="0" borderId="0" xfId="0" applyFont="1" applyBorder="1" applyAlignment="1">
      <alignment vertical="center"/>
    </xf>
    <xf numFmtId="0" fontId="24" fillId="5" borderId="0" xfId="0" applyNumberFormat="1" applyFont="1" applyFill="1" applyBorder="1" applyAlignment="1">
      <alignment vertical="center"/>
    </xf>
    <xf numFmtId="0" fontId="29" fillId="0" borderId="8" xfId="0" applyNumberFormat="1" applyFont="1" applyFill="1" applyBorder="1" applyAlignment="1">
      <alignment horizontal="center" vertical="center" wrapText="1"/>
    </xf>
    <xf numFmtId="0" fontId="24" fillId="5" borderId="38" xfId="0" applyNumberFormat="1" applyFont="1" applyFill="1" applyBorder="1" applyAlignment="1">
      <alignment horizontal="center" vertical="center" wrapText="1"/>
    </xf>
    <xf numFmtId="0" fontId="29" fillId="0" borderId="12" xfId="0" applyNumberFormat="1" applyFont="1" applyFill="1" applyBorder="1" applyAlignment="1">
      <alignment horizontal="center" vertical="center" wrapText="1"/>
    </xf>
    <xf numFmtId="0" fontId="24" fillId="5" borderId="22" xfId="0" applyNumberFormat="1" applyFont="1" applyFill="1" applyBorder="1" applyAlignment="1">
      <alignment horizontal="center" vertical="center" wrapText="1"/>
    </xf>
    <xf numFmtId="0" fontId="29" fillId="0" borderId="14" xfId="0" applyNumberFormat="1" applyFont="1" applyFill="1" applyBorder="1" applyAlignment="1">
      <alignment horizontal="center" vertical="center" wrapText="1"/>
    </xf>
    <xf numFmtId="0" fontId="24" fillId="5" borderId="25" xfId="0" applyNumberFormat="1" applyFont="1" applyFill="1" applyBorder="1" applyAlignment="1">
      <alignment horizontal="center" vertical="center" wrapText="1"/>
    </xf>
    <xf numFmtId="0" fontId="24" fillId="5" borderId="19" xfId="0" applyNumberFormat="1" applyFont="1" applyFill="1" applyBorder="1" applyAlignment="1">
      <alignment horizontal="center" vertical="center" wrapText="1"/>
    </xf>
    <xf numFmtId="0" fontId="23" fillId="0" borderId="0" xfId="0" applyNumberFormat="1" applyFont="1" applyFill="1" applyBorder="1" applyAlignment="1">
      <alignment vertical="center"/>
    </xf>
    <xf numFmtId="3" fontId="24" fillId="5" borderId="134" xfId="0" applyNumberFormat="1" applyFont="1" applyFill="1" applyBorder="1" applyAlignment="1">
      <alignment horizontal="right" vertical="center"/>
    </xf>
    <xf numFmtId="0" fontId="24" fillId="0" borderId="137" xfId="0" applyFont="1" applyBorder="1" applyAlignment="1">
      <alignment vertical="center" wrapText="1"/>
    </xf>
    <xf numFmtId="0" fontId="31" fillId="0" borderId="143" xfId="0" applyFont="1" applyBorder="1" applyAlignment="1">
      <alignment horizontal="center" vertical="center" wrapText="1"/>
    </xf>
    <xf numFmtId="0" fontId="31" fillId="0" borderId="140" xfId="0" applyFont="1" applyBorder="1" applyAlignment="1">
      <alignment horizontal="center" vertical="center" wrapText="1"/>
    </xf>
    <xf numFmtId="0" fontId="24" fillId="0" borderId="132" xfId="0" applyFont="1" applyBorder="1" applyAlignment="1">
      <alignment horizontal="center" vertical="center" wrapText="1"/>
    </xf>
    <xf numFmtId="0" fontId="24" fillId="0" borderId="132" xfId="0" applyNumberFormat="1" applyFont="1" applyFill="1" applyBorder="1" applyAlignment="1">
      <alignment vertical="center"/>
    </xf>
    <xf numFmtId="3" fontId="24" fillId="5" borderId="132" xfId="0" applyNumberFormat="1" applyFont="1" applyFill="1" applyBorder="1" applyAlignment="1">
      <alignment horizontal="right" vertical="center"/>
    </xf>
    <xf numFmtId="0" fontId="24" fillId="5" borderId="132" xfId="0" applyNumberFormat="1" applyFont="1" applyFill="1" applyBorder="1" applyAlignment="1">
      <alignment horizontal="right" vertical="center"/>
    </xf>
    <xf numFmtId="0" fontId="24" fillId="0" borderId="143" xfId="0" applyFont="1" applyBorder="1" applyAlignment="1">
      <alignment horizontal="center" vertical="center" wrapText="1"/>
    </xf>
    <xf numFmtId="0" fontId="24" fillId="0" borderId="140" xfId="0" applyFont="1" applyBorder="1" applyAlignment="1">
      <alignment horizontal="center" vertical="center" wrapText="1"/>
    </xf>
    <xf numFmtId="0" fontId="24" fillId="5" borderId="142" xfId="0" applyNumberFormat="1" applyFont="1" applyFill="1" applyBorder="1" applyAlignment="1">
      <alignment horizontal="center" vertical="center" wrapText="1"/>
    </xf>
    <xf numFmtId="3" fontId="24" fillId="5" borderId="133" xfId="0" applyNumberFormat="1" applyFont="1" applyFill="1" applyBorder="1" applyAlignment="1">
      <alignment horizontal="right" vertical="center"/>
    </xf>
    <xf numFmtId="0" fontId="24" fillId="0" borderId="144" xfId="0" applyFont="1" applyBorder="1" applyAlignment="1">
      <alignment horizontal="center" vertical="center"/>
    </xf>
    <xf numFmtId="0" fontId="148" fillId="0" borderId="0" xfId="0" applyNumberFormat="1" applyFont="1" applyFill="1" applyBorder="1" applyAlignment="1">
      <alignment vertical="center"/>
    </xf>
    <xf numFmtId="0" fontId="148" fillId="0" borderId="0" xfId="0" applyNumberFormat="1" applyFont="1" applyFill="1" applyBorder="1" applyAlignment="1">
      <alignment horizontal="center" vertical="center"/>
    </xf>
    <xf numFmtId="0" fontId="148" fillId="0" borderId="0" xfId="0" applyNumberFormat="1" applyFont="1" applyFill="1" applyBorder="1" applyAlignment="1">
      <alignment horizontal="center" vertical="center" wrapText="1"/>
    </xf>
    <xf numFmtId="0" fontId="24" fillId="0" borderId="0" xfId="1" applyNumberFormat="1" applyFont="1" applyFill="1" applyBorder="1" applyAlignment="1">
      <alignment vertical="center"/>
    </xf>
    <xf numFmtId="0" fontId="24" fillId="0" borderId="8" xfId="0" applyFont="1" applyBorder="1" applyAlignment="1">
      <alignment horizontal="left" vertical="center" wrapText="1"/>
    </xf>
    <xf numFmtId="0" fontId="24" fillId="0" borderId="8" xfId="0" applyFont="1" applyBorder="1" applyAlignment="1">
      <alignment horizontal="center" vertical="center" wrapText="1"/>
    </xf>
    <xf numFmtId="0" fontId="24" fillId="0" borderId="12" xfId="0" applyFont="1" applyBorder="1" applyAlignment="1">
      <alignment horizontal="left" vertical="center" wrapText="1"/>
    </xf>
    <xf numFmtId="0" fontId="24" fillId="0" borderId="12" xfId="0" applyFont="1" applyBorder="1" applyAlignment="1">
      <alignment horizontal="center" vertical="center" wrapText="1"/>
    </xf>
    <xf numFmtId="0" fontId="24" fillId="0" borderId="14" xfId="0" applyFont="1" applyBorder="1" applyAlignment="1">
      <alignment horizontal="left" vertical="center" wrapText="1"/>
    </xf>
    <xf numFmtId="0" fontId="24" fillId="0" borderId="14" xfId="0" applyFont="1" applyBorder="1" applyAlignment="1">
      <alignment horizontal="center" vertical="center" wrapText="1"/>
    </xf>
    <xf numFmtId="0" fontId="24" fillId="0" borderId="40" xfId="0" applyFont="1" applyBorder="1" applyAlignment="1">
      <alignment horizontal="center" vertical="center" wrapText="1"/>
    </xf>
    <xf numFmtId="3" fontId="0" fillId="0" borderId="82" xfId="5" applyNumberFormat="1" applyFont="1" applyFill="1" applyBorder="1" applyAlignment="1">
      <alignment horizontal="right" vertical="center"/>
    </xf>
    <xf numFmtId="3" fontId="91" fillId="0" borderId="15" xfId="5" applyNumberFormat="1" applyFont="1" applyFill="1" applyBorder="1" applyAlignment="1">
      <alignment horizontal="right" vertical="center"/>
    </xf>
    <xf numFmtId="0" fontId="23" fillId="0" borderId="0" xfId="0" applyNumberFormat="1" applyFont="1" applyFill="1" applyBorder="1" applyAlignment="1">
      <alignment horizontal="center" vertical="center"/>
    </xf>
    <xf numFmtId="0" fontId="167" fillId="0" borderId="0" xfId="0" applyNumberFormat="1" applyFont="1" applyFill="1" applyBorder="1" applyAlignment="1">
      <alignment horizontal="center" vertical="center"/>
    </xf>
    <xf numFmtId="3" fontId="23" fillId="0" borderId="0" xfId="5" applyNumberFormat="1" applyFont="1" applyFill="1" applyBorder="1" applyAlignment="1">
      <alignment horizontal="right" vertical="center"/>
    </xf>
    <xf numFmtId="0" fontId="23" fillId="0" borderId="1" xfId="0" applyFont="1" applyBorder="1" applyAlignment="1">
      <alignment vertical="center"/>
    </xf>
    <xf numFmtId="0" fontId="132" fillId="0" borderId="103" xfId="0" applyFont="1" applyBorder="1" applyAlignment="1">
      <alignment vertical="center" wrapText="1"/>
    </xf>
    <xf numFmtId="0" fontId="115" fillId="0" borderId="103" xfId="0" applyFont="1" applyBorder="1" applyAlignment="1">
      <alignment vertical="center" wrapText="1"/>
    </xf>
    <xf numFmtId="0" fontId="115" fillId="0" borderId="106" xfId="1" applyNumberFormat="1" applyFont="1" applyBorder="1" applyAlignment="1">
      <alignment vertical="center" wrapText="1"/>
    </xf>
    <xf numFmtId="0" fontId="115" fillId="0" borderId="112" xfId="1" applyNumberFormat="1" applyFont="1" applyBorder="1" applyAlignment="1">
      <alignment vertical="center" wrapText="1"/>
    </xf>
    <xf numFmtId="0" fontId="115" fillId="0" borderId="103" xfId="1" applyNumberFormat="1" applyFont="1" applyBorder="1" applyAlignment="1">
      <alignment vertical="center" wrapText="1"/>
    </xf>
    <xf numFmtId="0" fontId="115" fillId="0" borderId="110" xfId="1" applyNumberFormat="1" applyFont="1" applyBorder="1" applyAlignment="1">
      <alignment vertical="center" wrapText="1"/>
    </xf>
    <xf numFmtId="0" fontId="23" fillId="0" borderId="2" xfId="0" applyFont="1" applyBorder="1" applyAlignment="1">
      <alignment vertical="center"/>
    </xf>
    <xf numFmtId="0" fontId="115" fillId="0" borderId="118" xfId="1" applyNumberFormat="1" applyFont="1" applyBorder="1" applyAlignment="1">
      <alignment vertical="center" wrapText="1"/>
    </xf>
    <xf numFmtId="0" fontId="115" fillId="0" borderId="98" xfId="1" applyNumberFormat="1" applyFont="1" applyBorder="1" applyAlignment="1">
      <alignment vertical="center" wrapText="1"/>
    </xf>
    <xf numFmtId="0" fontId="115" fillId="0" borderId="102" xfId="1" applyNumberFormat="1" applyFont="1" applyBorder="1" applyAlignment="1">
      <alignment vertical="center" wrapText="1"/>
    </xf>
    <xf numFmtId="3" fontId="19" fillId="0" borderId="0" xfId="5" applyNumberFormat="1" applyFont="1" applyFill="1" applyBorder="1" applyAlignment="1">
      <alignment horizontal="right" vertical="center"/>
    </xf>
    <xf numFmtId="0" fontId="23" fillId="66" borderId="0" xfId="0" applyNumberFormat="1" applyFont="1" applyFill="1" applyBorder="1" applyAlignment="1">
      <alignment horizontal="center" vertical="center"/>
    </xf>
    <xf numFmtId="0" fontId="167" fillId="66" borderId="0" xfId="0" applyNumberFormat="1" applyFont="1" applyFill="1" applyBorder="1" applyAlignment="1">
      <alignment horizontal="center" vertical="center"/>
    </xf>
    <xf numFmtId="0" fontId="23" fillId="66" borderId="0" xfId="0" applyNumberFormat="1" applyFont="1" applyFill="1" applyBorder="1" applyAlignment="1">
      <alignment vertical="center"/>
    </xf>
    <xf numFmtId="3" fontId="58" fillId="0" borderId="101" xfId="0" applyNumberFormat="1" applyFont="1" applyBorder="1" applyAlignment="1">
      <alignment vertical="center" wrapText="1"/>
    </xf>
    <xf numFmtId="0" fontId="58" fillId="63" borderId="117" xfId="1" applyNumberFormat="1" applyFont="1" applyFill="1" applyBorder="1" applyAlignment="1">
      <alignment vertical="center" wrapText="1"/>
    </xf>
    <xf numFmtId="0" fontId="58" fillId="63" borderId="104" xfId="1" applyNumberFormat="1" applyFont="1" applyFill="1" applyBorder="1" applyAlignment="1">
      <alignment vertical="center" wrapText="1"/>
    </xf>
    <xf numFmtId="0" fontId="58" fillId="63" borderId="111" xfId="1" applyNumberFormat="1" applyFont="1" applyFill="1" applyBorder="1" applyAlignment="1">
      <alignment vertical="center" wrapText="1"/>
    </xf>
    <xf numFmtId="0" fontId="124" fillId="0" borderId="83" xfId="0" applyFont="1" applyBorder="1" applyAlignment="1">
      <alignment horizontal="center" vertical="center"/>
    </xf>
    <xf numFmtId="3" fontId="108" fillId="2" borderId="0" xfId="1574" applyNumberFormat="1" applyFill="1"/>
    <xf numFmtId="49" fontId="155" fillId="85" borderId="82" xfId="1577" applyNumberFormat="1" applyFont="1" applyFill="1" applyBorder="1" applyAlignment="1" applyProtection="1">
      <alignment horizontal="center" vertical="center" textRotation="180" wrapText="1"/>
    </xf>
    <xf numFmtId="49" fontId="155" fillId="85" borderId="15" xfId="1577" applyNumberFormat="1" applyFont="1" applyFill="1" applyBorder="1" applyAlignment="1" applyProtection="1">
      <alignment horizontal="center" vertical="center" textRotation="180" wrapText="1"/>
    </xf>
    <xf numFmtId="0" fontId="72" fillId="0" borderId="0" xfId="1575" applyFont="1" applyFill="1" applyBorder="1" applyAlignment="1">
      <alignment vertical="center" wrapText="1"/>
    </xf>
    <xf numFmtId="0" fontId="72" fillId="0" borderId="0" xfId="1575" applyFont="1" applyFill="1" applyBorder="1" applyAlignment="1">
      <alignment horizontal="center" vertical="center" wrapText="1"/>
    </xf>
    <xf numFmtId="177" fontId="72" fillId="0" borderId="0" xfId="1576" applyNumberFormat="1" applyFont="1" applyFill="1" applyBorder="1" applyAlignment="1">
      <alignment horizontal="right" vertical="center" wrapText="1"/>
    </xf>
    <xf numFmtId="177" fontId="72" fillId="0" borderId="0" xfId="1576" applyNumberFormat="1" applyFont="1" applyFill="1" applyBorder="1" applyAlignment="1">
      <alignment vertical="center" wrapText="1"/>
    </xf>
    <xf numFmtId="0" fontId="72" fillId="0" borderId="0" xfId="1575" applyFont="1" applyBorder="1" applyAlignment="1">
      <alignment vertical="center" wrapText="1"/>
    </xf>
    <xf numFmtId="3" fontId="72" fillId="0" borderId="0" xfId="1" applyNumberFormat="1" applyFont="1" applyBorder="1" applyAlignment="1">
      <alignment vertical="center" wrapText="1"/>
    </xf>
    <xf numFmtId="3" fontId="119" fillId="0" borderId="0" xfId="1575" applyNumberFormat="1" applyFont="1" applyBorder="1" applyAlignment="1">
      <alignment horizontal="center" vertical="center" wrapText="1"/>
    </xf>
    <xf numFmtId="0" fontId="72" fillId="0" borderId="0" xfId="1575" applyFont="1" applyBorder="1" applyAlignment="1">
      <alignment horizontal="justify" vertical="center" wrapText="1"/>
    </xf>
    <xf numFmtId="177" fontId="24" fillId="0" borderId="0" xfId="1576" applyNumberFormat="1" applyFont="1" applyFill="1" applyBorder="1" applyAlignment="1">
      <alignment vertical="center" wrapText="1"/>
    </xf>
    <xf numFmtId="3" fontId="20" fillId="0" borderId="0" xfId="1575" applyNumberFormat="1" applyFont="1" applyBorder="1" applyAlignment="1">
      <alignment horizontal="center" vertical="center" wrapText="1"/>
    </xf>
    <xf numFmtId="0" fontId="24" fillId="0" borderId="0" xfId="1575" applyFont="1" applyFill="1" applyBorder="1" applyAlignment="1">
      <alignment vertical="center" wrapText="1"/>
    </xf>
    <xf numFmtId="0" fontId="24" fillId="0" borderId="0" xfId="1575" applyFont="1" applyFill="1" applyBorder="1" applyAlignment="1">
      <alignment horizontal="justify" vertical="center" wrapText="1"/>
    </xf>
    <xf numFmtId="0" fontId="24" fillId="0" borderId="0" xfId="1575" applyFont="1" applyFill="1" applyBorder="1" applyAlignment="1">
      <alignment horizontal="center" vertical="center" wrapText="1"/>
    </xf>
    <xf numFmtId="177" fontId="24" fillId="0" borderId="0" xfId="1576" applyNumberFormat="1" applyFont="1" applyFill="1" applyBorder="1" applyAlignment="1">
      <alignment horizontal="right" vertical="center" wrapText="1"/>
    </xf>
    <xf numFmtId="3" fontId="24" fillId="0" borderId="0" xfId="1" applyNumberFormat="1" applyFont="1" applyFill="1" applyBorder="1" applyAlignment="1">
      <alignment vertical="center" wrapText="1"/>
    </xf>
    <xf numFmtId="0" fontId="72" fillId="0" borderId="0" xfId="1575" applyFont="1" applyBorder="1" applyAlignment="1">
      <alignment vertical="center"/>
    </xf>
    <xf numFmtId="0" fontId="20" fillId="0" borderId="0" xfId="1575" applyFont="1" applyBorder="1" applyAlignment="1">
      <alignment vertical="center" wrapText="1"/>
    </xf>
    <xf numFmtId="0" fontId="20" fillId="0" borderId="0" xfId="1575" applyFont="1" applyBorder="1" applyAlignment="1">
      <alignment horizontal="justify" vertical="center" wrapText="1"/>
    </xf>
    <xf numFmtId="0" fontId="20" fillId="0" borderId="0" xfId="1575" applyFont="1" applyBorder="1" applyAlignment="1">
      <alignment horizontal="center" vertical="center" wrapText="1"/>
    </xf>
    <xf numFmtId="177" fontId="20" fillId="0" borderId="0" xfId="1576" applyNumberFormat="1" applyFont="1" applyBorder="1" applyAlignment="1">
      <alignment horizontal="right" vertical="center" wrapText="1"/>
    </xf>
    <xf numFmtId="177" fontId="20" fillId="0" borderId="0" xfId="1576" applyNumberFormat="1" applyFont="1" applyBorder="1" applyAlignment="1">
      <alignment vertical="center" wrapText="1"/>
    </xf>
    <xf numFmtId="3" fontId="20" fillId="0" borderId="0" xfId="1" applyNumberFormat="1" applyFont="1" applyBorder="1" applyAlignment="1">
      <alignment vertical="center" wrapText="1"/>
    </xf>
    <xf numFmtId="3" fontId="24" fillId="0" borderId="0" xfId="1575" applyNumberFormat="1" applyFont="1" applyBorder="1" applyAlignment="1">
      <alignment horizontal="center" vertical="center" wrapText="1"/>
    </xf>
    <xf numFmtId="17" fontId="0" fillId="0" borderId="0" xfId="0" applyNumberFormat="1" applyFont="1" applyFill="1" applyBorder="1" applyAlignment="1">
      <alignment horizontal="center" vertical="center"/>
    </xf>
    <xf numFmtId="0" fontId="134" fillId="0" borderId="0" xfId="0" applyFont="1" applyFill="1" applyBorder="1" applyAlignment="1">
      <alignment vertical="center" wrapText="1"/>
    </xf>
    <xf numFmtId="0" fontId="129" fillId="78" borderId="0" xfId="0" applyFont="1" applyFill="1" applyBorder="1" applyAlignment="1">
      <alignment horizontal="right" vertical="center"/>
    </xf>
    <xf numFmtId="3" fontId="129" fillId="78" borderId="0" xfId="0" applyNumberFormat="1" applyFont="1" applyFill="1" applyBorder="1" applyAlignment="1">
      <alignment horizontal="right" vertical="center"/>
    </xf>
    <xf numFmtId="3" fontId="129" fillId="0" borderId="0" xfId="0" applyNumberFormat="1" applyFont="1" applyFill="1" applyBorder="1" applyAlignment="1">
      <alignment horizontal="right" vertical="center"/>
    </xf>
    <xf numFmtId="3" fontId="133" fillId="6" borderId="0" xfId="0" applyNumberFormat="1" applyFont="1" applyFill="1" applyBorder="1" applyAlignment="1">
      <alignment horizontal="right" vertical="center"/>
    </xf>
    <xf numFmtId="0" fontId="133" fillId="6" borderId="0" xfId="0" applyFont="1" applyFill="1" applyBorder="1" applyAlignment="1">
      <alignment horizontal="right" vertical="center"/>
    </xf>
    <xf numFmtId="3" fontId="129" fillId="6" borderId="0" xfId="0" applyNumberFormat="1" applyFont="1" applyFill="1" applyBorder="1" applyAlignment="1">
      <alignment horizontal="right" vertical="center"/>
    </xf>
    <xf numFmtId="0" fontId="58" fillId="78" borderId="0" xfId="0" applyFont="1" applyFill="1" applyBorder="1" applyAlignment="1">
      <alignment vertical="center" wrapText="1"/>
    </xf>
    <xf numFmtId="0" fontId="58" fillId="0" borderId="0" xfId="0" applyFont="1" applyBorder="1" applyAlignment="1">
      <alignment vertical="center" wrapText="1"/>
    </xf>
    <xf numFmtId="0" fontId="132" fillId="63" borderId="0" xfId="0" applyFont="1" applyFill="1" applyBorder="1" applyAlignment="1">
      <alignment vertical="center" wrapText="1"/>
    </xf>
    <xf numFmtId="0" fontId="58" fillId="63" borderId="0" xfId="0" applyFont="1" applyFill="1" applyBorder="1" applyAlignment="1">
      <alignment vertical="center" wrapText="1"/>
    </xf>
    <xf numFmtId="0" fontId="129" fillId="63" borderId="0" xfId="0" applyFont="1" applyFill="1" applyBorder="1" applyAlignment="1">
      <alignment vertical="center" wrapText="1"/>
    </xf>
    <xf numFmtId="3" fontId="133" fillId="63" borderId="0" xfId="0" applyNumberFormat="1" applyFont="1" applyFill="1" applyBorder="1" applyAlignment="1">
      <alignment horizontal="right" vertical="center"/>
    </xf>
    <xf numFmtId="0" fontId="133" fillId="63" borderId="0" xfId="0" applyFont="1" applyFill="1" applyBorder="1" applyAlignment="1">
      <alignment horizontal="right" vertical="center"/>
    </xf>
    <xf numFmtId="3" fontId="129" fillId="63" borderId="0" xfId="0" applyNumberFormat="1" applyFont="1" applyFill="1" applyBorder="1" applyAlignment="1">
      <alignment horizontal="right" vertical="center"/>
    </xf>
    <xf numFmtId="0" fontId="132" fillId="74" borderId="0" xfId="0" applyFont="1" applyFill="1" applyBorder="1" applyAlignment="1">
      <alignment horizontal="center" vertical="center" wrapText="1"/>
    </xf>
    <xf numFmtId="0" fontId="58" fillId="7" borderId="0" xfId="0" applyFont="1" applyFill="1" applyBorder="1" applyAlignment="1">
      <alignment vertical="center" wrapText="1"/>
    </xf>
    <xf numFmtId="0" fontId="129" fillId="77" borderId="0" xfId="0" applyFont="1" applyFill="1" applyBorder="1" applyAlignment="1">
      <alignment vertical="center" wrapText="1"/>
    </xf>
    <xf numFmtId="0" fontId="129" fillId="78" borderId="0" xfId="0" applyFont="1" applyFill="1" applyBorder="1" applyAlignment="1">
      <alignment horizontal="center" vertical="center"/>
    </xf>
    <xf numFmtId="0" fontId="133" fillId="0" borderId="0" xfId="0" applyFont="1" applyBorder="1" applyAlignment="1">
      <alignment vertical="center"/>
    </xf>
    <xf numFmtId="3" fontId="129" fillId="0" borderId="0" xfId="0" applyNumberFormat="1" applyFont="1" applyBorder="1" applyAlignment="1">
      <alignment horizontal="right" vertical="center"/>
    </xf>
    <xf numFmtId="0" fontId="129" fillId="0" borderId="0" xfId="0" applyFont="1" applyBorder="1" applyAlignment="1">
      <alignment vertical="center"/>
    </xf>
    <xf numFmtId="0" fontId="58" fillId="79" borderId="0" xfId="0" applyFont="1" applyFill="1" applyBorder="1" applyAlignment="1">
      <alignment vertical="center" wrapText="1"/>
    </xf>
    <xf numFmtId="3" fontId="129" fillId="79" borderId="0" xfId="0" applyNumberFormat="1" applyFont="1" applyFill="1" applyBorder="1" applyAlignment="1">
      <alignment horizontal="right" vertical="center"/>
    </xf>
    <xf numFmtId="0" fontId="134" fillId="77" borderId="0" xfId="0" applyFont="1" applyFill="1" applyBorder="1" applyAlignment="1">
      <alignment vertical="center" wrapText="1"/>
    </xf>
    <xf numFmtId="3" fontId="129" fillId="72" borderId="0" xfId="0" applyNumberFormat="1" applyFont="1" applyFill="1" applyBorder="1" applyAlignment="1">
      <alignment horizontal="right" vertical="center"/>
    </xf>
    <xf numFmtId="0" fontId="133" fillId="77" borderId="0" xfId="0" applyFont="1" applyFill="1" applyBorder="1" applyAlignment="1">
      <alignment vertical="center" wrapText="1"/>
    </xf>
    <xf numFmtId="3" fontId="133" fillId="78" borderId="0" xfId="0" applyNumberFormat="1" applyFont="1" applyFill="1" applyBorder="1" applyAlignment="1">
      <alignment horizontal="right" vertical="center"/>
    </xf>
    <xf numFmtId="0" fontId="133" fillId="78" borderId="0" xfId="0" applyFont="1" applyFill="1" applyBorder="1" applyAlignment="1">
      <alignment horizontal="right" vertical="center"/>
    </xf>
    <xf numFmtId="0" fontId="129" fillId="0" borderId="0" xfId="0" applyFont="1" applyBorder="1" applyAlignment="1">
      <alignment horizontal="right" vertical="center"/>
    </xf>
    <xf numFmtId="0" fontId="133" fillId="6" borderId="0" xfId="0" applyFont="1" applyFill="1" applyBorder="1" applyAlignment="1">
      <alignment vertical="center" wrapText="1"/>
    </xf>
    <xf numFmtId="0" fontId="0" fillId="63" borderId="0" xfId="0" applyFill="1" applyBorder="1" applyAlignment="1">
      <alignment vertical="center"/>
    </xf>
    <xf numFmtId="3" fontId="135" fillId="0" borderId="0" xfId="0" applyNumberFormat="1" applyFont="1" applyFill="1" applyBorder="1" applyAlignment="1">
      <alignment horizontal="right" vertical="center"/>
    </xf>
    <xf numFmtId="0" fontId="129" fillId="0" borderId="0" xfId="0" applyFont="1" applyFill="1" applyBorder="1" applyAlignment="1">
      <alignment horizontal="right" vertical="center"/>
    </xf>
    <xf numFmtId="0" fontId="58" fillId="0" borderId="112" xfId="1" applyNumberFormat="1" applyFont="1" applyFill="1" applyBorder="1" applyAlignment="1">
      <alignment vertical="center" wrapText="1"/>
    </xf>
    <xf numFmtId="0" fontId="58" fillId="0" borderId="103" xfId="1" applyNumberFormat="1" applyFont="1" applyFill="1" applyBorder="1" applyAlignment="1">
      <alignment vertical="center" wrapText="1"/>
    </xf>
    <xf numFmtId="3" fontId="129" fillId="0" borderId="114" xfId="1" applyNumberFormat="1" applyFont="1" applyFill="1" applyBorder="1" applyAlignment="1">
      <alignment horizontal="right" vertical="center" wrapText="1"/>
    </xf>
    <xf numFmtId="3" fontId="129" fillId="0" borderId="91" xfId="1" applyNumberFormat="1" applyFont="1" applyFill="1" applyBorder="1" applyAlignment="1">
      <alignment horizontal="right" vertical="center" wrapText="1"/>
    </xf>
    <xf numFmtId="0" fontId="58" fillId="0" borderId="91" xfId="1" applyNumberFormat="1" applyFont="1" applyFill="1" applyBorder="1" applyAlignment="1">
      <alignment vertical="center" wrapText="1"/>
    </xf>
    <xf numFmtId="0" fontId="58" fillId="0" borderId="114" xfId="1" applyNumberFormat="1" applyFont="1" applyFill="1" applyBorder="1" applyAlignment="1">
      <alignment vertical="center" wrapText="1"/>
    </xf>
    <xf numFmtId="3" fontId="129" fillId="0" borderId="91" xfId="0" applyNumberFormat="1" applyFont="1" applyFill="1" applyBorder="1" applyAlignment="1">
      <alignment horizontal="right" vertical="center" wrapText="1"/>
    </xf>
    <xf numFmtId="0" fontId="58" fillId="0" borderId="100" xfId="1" applyNumberFormat="1" applyFont="1" applyFill="1" applyBorder="1" applyAlignment="1">
      <alignment vertical="center" wrapText="1"/>
    </xf>
    <xf numFmtId="0" fontId="23" fillId="0" borderId="82" xfId="0" applyFont="1" applyBorder="1" applyAlignment="1">
      <alignment vertical="center"/>
    </xf>
    <xf numFmtId="0" fontId="132" fillId="0" borderId="98" xfId="0" applyFont="1" applyBorder="1" applyAlignment="1">
      <alignment vertical="center" wrapText="1"/>
    </xf>
    <xf numFmtId="0" fontId="115" fillId="0" borderId="98" xfId="0" applyFont="1" applyBorder="1" applyAlignment="1">
      <alignment vertical="center" wrapText="1"/>
    </xf>
    <xf numFmtId="0" fontId="115" fillId="0" borderId="108" xfId="1" applyNumberFormat="1" applyFont="1" applyBorder="1" applyAlignment="1">
      <alignment vertical="center" wrapText="1"/>
    </xf>
    <xf numFmtId="0" fontId="23" fillId="0" borderId="0" xfId="0" applyFont="1" applyBorder="1" applyAlignment="1">
      <alignment vertical="center"/>
    </xf>
    <xf numFmtId="3" fontId="58" fillId="63" borderId="5" xfId="1" applyNumberFormat="1" applyFont="1" applyFill="1" applyBorder="1" applyAlignment="1">
      <alignment vertical="center" wrapText="1"/>
    </xf>
    <xf numFmtId="0" fontId="0" fillId="0" borderId="0" xfId="1" applyNumberFormat="1" applyFont="1" applyAlignment="1">
      <alignment vertical="center"/>
    </xf>
    <xf numFmtId="3" fontId="0" fillId="0" borderId="0" xfId="1" applyNumberFormat="1" applyFont="1" applyAlignment="1">
      <alignment vertical="center"/>
    </xf>
    <xf numFmtId="0" fontId="0" fillId="0" borderId="0" xfId="0" applyFont="1" applyAlignment="1">
      <alignment vertical="center"/>
    </xf>
    <xf numFmtId="0" fontId="0" fillId="63" borderId="0" xfId="1" applyNumberFormat="1" applyFont="1" applyFill="1" applyAlignment="1">
      <alignment vertical="center"/>
    </xf>
    <xf numFmtId="0" fontId="0" fillId="63" borderId="0" xfId="1" applyNumberFormat="1" applyFont="1" applyFill="1" applyAlignment="1">
      <alignment horizontal="center" vertical="center"/>
    </xf>
    <xf numFmtId="0" fontId="2" fillId="0" borderId="0" xfId="1587" applyBorder="1" applyAlignment="1">
      <alignment vertical="center"/>
    </xf>
    <xf numFmtId="0" fontId="101" fillId="0" borderId="0" xfId="1587" applyFont="1" applyBorder="1" applyAlignment="1">
      <alignment horizontal="left" vertical="center"/>
    </xf>
    <xf numFmtId="0" fontId="101" fillId="0" borderId="0" xfId="1587" applyFont="1" applyBorder="1" applyAlignment="1">
      <alignment vertical="center"/>
    </xf>
    <xf numFmtId="0" fontId="84" fillId="4" borderId="0" xfId="1587" applyFont="1" applyFill="1" applyBorder="1" applyAlignment="1">
      <alignment horizontal="center" vertical="center"/>
    </xf>
    <xf numFmtId="0" fontId="87" fillId="63" borderId="0" xfId="1587" applyFont="1" applyFill="1" applyBorder="1" applyAlignment="1">
      <alignment horizontal="left" vertical="center"/>
    </xf>
    <xf numFmtId="3" fontId="101" fillId="0" borderId="0" xfId="1589" applyNumberFormat="1" applyFont="1" applyBorder="1" applyAlignment="1">
      <alignment horizontal="right" vertical="center"/>
    </xf>
    <xf numFmtId="3" fontId="87" fillId="0" borderId="0" xfId="1587" applyNumberFormat="1" applyFont="1" applyBorder="1" applyAlignment="1">
      <alignment vertical="center"/>
    </xf>
    <xf numFmtId="0" fontId="2" fillId="0" borderId="0" xfId="1587" applyBorder="1" applyAlignment="1">
      <alignment horizontal="center"/>
    </xf>
    <xf numFmtId="0" fontId="172" fillId="0" borderId="0" xfId="1587" applyFont="1" applyBorder="1" applyAlignment="1">
      <alignment vertical="center"/>
    </xf>
    <xf numFmtId="0" fontId="2" fillId="0" borderId="0" xfId="1587" applyBorder="1"/>
    <xf numFmtId="0" fontId="87" fillId="0" borderId="0" xfId="1587" applyFont="1" applyFill="1" applyBorder="1" applyAlignment="1">
      <alignment vertical="center"/>
    </xf>
    <xf numFmtId="0" fontId="2" fillId="0" borderId="0" xfId="1587" applyBorder="1" applyAlignment="1">
      <alignment horizontal="center" vertical="center"/>
    </xf>
    <xf numFmtId="0" fontId="84" fillId="4" borderId="0" xfId="1587" applyFont="1" applyFill="1" applyBorder="1" applyAlignment="1">
      <alignment horizontal="center" vertical="center" wrapText="1"/>
    </xf>
    <xf numFmtId="0" fontId="87" fillId="0" borderId="0" xfId="1587" applyFont="1" applyBorder="1" applyAlignment="1">
      <alignment vertical="center"/>
    </xf>
    <xf numFmtId="0" fontId="173" fillId="0" borderId="0" xfId="1587" applyFont="1" applyBorder="1" applyAlignment="1">
      <alignment horizontal="center" vertical="center"/>
    </xf>
    <xf numFmtId="0" fontId="101" fillId="0" borderId="0" xfId="1587" applyFont="1" applyBorder="1" applyAlignment="1">
      <alignment vertical="center" wrapText="1"/>
    </xf>
    <xf numFmtId="3" fontId="101" fillId="0" borderId="0" xfId="1587" applyNumberFormat="1" applyFont="1" applyBorder="1" applyAlignment="1">
      <alignment horizontal="right" vertical="center"/>
    </xf>
    <xf numFmtId="0" fontId="2" fillId="63" borderId="0" xfId="1587" applyFill="1" applyBorder="1"/>
    <xf numFmtId="3" fontId="2" fillId="0" borderId="0" xfId="1587" applyNumberFormat="1" applyBorder="1" applyAlignment="1">
      <alignment vertical="center"/>
    </xf>
    <xf numFmtId="167" fontId="2" fillId="0" borderId="0" xfId="1589" applyFont="1" applyBorder="1" applyAlignment="1">
      <alignment vertical="center"/>
    </xf>
    <xf numFmtId="168" fontId="2" fillId="0" borderId="0" xfId="1588" applyFont="1" applyBorder="1" applyAlignment="1">
      <alignment vertical="center"/>
    </xf>
    <xf numFmtId="0" fontId="87" fillId="93" borderId="0" xfId="1587" applyFont="1" applyFill="1" applyBorder="1" applyAlignment="1">
      <alignment vertical="center"/>
    </xf>
    <xf numFmtId="0" fontId="2" fillId="93" borderId="0" xfId="1587" applyFill="1" applyBorder="1" applyAlignment="1">
      <alignment vertical="center"/>
    </xf>
    <xf numFmtId="167" fontId="2" fillId="93" borderId="0" xfId="1587" applyNumberFormat="1" applyFill="1" applyBorder="1" applyAlignment="1">
      <alignment vertical="center"/>
    </xf>
    <xf numFmtId="9" fontId="87" fillId="0" borderId="0" xfId="1590" applyFont="1" applyBorder="1" applyAlignment="1">
      <alignment vertical="center"/>
    </xf>
    <xf numFmtId="0" fontId="0" fillId="0" borderId="0" xfId="0" applyBorder="1" applyAlignment="1">
      <alignment horizontal="center"/>
    </xf>
    <xf numFmtId="0" fontId="173" fillId="0" borderId="0" xfId="1587" quotePrefix="1" applyFont="1" applyBorder="1" applyAlignment="1">
      <alignment horizontal="center" vertical="center"/>
    </xf>
    <xf numFmtId="177" fontId="41" fillId="84" borderId="0" xfId="1576" applyNumberFormat="1" applyFont="1" applyFill="1" applyBorder="1" applyAlignment="1">
      <alignment horizontal="center" vertical="center" wrapText="1"/>
    </xf>
    <xf numFmtId="0" fontId="0" fillId="5" borderId="0" xfId="0" applyNumberFormat="1" applyFont="1" applyFill="1" applyBorder="1" applyAlignment="1">
      <alignment horizontal="left" vertical="center" wrapText="1"/>
    </xf>
    <xf numFmtId="0" fontId="23" fillId="0" borderId="0" xfId="0" applyNumberFormat="1" applyFont="1" applyFill="1" applyBorder="1" applyAlignment="1">
      <alignment horizontal="left" vertical="center" wrapText="1"/>
    </xf>
    <xf numFmtId="0" fontId="23" fillId="66" borderId="0" xfId="0" applyNumberFormat="1" applyFont="1" applyFill="1" applyBorder="1" applyAlignment="1">
      <alignment horizontal="left" vertical="center" wrapText="1"/>
    </xf>
    <xf numFmtId="0" fontId="24" fillId="5" borderId="28" xfId="0" applyNumberFormat="1" applyFont="1" applyFill="1" applyBorder="1" applyAlignment="1">
      <alignment horizontal="center" vertical="center" wrapText="1"/>
    </xf>
    <xf numFmtId="0" fontId="24" fillId="5" borderId="23" xfId="0" applyNumberFormat="1" applyFont="1" applyFill="1" applyBorder="1" applyAlignment="1">
      <alignment horizontal="center" vertical="center"/>
    </xf>
    <xf numFmtId="0" fontId="24" fillId="5" borderId="26" xfId="0" applyNumberFormat="1" applyFont="1" applyFill="1" applyBorder="1" applyAlignment="1">
      <alignment horizontal="center" vertical="center" wrapText="1"/>
    </xf>
    <xf numFmtId="0" fontId="24" fillId="0" borderId="22" xfId="0" applyNumberFormat="1" applyFont="1" applyFill="1" applyBorder="1" applyAlignment="1">
      <alignment horizontal="center" vertical="center"/>
    </xf>
    <xf numFmtId="0" fontId="24" fillId="5" borderId="41" xfId="0" applyNumberFormat="1" applyFont="1" applyFill="1" applyBorder="1" applyAlignment="1">
      <alignment horizontal="center" vertical="center" wrapText="1"/>
    </xf>
    <xf numFmtId="179" fontId="174" fillId="88" borderId="0" xfId="1577" applyNumberFormat="1" applyFont="1" applyFill="1" applyAlignment="1" applyProtection="1">
      <alignment horizontal="center" vertical="center" wrapText="1"/>
    </xf>
    <xf numFmtId="0" fontId="175" fillId="88" borderId="0" xfId="1578" applyFont="1" applyFill="1" applyAlignment="1">
      <alignment horizontal="left" vertical="center" wrapText="1"/>
    </xf>
    <xf numFmtId="181" fontId="175" fillId="88" borderId="0" xfId="1579" applyNumberFormat="1" applyFont="1" applyFill="1" applyAlignment="1" applyProtection="1">
      <alignment horizontal="right" vertical="center" wrapText="1"/>
    </xf>
    <xf numFmtId="9" fontId="176" fillId="88" borderId="0" xfId="1583" applyNumberFormat="1" applyFont="1" applyFill="1" applyAlignment="1" applyProtection="1">
      <alignment horizontal="center" vertical="center" wrapText="1"/>
      <protection locked="0"/>
    </xf>
    <xf numFmtId="186" fontId="177" fillId="88" borderId="0" xfId="1578" applyNumberFormat="1" applyFont="1" applyFill="1" applyAlignment="1">
      <alignment horizontal="center" vertical="center" wrapText="1"/>
    </xf>
    <xf numFmtId="0" fontId="177" fillId="88" borderId="0" xfId="1578" applyFont="1" applyFill="1" applyAlignment="1">
      <alignment horizontal="center" vertical="center" wrapText="1"/>
    </xf>
    <xf numFmtId="183" fontId="177" fillId="88" borderId="0" xfId="1578" applyNumberFormat="1" applyFont="1" applyFill="1" applyAlignment="1">
      <alignment horizontal="center" vertical="center" wrapText="1"/>
    </xf>
    <xf numFmtId="181" fontId="177" fillId="88" borderId="0" xfId="1577" applyNumberFormat="1" applyFont="1" applyFill="1" applyAlignment="1" applyProtection="1">
      <alignment horizontal="center" vertical="center" wrapText="1"/>
    </xf>
    <xf numFmtId="49" fontId="178" fillId="0" borderId="130" xfId="1577" applyNumberFormat="1" applyFont="1" applyFill="1" applyBorder="1" applyAlignment="1" applyProtection="1">
      <alignment horizontal="center" vertical="center" wrapText="1"/>
    </xf>
    <xf numFmtId="49" fontId="178" fillId="0" borderId="131" xfId="1577" applyNumberFormat="1" applyFont="1" applyFill="1" applyBorder="1" applyAlignment="1" applyProtection="1">
      <alignment horizontal="center" vertical="center" wrapText="1"/>
    </xf>
    <xf numFmtId="0" fontId="179" fillId="0" borderId="0" xfId="1578" applyFont="1"/>
    <xf numFmtId="179" fontId="180" fillId="89" borderId="0" xfId="1577" applyNumberFormat="1" applyFont="1" applyFill="1" applyAlignment="1" applyProtection="1">
      <alignment horizontal="center" vertical="center" wrapText="1"/>
    </xf>
    <xf numFmtId="0" fontId="178" fillId="89" borderId="0" xfId="1578" applyFont="1" applyFill="1" applyAlignment="1">
      <alignment horizontal="left" vertical="center" wrapText="1"/>
    </xf>
    <xf numFmtId="181" fontId="178" fillId="89" borderId="0" xfId="1579" applyNumberFormat="1" applyFont="1" applyFill="1" applyAlignment="1" applyProtection="1">
      <alignment horizontal="right" vertical="center" wrapText="1"/>
      <protection locked="0"/>
    </xf>
    <xf numFmtId="9" fontId="181" fillId="89" borderId="0" xfId="1583" applyNumberFormat="1" applyFont="1" applyFill="1" applyAlignment="1" applyProtection="1">
      <alignment horizontal="center" vertical="center" wrapText="1"/>
      <protection locked="0"/>
    </xf>
    <xf numFmtId="186" fontId="181" fillId="89" borderId="0" xfId="1578" applyNumberFormat="1" applyFont="1" applyFill="1" applyAlignment="1">
      <alignment horizontal="center" vertical="center" wrapText="1"/>
    </xf>
    <xf numFmtId="0" fontId="181" fillId="89" borderId="0" xfId="1578" applyFont="1" applyFill="1" applyAlignment="1">
      <alignment horizontal="center" vertical="center" wrapText="1"/>
    </xf>
    <xf numFmtId="183" fontId="181" fillId="89" borderId="0" xfId="1578" applyNumberFormat="1" applyFont="1" applyFill="1" applyAlignment="1">
      <alignment horizontal="center" vertical="center" wrapText="1"/>
    </xf>
    <xf numFmtId="181" fontId="181" fillId="89" borderId="0" xfId="1577" applyNumberFormat="1" applyFont="1" applyFill="1" applyAlignment="1" applyProtection="1">
      <alignment horizontal="center" vertical="center" wrapText="1"/>
    </xf>
    <xf numFmtId="179" fontId="180" fillId="0" borderId="0" xfId="1577" applyNumberFormat="1" applyFont="1" applyFill="1" applyAlignment="1" applyProtection="1">
      <alignment horizontal="center" vertical="center" wrapText="1"/>
    </xf>
    <xf numFmtId="0" fontId="181" fillId="0" borderId="0" xfId="1578" applyFont="1" applyFill="1" applyAlignment="1">
      <alignment horizontal="left" vertical="center" wrapText="1"/>
    </xf>
    <xf numFmtId="181" fontId="181" fillId="0" borderId="0" xfId="1579" applyNumberFormat="1" applyFont="1" applyFill="1" applyAlignment="1" applyProtection="1">
      <alignment horizontal="right" vertical="center" wrapText="1"/>
    </xf>
    <xf numFmtId="3" fontId="181" fillId="0" borderId="0" xfId="1579" applyNumberFormat="1" applyFont="1" applyFill="1" applyAlignment="1" applyProtection="1">
      <alignment horizontal="right" vertical="center" wrapText="1"/>
    </xf>
    <xf numFmtId="184" fontId="181" fillId="0" borderId="0" xfId="1578" applyNumberFormat="1" applyFont="1" applyFill="1" applyAlignment="1">
      <alignment horizontal="center" vertical="center" wrapText="1"/>
    </xf>
    <xf numFmtId="186" fontId="181" fillId="0" borderId="0" xfId="1578" applyNumberFormat="1" applyFont="1" applyFill="1" applyAlignment="1">
      <alignment horizontal="center" vertical="center" wrapText="1"/>
    </xf>
    <xf numFmtId="0" fontId="181" fillId="0" borderId="0" xfId="1578" applyFont="1" applyFill="1" applyAlignment="1">
      <alignment horizontal="center" vertical="center" wrapText="1"/>
    </xf>
    <xf numFmtId="183" fontId="181" fillId="0" borderId="0" xfId="1578" applyNumberFormat="1" applyFont="1" applyFill="1" applyAlignment="1">
      <alignment horizontal="center" vertical="center" wrapText="1"/>
    </xf>
    <xf numFmtId="181" fontId="181" fillId="0" borderId="0" xfId="1577" applyNumberFormat="1" applyFont="1" applyFill="1" applyAlignment="1" applyProtection="1">
      <alignment horizontal="center" vertical="center" wrapText="1"/>
    </xf>
    <xf numFmtId="181" fontId="181" fillId="0" borderId="0" xfId="1577" applyNumberFormat="1" applyFont="1" applyFill="1" applyAlignment="1" applyProtection="1">
      <alignment horizontal="right" vertical="center" wrapText="1"/>
    </xf>
    <xf numFmtId="182" fontId="153" fillId="0" borderId="0" xfId="1578" applyNumberFormat="1" applyFont="1" applyFill="1" applyAlignment="1">
      <alignment horizontal="center" vertical="center" wrapText="1"/>
    </xf>
    <xf numFmtId="180" fontId="153" fillId="0" borderId="0" xfId="1578" applyNumberFormat="1" applyFont="1" applyFill="1" applyAlignment="1">
      <alignment horizontal="center" vertical="center" wrapText="1"/>
    </xf>
    <xf numFmtId="0" fontId="151" fillId="86" borderId="0" xfId="1578" applyFont="1" applyFill="1" applyAlignment="1">
      <alignment horizontal="center" vertical="center" wrapText="1"/>
    </xf>
    <xf numFmtId="0" fontId="178" fillId="89" borderId="0" xfId="1578" applyFont="1" applyFill="1" applyAlignment="1">
      <alignment horizontal="center" vertical="center" wrapText="1"/>
    </xf>
    <xf numFmtId="0" fontId="151" fillId="85" borderId="0" xfId="1578" applyFont="1" applyFill="1" applyAlignment="1">
      <alignment horizontal="center" vertical="center" wrapText="1"/>
    </xf>
    <xf numFmtId="0" fontId="3" fillId="0" borderId="0" xfId="1578" applyAlignment="1">
      <alignment horizontal="center" wrapText="1"/>
    </xf>
    <xf numFmtId="0" fontId="187" fillId="94" borderId="0" xfId="1591" applyFont="1" applyFill="1" applyBorder="1" applyAlignment="1">
      <alignment horizontal="left" vertical="center"/>
    </xf>
    <xf numFmtId="0" fontId="187" fillId="97" borderId="0" xfId="1591" applyFont="1" applyFill="1" applyBorder="1" applyAlignment="1">
      <alignment horizontal="left" vertical="center"/>
    </xf>
    <xf numFmtId="0" fontId="189" fillId="97" borderId="0" xfId="1591" applyFont="1" applyFill="1" applyBorder="1" applyAlignment="1">
      <alignment vertical="center"/>
    </xf>
    <xf numFmtId="3" fontId="94" fillId="97" borderId="0" xfId="1591" applyNumberFormat="1" applyFont="1" applyFill="1" applyBorder="1" applyAlignment="1">
      <alignment horizontal="right" vertical="center"/>
    </xf>
    <xf numFmtId="3" fontId="100" fillId="97" borderId="0" xfId="1591" applyNumberFormat="1" applyFont="1" applyFill="1" applyBorder="1" applyAlignment="1">
      <alignment horizontal="right" vertical="center"/>
    </xf>
    <xf numFmtId="3" fontId="187" fillId="102" borderId="0" xfId="1591" applyNumberFormat="1" applyFont="1" applyFill="1" applyBorder="1" applyAlignment="1">
      <alignment horizontal="left" vertical="center"/>
    </xf>
    <xf numFmtId="0" fontId="121" fillId="96" borderId="0" xfId="1591" applyFont="1" applyFill="1" applyBorder="1" applyAlignment="1">
      <alignment horizontal="left" vertical="center" indent="1"/>
    </xf>
    <xf numFmtId="0" fontId="187" fillId="94" borderId="0" xfId="1591" applyFont="1" applyFill="1" applyBorder="1" applyAlignment="1">
      <alignment horizontal="left" vertical="center" indent="1"/>
    </xf>
    <xf numFmtId="0" fontId="187" fillId="94" borderId="0" xfId="1591" applyNumberFormat="1" applyFont="1" applyFill="1" applyBorder="1" applyAlignment="1">
      <alignment horizontal="left" vertical="center" indent="1"/>
    </xf>
    <xf numFmtId="0" fontId="121" fillId="102" borderId="0" xfId="1591" applyFont="1" applyFill="1" applyBorder="1" applyAlignment="1">
      <alignment horizontal="left" vertical="center" indent="1"/>
    </xf>
    <xf numFmtId="0" fontId="187" fillId="102" borderId="0" xfId="1591" applyFont="1" applyFill="1" applyBorder="1" applyAlignment="1">
      <alignment horizontal="left" vertical="center" indent="1"/>
    </xf>
    <xf numFmtId="0" fontId="187" fillId="102" borderId="0" xfId="1591" applyNumberFormat="1" applyFont="1" applyFill="1" applyBorder="1" applyAlignment="1">
      <alignment horizontal="left" vertical="center" indent="1"/>
    </xf>
    <xf numFmtId="0" fontId="187" fillId="97" borderId="0" xfId="1591" applyFont="1" applyFill="1" applyBorder="1">
      <alignment vertical="center"/>
    </xf>
    <xf numFmtId="0" fontId="187" fillId="0" borderId="0" xfId="1591" applyFont="1" applyFill="1" applyBorder="1" applyAlignment="1">
      <alignment vertical="center"/>
    </xf>
    <xf numFmtId="3" fontId="187" fillId="102" borderId="0" xfId="1" applyNumberFormat="1" applyFont="1" applyFill="1" applyBorder="1" applyAlignment="1">
      <alignment horizontal="left" vertical="center"/>
    </xf>
    <xf numFmtId="0" fontId="94" fillId="0" borderId="0" xfId="0" applyFont="1" applyBorder="1"/>
    <xf numFmtId="3" fontId="94" fillId="3" borderId="0" xfId="1" applyNumberFormat="1" applyFont="1" applyFill="1" applyBorder="1"/>
    <xf numFmtId="0" fontId="94" fillId="3" borderId="0" xfId="0" applyFont="1" applyFill="1" applyBorder="1"/>
    <xf numFmtId="0" fontId="188" fillId="94" borderId="0" xfId="1591" applyFont="1" applyBorder="1" applyAlignment="1">
      <alignment horizontal="center" vertical="center" wrapText="1"/>
    </xf>
    <xf numFmtId="3" fontId="190" fillId="97" borderId="0" xfId="1591" applyNumberFormat="1" applyFont="1" applyFill="1" applyBorder="1" applyAlignment="1">
      <alignment horizontal="right" vertical="center"/>
    </xf>
    <xf numFmtId="3" fontId="94" fillId="0" borderId="0" xfId="1" applyNumberFormat="1" applyFont="1" applyBorder="1"/>
    <xf numFmtId="0" fontId="191" fillId="100" borderId="0" xfId="1591" applyFont="1" applyFill="1" applyBorder="1" applyAlignment="1">
      <alignment vertical="center"/>
    </xf>
    <xf numFmtId="0" fontId="187" fillId="100" borderId="0" xfId="1591" applyFont="1" applyFill="1" applyBorder="1" applyAlignment="1">
      <alignment vertical="center"/>
    </xf>
    <xf numFmtId="3" fontId="190" fillId="100" borderId="0" xfId="1591" applyNumberFormat="1" applyFont="1" applyFill="1" applyBorder="1" applyAlignment="1">
      <alignment horizontal="right" vertical="center"/>
    </xf>
    <xf numFmtId="9" fontId="188" fillId="94" borderId="0" xfId="1591" applyNumberFormat="1" applyFont="1" applyBorder="1" applyAlignment="1">
      <alignment horizontal="center" vertical="center" wrapText="1"/>
    </xf>
    <xf numFmtId="0" fontId="187" fillId="100" borderId="0" xfId="1591" applyFont="1" applyFill="1" applyBorder="1">
      <alignment vertical="center"/>
    </xf>
    <xf numFmtId="0" fontId="97" fillId="99" borderId="0" xfId="1591" applyFont="1" applyFill="1" applyBorder="1" applyAlignment="1">
      <alignment horizontal="left" vertical="center" wrapText="1"/>
    </xf>
    <xf numFmtId="0" fontId="187" fillId="100" borderId="0" xfId="1591" applyFont="1" applyFill="1" applyBorder="1" applyAlignment="1">
      <alignment horizontal="left" vertical="center"/>
    </xf>
    <xf numFmtId="0" fontId="96" fillId="5" borderId="0" xfId="1591" applyFont="1" applyFill="1" applyBorder="1" applyAlignment="1">
      <alignment horizontal="left" vertical="center" wrapText="1"/>
    </xf>
    <xf numFmtId="0" fontId="189" fillId="5" borderId="0" xfId="1591" applyFont="1" applyFill="1" applyBorder="1" applyAlignment="1">
      <alignment vertical="center"/>
    </xf>
    <xf numFmtId="0" fontId="187" fillId="97" borderId="0" xfId="1591" applyFont="1" applyFill="1" applyBorder="1" applyAlignment="1">
      <alignment vertical="center"/>
    </xf>
    <xf numFmtId="0" fontId="191" fillId="99" borderId="0" xfId="1591" applyFont="1" applyFill="1" applyBorder="1" applyAlignment="1">
      <alignment vertical="center"/>
    </xf>
    <xf numFmtId="0" fontId="187" fillId="97" borderId="0" xfId="1594" applyFont="1" applyFill="1" applyBorder="1" applyAlignment="1">
      <alignment vertical="center"/>
    </xf>
    <xf numFmtId="3" fontId="100" fillId="97" borderId="0" xfId="1594" applyNumberFormat="1" applyFont="1" applyFill="1" applyBorder="1" applyAlignment="1">
      <alignment horizontal="right" vertical="center"/>
    </xf>
    <xf numFmtId="0" fontId="188" fillId="98" borderId="0" xfId="1591" applyFont="1" applyFill="1" applyBorder="1" applyAlignment="1">
      <alignment horizontal="center" vertical="center" wrapText="1"/>
    </xf>
    <xf numFmtId="0" fontId="187" fillId="98" borderId="0" xfId="1591" applyFont="1" applyFill="1" applyBorder="1" applyAlignment="1">
      <alignment vertical="center" wrapText="1"/>
    </xf>
    <xf numFmtId="3" fontId="187" fillId="98" borderId="0" xfId="1591" applyNumberFormat="1" applyFont="1" applyFill="1" applyBorder="1" applyAlignment="1">
      <alignment horizontal="right" vertical="center" wrapText="1"/>
    </xf>
    <xf numFmtId="0" fontId="94" fillId="0" borderId="0" xfId="0" applyFont="1" applyBorder="1" applyAlignment="1">
      <alignment horizontal="center"/>
    </xf>
    <xf numFmtId="0" fontId="121" fillId="96" borderId="0" xfId="1591" applyFont="1" applyFill="1" applyBorder="1" applyAlignment="1">
      <alignment horizontal="center" vertical="center"/>
    </xf>
    <xf numFmtId="3" fontId="187" fillId="102" borderId="0" xfId="1591" applyNumberFormat="1" applyFont="1" applyFill="1" applyBorder="1" applyAlignment="1">
      <alignment horizontal="center" vertical="center"/>
    </xf>
    <xf numFmtId="9" fontId="94" fillId="0" borderId="0" xfId="6" applyFont="1" applyBorder="1" applyAlignment="1">
      <alignment horizontal="center"/>
    </xf>
    <xf numFmtId="9" fontId="94" fillId="0" borderId="0" xfId="6" applyFont="1" applyFill="1" applyBorder="1" applyAlignment="1">
      <alignment horizontal="center"/>
    </xf>
    <xf numFmtId="3" fontId="190" fillId="100" borderId="0" xfId="1591" applyNumberFormat="1" applyFont="1" applyFill="1" applyBorder="1" applyAlignment="1">
      <alignment horizontal="center" vertical="center"/>
    </xf>
    <xf numFmtId="3" fontId="155" fillId="85" borderId="0" xfId="1" applyNumberFormat="1" applyFont="1" applyFill="1" applyBorder="1" applyAlignment="1" applyProtection="1">
      <alignment horizontal="center" vertical="center" wrapText="1"/>
    </xf>
    <xf numFmtId="3" fontId="155" fillId="85" borderId="15" xfId="1" applyNumberFormat="1" applyFont="1" applyFill="1" applyBorder="1" applyAlignment="1" applyProtection="1">
      <alignment horizontal="center" vertical="center" wrapText="1"/>
    </xf>
    <xf numFmtId="3" fontId="0" fillId="0" borderId="0" xfId="1" applyNumberFormat="1" applyFont="1" applyFill="1" applyBorder="1" applyAlignment="1">
      <alignment vertical="center"/>
    </xf>
    <xf numFmtId="3" fontId="0" fillId="0" borderId="15" xfId="1" applyNumberFormat="1" applyFont="1" applyFill="1" applyBorder="1" applyAlignment="1">
      <alignment vertical="center"/>
    </xf>
    <xf numFmtId="0" fontId="32" fillId="0" borderId="0" xfId="1598" applyFont="1" applyAlignment="1">
      <alignment vertical="center"/>
    </xf>
    <xf numFmtId="0" fontId="194" fillId="104" borderId="23" xfId="1598" applyFont="1" applyFill="1" applyBorder="1" applyAlignment="1">
      <alignment horizontal="center" vertical="center" wrapText="1"/>
    </xf>
    <xf numFmtId="181" fontId="194" fillId="104" borderId="23" xfId="1579" applyNumberFormat="1" applyFont="1" applyFill="1" applyBorder="1" applyAlignment="1" applyProtection="1">
      <alignment horizontal="center" vertical="center" wrapText="1"/>
    </xf>
    <xf numFmtId="9" fontId="195" fillId="104" borderId="23" xfId="1580" applyFont="1" applyFill="1" applyBorder="1" applyAlignment="1" applyProtection="1">
      <alignment horizontal="center" vertical="center" wrapText="1"/>
    </xf>
    <xf numFmtId="0" fontId="1" fillId="0" borderId="0" xfId="1598"/>
    <xf numFmtId="0" fontId="196" fillId="105" borderId="23" xfId="1598" applyFont="1" applyFill="1" applyBorder="1" applyAlignment="1">
      <alignment vertical="center" wrapText="1"/>
    </xf>
    <xf numFmtId="9" fontId="153" fillId="105" borderId="23" xfId="1599" applyFont="1" applyFill="1" applyBorder="1" applyAlignment="1">
      <alignment horizontal="center" vertical="center" wrapText="1"/>
    </xf>
    <xf numFmtId="177" fontId="196" fillId="105" borderId="23" xfId="1600" applyNumberFormat="1" applyFont="1" applyFill="1" applyBorder="1" applyAlignment="1">
      <alignment horizontal="justify" vertical="center" wrapText="1"/>
    </xf>
    <xf numFmtId="177" fontId="194" fillId="104" borderId="23" xfId="1600" applyNumberFormat="1" applyFont="1" applyFill="1" applyBorder="1" applyAlignment="1" applyProtection="1">
      <alignment horizontal="right" vertical="center" wrapText="1"/>
      <protection locked="0"/>
    </xf>
    <xf numFmtId="9" fontId="198" fillId="104" borderId="23" xfId="1599" applyFont="1" applyFill="1" applyBorder="1" applyAlignment="1">
      <alignment horizontal="center" vertical="center" wrapText="1"/>
    </xf>
    <xf numFmtId="0" fontId="199" fillId="0" borderId="0" xfId="1598" applyFont="1"/>
    <xf numFmtId="0" fontId="0" fillId="0" borderId="0" xfId="0" applyNumberFormat="1" applyFont="1" applyFill="1" applyBorder="1" applyAlignment="1">
      <alignment horizontal="center" vertical="center"/>
    </xf>
    <xf numFmtId="0" fontId="196" fillId="105" borderId="23" xfId="1598" applyFont="1" applyFill="1" applyBorder="1" applyAlignment="1">
      <alignment horizontal="left" vertical="center" wrapText="1" indent="1"/>
    </xf>
    <xf numFmtId="0" fontId="0" fillId="0" borderId="0" xfId="0" applyNumberFormat="1" applyFont="1" applyFill="1" applyBorder="1" applyAlignment="1">
      <alignment horizontal="center" vertical="center"/>
    </xf>
    <xf numFmtId="3" fontId="0" fillId="3" borderId="0" xfId="1" applyNumberFormat="1" applyFont="1" applyFill="1" applyBorder="1" applyAlignment="1">
      <alignment horizontal="right" vertical="center"/>
    </xf>
    <xf numFmtId="3" fontId="0" fillId="3" borderId="15" xfId="1" applyNumberFormat="1" applyFont="1" applyFill="1" applyBorder="1" applyAlignment="1">
      <alignment horizontal="right" vertical="center"/>
    </xf>
    <xf numFmtId="3" fontId="0" fillId="66" borderId="0" xfId="1" applyNumberFormat="1" applyFont="1" applyFill="1" applyBorder="1" applyAlignment="1">
      <alignment horizontal="right" vertical="center"/>
    </xf>
    <xf numFmtId="3" fontId="0" fillId="66" borderId="15" xfId="1" applyNumberFormat="1" applyFont="1" applyFill="1" applyBorder="1" applyAlignment="1">
      <alignment horizontal="right" vertical="center"/>
    </xf>
    <xf numFmtId="3" fontId="0" fillId="0" borderId="0" xfId="1" applyNumberFormat="1" applyFont="1" applyFill="1" applyBorder="1" applyAlignment="1">
      <alignment horizontal="right" vertical="center"/>
    </xf>
    <xf numFmtId="3" fontId="0" fillId="0" borderId="15" xfId="1" applyNumberFormat="1" applyFont="1" applyFill="1" applyBorder="1" applyAlignment="1">
      <alignment horizontal="right" vertical="center"/>
    </xf>
    <xf numFmtId="3" fontId="23" fillId="66" borderId="0" xfId="1" applyNumberFormat="1" applyFont="1" applyFill="1" applyBorder="1" applyAlignment="1">
      <alignment horizontal="right" vertical="center"/>
    </xf>
    <xf numFmtId="3" fontId="23" fillId="66" borderId="15" xfId="1" applyNumberFormat="1" applyFont="1" applyFill="1" applyBorder="1" applyAlignment="1">
      <alignment horizontal="right" vertical="center"/>
    </xf>
    <xf numFmtId="3" fontId="23" fillId="0" borderId="0" xfId="1" applyNumberFormat="1" applyFont="1" applyFill="1" applyBorder="1" applyAlignment="1">
      <alignment horizontal="right" vertical="center"/>
    </xf>
    <xf numFmtId="3" fontId="23" fillId="0" borderId="15" xfId="1" applyNumberFormat="1" applyFont="1" applyFill="1" applyBorder="1" applyAlignment="1">
      <alignment horizontal="right" vertical="center"/>
    </xf>
    <xf numFmtId="3" fontId="19" fillId="0" borderId="0" xfId="1" applyNumberFormat="1" applyFont="1" applyFill="1" applyBorder="1" applyAlignment="1">
      <alignment horizontal="right" vertical="center"/>
    </xf>
    <xf numFmtId="3" fontId="19" fillId="0" borderId="15" xfId="1" applyNumberFormat="1" applyFont="1" applyFill="1" applyBorder="1" applyAlignment="1">
      <alignment horizontal="right" vertical="center"/>
    </xf>
    <xf numFmtId="0" fontId="23" fillId="3" borderId="0" xfId="0" applyNumberFormat="1" applyFont="1" applyFill="1" applyBorder="1" applyAlignment="1">
      <alignment horizontal="center" vertical="center"/>
    </xf>
    <xf numFmtId="0" fontId="167" fillId="3" borderId="0" xfId="0" applyNumberFormat="1" applyFont="1" applyFill="1" applyBorder="1" applyAlignment="1">
      <alignment horizontal="center" vertical="center"/>
    </xf>
    <xf numFmtId="0" fontId="23" fillId="3" borderId="0" xfId="0" applyNumberFormat="1" applyFont="1" applyFill="1" applyBorder="1" applyAlignment="1">
      <alignment vertical="center"/>
    </xf>
    <xf numFmtId="3" fontId="23" fillId="3" borderId="0" xfId="1" applyNumberFormat="1" applyFont="1" applyFill="1" applyBorder="1" applyAlignment="1">
      <alignment horizontal="right" vertical="center"/>
    </xf>
    <xf numFmtId="3" fontId="23" fillId="3" borderId="15" xfId="1" applyNumberFormat="1" applyFont="1" applyFill="1" applyBorder="1" applyAlignment="1">
      <alignment horizontal="right" vertical="center"/>
    </xf>
    <xf numFmtId="177" fontId="197" fillId="105" borderId="23" xfId="1600" applyNumberFormat="1" applyFont="1" applyFill="1" applyBorder="1" applyAlignment="1">
      <alignment horizontal="left" vertical="center" wrapText="1"/>
    </xf>
    <xf numFmtId="0" fontId="196" fillId="106" borderId="23" xfId="1598" applyFont="1" applyFill="1" applyBorder="1" applyAlignment="1">
      <alignment vertical="center" wrapText="1"/>
    </xf>
    <xf numFmtId="181" fontId="196" fillId="106" borderId="23" xfId="1579" applyNumberFormat="1" applyFont="1" applyFill="1" applyBorder="1" applyAlignment="1" applyProtection="1">
      <alignment horizontal="right" vertical="center" wrapText="1"/>
      <protection locked="0"/>
    </xf>
    <xf numFmtId="9" fontId="153" fillId="106" borderId="23" xfId="1599" applyFont="1" applyFill="1" applyBorder="1" applyAlignment="1">
      <alignment horizontal="center" vertical="center" wrapText="1"/>
    </xf>
    <xf numFmtId="0" fontId="87" fillId="0" borderId="0" xfId="1598" applyFont="1"/>
    <xf numFmtId="177" fontId="196" fillId="106" borderId="23" xfId="1600" applyNumberFormat="1" applyFont="1" applyFill="1" applyBorder="1" applyAlignment="1">
      <alignment horizontal="justify" vertical="center" wrapText="1"/>
    </xf>
    <xf numFmtId="179" fontId="197" fillId="106" borderId="23" xfId="1598" applyNumberFormat="1" applyFont="1" applyFill="1" applyBorder="1" applyAlignment="1">
      <alignment vertical="center" wrapText="1"/>
    </xf>
    <xf numFmtId="177" fontId="197" fillId="106" borderId="23" xfId="1600" applyNumberFormat="1" applyFont="1" applyFill="1" applyBorder="1" applyAlignment="1">
      <alignment horizontal="justify" vertical="center" wrapText="1"/>
    </xf>
    <xf numFmtId="2" fontId="23" fillId="0" borderId="0" xfId="0" applyNumberFormat="1" applyFont="1" applyFill="1" applyBorder="1" applyAlignment="1">
      <alignment horizontal="center" vertical="center"/>
    </xf>
    <xf numFmtId="17" fontId="23" fillId="0" borderId="0" xfId="0" applyNumberFormat="1" applyFont="1" applyFill="1" applyBorder="1" applyAlignment="1">
      <alignment horizontal="center" vertical="center"/>
    </xf>
    <xf numFmtId="0" fontId="24" fillId="0" borderId="7"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49" xfId="0" applyFont="1" applyBorder="1" applyAlignment="1">
      <alignment horizontal="center" vertical="center" wrapText="1"/>
    </xf>
    <xf numFmtId="0" fontId="24" fillId="5" borderId="21" xfId="0" applyNumberFormat="1" applyFont="1" applyFill="1" applyBorder="1" applyAlignment="1">
      <alignment horizontal="center" vertical="center" wrapText="1"/>
    </xf>
    <xf numFmtId="0" fontId="24" fillId="5" borderId="24" xfId="0" applyNumberFormat="1" applyFont="1" applyFill="1" applyBorder="1" applyAlignment="1">
      <alignment horizontal="center" vertical="center" wrapText="1"/>
    </xf>
    <xf numFmtId="0" fontId="24" fillId="5" borderId="46" xfId="0" applyNumberFormat="1" applyFont="1" applyFill="1" applyBorder="1" applyAlignment="1">
      <alignment horizontal="center" vertical="center" wrapText="1"/>
    </xf>
    <xf numFmtId="0" fontId="24" fillId="5" borderId="27" xfId="0" applyNumberFormat="1" applyFont="1" applyFill="1" applyBorder="1" applyAlignment="1">
      <alignment horizontal="center" vertical="center" wrapText="1"/>
    </xf>
    <xf numFmtId="0" fontId="24" fillId="0" borderId="8" xfId="0" applyNumberFormat="1" applyFont="1" applyFill="1" applyBorder="1" applyAlignment="1">
      <alignment vertical="center"/>
    </xf>
    <xf numFmtId="0" fontId="24" fillId="0" borderId="8" xfId="0" applyNumberFormat="1" applyFont="1" applyFill="1" applyBorder="1" applyAlignment="1">
      <alignment horizontal="left" vertical="center" wrapText="1"/>
    </xf>
    <xf numFmtId="0" fontId="24" fillId="5" borderId="29" xfId="0" applyNumberFormat="1" applyFont="1" applyFill="1" applyBorder="1" applyAlignment="1">
      <alignment horizontal="center" vertical="center" wrapText="1"/>
    </xf>
    <xf numFmtId="0" fontId="24" fillId="0" borderId="8" xfId="0" applyNumberFormat="1" applyFont="1" applyFill="1" applyBorder="1" applyAlignment="1">
      <alignment vertical="center" wrapText="1"/>
    </xf>
    <xf numFmtId="3" fontId="169" fillId="0" borderId="10" xfId="361" applyNumberFormat="1" applyFont="1" applyFill="1" applyBorder="1" applyAlignment="1">
      <alignment horizontal="center" vertical="center" wrapText="1"/>
    </xf>
    <xf numFmtId="3" fontId="169" fillId="0" borderId="13" xfId="361" applyNumberFormat="1" applyFont="1" applyFill="1" applyBorder="1" applyAlignment="1">
      <alignment horizontal="center" vertical="center" wrapText="1"/>
    </xf>
    <xf numFmtId="3" fontId="169" fillId="0" borderId="51" xfId="361" applyNumberFormat="1" applyFont="1" applyFill="1" applyBorder="1" applyAlignment="1">
      <alignment horizontal="center" vertical="center" wrapText="1"/>
    </xf>
    <xf numFmtId="49" fontId="155" fillId="85" borderId="0" xfId="1577" applyNumberFormat="1" applyFont="1" applyFill="1" applyBorder="1" applyAlignment="1" applyProtection="1">
      <alignment horizontal="center" vertical="center" textRotation="180" wrapText="1"/>
    </xf>
    <xf numFmtId="0" fontId="192" fillId="3" borderId="0" xfId="0" applyNumberFormat="1" applyFont="1" applyFill="1" applyBorder="1" applyAlignment="1">
      <alignment horizontal="center" vertical="center"/>
    </xf>
    <xf numFmtId="0" fontId="192" fillId="3" borderId="15" xfId="0" applyNumberFormat="1" applyFont="1" applyFill="1" applyBorder="1" applyAlignment="1">
      <alignment horizontal="center" vertical="center"/>
    </xf>
    <xf numFmtId="0" fontId="107" fillId="66" borderId="0" xfId="0" applyNumberFormat="1" applyFont="1" applyFill="1" applyBorder="1" applyAlignment="1">
      <alignment horizontal="center" vertical="center"/>
    </xf>
    <xf numFmtId="0" fontId="107" fillId="66" borderId="15" xfId="0" applyNumberFormat="1" applyFont="1" applyFill="1" applyBorder="1" applyAlignment="1">
      <alignment horizontal="center" vertical="center"/>
    </xf>
    <xf numFmtId="0" fontId="107" fillId="0" borderId="15" xfId="0" applyNumberFormat="1" applyFont="1" applyFill="1" applyBorder="1" applyAlignment="1">
      <alignment horizontal="center" vertical="center"/>
    </xf>
    <xf numFmtId="0" fontId="192" fillId="66" borderId="0" xfId="0" applyNumberFormat="1" applyFont="1" applyFill="1" applyBorder="1" applyAlignment="1">
      <alignment horizontal="center" vertical="center"/>
    </xf>
    <xf numFmtId="0" fontId="192" fillId="66" borderId="15" xfId="0" applyNumberFormat="1" applyFont="1" applyFill="1" applyBorder="1" applyAlignment="1">
      <alignment horizontal="center" vertical="center"/>
    </xf>
    <xf numFmtId="0" fontId="107" fillId="3" borderId="0" xfId="0" applyNumberFormat="1" applyFont="1" applyFill="1" applyBorder="1" applyAlignment="1">
      <alignment horizontal="center" vertical="center"/>
    </xf>
    <xf numFmtId="0" fontId="107" fillId="3" borderId="15" xfId="0" applyNumberFormat="1" applyFont="1" applyFill="1" applyBorder="1" applyAlignment="1">
      <alignment horizontal="center" vertical="center"/>
    </xf>
    <xf numFmtId="4" fontId="23" fillId="3" borderId="0" xfId="0" applyNumberFormat="1" applyFont="1" applyFill="1" applyBorder="1" applyAlignment="1">
      <alignment horizontal="center" vertical="center"/>
    </xf>
    <xf numFmtId="4" fontId="0" fillId="66" borderId="0" xfId="0" applyNumberFormat="1" applyFont="1" applyFill="1" applyBorder="1" applyAlignment="1">
      <alignment horizontal="center" vertical="center"/>
    </xf>
    <xf numFmtId="4" fontId="0" fillId="0" borderId="0" xfId="1" applyNumberFormat="1" applyFont="1" applyFill="1" applyBorder="1" applyAlignment="1">
      <alignment horizontal="center" vertical="center"/>
    </xf>
    <xf numFmtId="4" fontId="23" fillId="66" borderId="0" xfId="0" applyNumberFormat="1" applyFont="1" applyFill="1" applyBorder="1" applyAlignment="1">
      <alignment horizontal="center" vertical="center"/>
    </xf>
    <xf numFmtId="4" fontId="0" fillId="3" borderId="0" xfId="0" applyNumberFormat="1" applyFont="1" applyFill="1" applyBorder="1" applyAlignment="1">
      <alignment horizontal="center" vertical="center"/>
    </xf>
    <xf numFmtId="4" fontId="0" fillId="0" borderId="0" xfId="0" applyNumberFormat="1" applyFont="1" applyFill="1" applyBorder="1" applyAlignment="1">
      <alignment horizontal="center" vertical="center"/>
    </xf>
    <xf numFmtId="3" fontId="23" fillId="3" borderId="0" xfId="0" applyNumberFormat="1" applyFont="1" applyFill="1" applyBorder="1" applyAlignment="1">
      <alignment vertical="center"/>
    </xf>
    <xf numFmtId="3" fontId="0" fillId="66" borderId="0" xfId="0" applyNumberFormat="1" applyFont="1" applyFill="1" applyBorder="1" applyAlignment="1">
      <alignment vertical="center"/>
    </xf>
    <xf numFmtId="3" fontId="23" fillId="66" borderId="0" xfId="0" applyNumberFormat="1" applyFont="1" applyFill="1" applyBorder="1" applyAlignment="1">
      <alignment vertical="center"/>
    </xf>
    <xf numFmtId="3" fontId="0" fillId="3" borderId="0" xfId="0" applyNumberFormat="1" applyFont="1" applyFill="1" applyBorder="1" applyAlignment="1">
      <alignment vertical="center"/>
    </xf>
    <xf numFmtId="3" fontId="0" fillId="0" borderId="0" xfId="0" applyNumberFormat="1" applyFont="1" applyFill="1" applyBorder="1" applyAlignment="1">
      <alignment horizontal="center" vertical="center"/>
    </xf>
    <xf numFmtId="9" fontId="0" fillId="0" borderId="0" xfId="6" applyFont="1" applyFill="1" applyBorder="1" applyAlignment="1">
      <alignment vertical="center"/>
    </xf>
    <xf numFmtId="3" fontId="107" fillId="0" borderId="23" xfId="0" applyNumberFormat="1" applyFont="1" applyBorder="1" applyAlignment="1">
      <alignment horizontal="right" vertical="center" wrapText="1"/>
    </xf>
    <xf numFmtId="0" fontId="192" fillId="0" borderId="30" xfId="0" applyFont="1" applyBorder="1" applyAlignment="1">
      <alignment horizontal="left" vertical="center" wrapText="1"/>
    </xf>
    <xf numFmtId="3" fontId="107" fillId="0" borderId="39" xfId="0" applyNumberFormat="1" applyFont="1" applyBorder="1" applyAlignment="1">
      <alignment horizontal="right" vertical="center" wrapText="1"/>
    </xf>
    <xf numFmtId="0" fontId="192" fillId="0" borderId="37" xfId="0" applyFont="1" applyBorder="1" applyAlignment="1">
      <alignment horizontal="left" vertical="center" wrapText="1"/>
    </xf>
    <xf numFmtId="3" fontId="107" fillId="0" borderId="20" xfId="0" applyNumberFormat="1" applyFont="1" applyBorder="1" applyAlignment="1">
      <alignment horizontal="right" vertical="center" wrapText="1"/>
    </xf>
    <xf numFmtId="3" fontId="107" fillId="0" borderId="48" xfId="0" applyNumberFormat="1" applyFont="1" applyBorder="1" applyAlignment="1">
      <alignment horizontal="right" vertical="center" wrapText="1"/>
    </xf>
    <xf numFmtId="0" fontId="192" fillId="103" borderId="33" xfId="0" applyFont="1" applyFill="1" applyBorder="1" applyAlignment="1">
      <alignment horizontal="center" vertical="center" wrapText="1"/>
    </xf>
    <xf numFmtId="0" fontId="192" fillId="103" borderId="18" xfId="0" applyFont="1" applyFill="1" applyBorder="1" applyAlignment="1">
      <alignment horizontal="center" vertical="center" wrapText="1"/>
    </xf>
    <xf numFmtId="0" fontId="192" fillId="103" borderId="34" xfId="0" applyFont="1" applyFill="1" applyBorder="1" applyAlignment="1">
      <alignment horizontal="center" vertical="center" wrapText="1"/>
    </xf>
    <xf numFmtId="0" fontId="192" fillId="0" borderId="47" xfId="0" applyFont="1" applyBorder="1" applyAlignment="1">
      <alignment horizontal="left" vertical="center" wrapText="1"/>
    </xf>
    <xf numFmtId="3" fontId="107" fillId="0" borderId="41" xfId="0" applyNumberFormat="1" applyFont="1" applyBorder="1" applyAlignment="1">
      <alignment horizontal="right" vertical="center" wrapText="1"/>
    </xf>
    <xf numFmtId="3" fontId="107" fillId="0" borderId="53" xfId="0" applyNumberFormat="1" applyFont="1" applyBorder="1" applyAlignment="1">
      <alignment horizontal="right" vertical="center" wrapText="1"/>
    </xf>
    <xf numFmtId="3" fontId="192" fillId="103" borderId="18" xfId="0" applyNumberFormat="1" applyFont="1" applyFill="1" applyBorder="1" applyAlignment="1">
      <alignment horizontal="right" vertical="center" wrapText="1"/>
    </xf>
    <xf numFmtId="3" fontId="192" fillId="103" borderId="34" xfId="0" applyNumberFormat="1" applyFont="1" applyFill="1" applyBorder="1" applyAlignment="1">
      <alignment horizontal="right" vertical="center" wrapText="1"/>
    </xf>
    <xf numFmtId="0" fontId="192" fillId="103" borderId="33" xfId="0" applyFont="1" applyFill="1" applyBorder="1" applyAlignment="1">
      <alignment horizontal="left" vertical="center" wrapText="1"/>
    </xf>
    <xf numFmtId="9" fontId="155" fillId="85" borderId="0" xfId="1580" applyFont="1" applyFill="1" applyBorder="1" applyAlignment="1" applyProtection="1">
      <alignment horizontal="center" vertical="center" wrapText="1"/>
    </xf>
    <xf numFmtId="4" fontId="155" fillId="85" borderId="0" xfId="1577" applyNumberFormat="1" applyFont="1" applyFill="1" applyBorder="1" applyAlignment="1" applyProtection="1">
      <alignment horizontal="center" vertical="center" wrapText="1"/>
    </xf>
    <xf numFmtId="49" fontId="155" fillId="85" borderId="0" xfId="1577" applyNumberFormat="1" applyFont="1" applyFill="1" applyBorder="1" applyAlignment="1" applyProtection="1">
      <alignment horizontal="center" vertical="center" wrapText="1"/>
    </xf>
    <xf numFmtId="0" fontId="155" fillId="85" borderId="0" xfId="1578" applyFont="1" applyFill="1" applyBorder="1" applyAlignment="1">
      <alignment horizontal="center" vertical="center"/>
    </xf>
    <xf numFmtId="0" fontId="155" fillId="85" borderId="0" xfId="1578" applyFont="1" applyFill="1" applyBorder="1" applyAlignment="1">
      <alignment horizontal="center" vertical="center" wrapText="1"/>
    </xf>
    <xf numFmtId="0" fontId="171" fillId="85" borderId="0" xfId="1578" applyFont="1" applyFill="1" applyBorder="1" applyAlignment="1">
      <alignment horizontal="center" vertical="center" wrapText="1"/>
    </xf>
    <xf numFmtId="181" fontId="155" fillId="85" borderId="0" xfId="1578" applyNumberFormat="1" applyFont="1" applyFill="1" applyBorder="1" applyAlignment="1">
      <alignment horizontal="center" vertical="center" wrapText="1"/>
    </xf>
    <xf numFmtId="183" fontId="155" fillId="85" borderId="0" xfId="1578" applyNumberFormat="1" applyFont="1" applyFill="1" applyBorder="1" applyAlignment="1">
      <alignment horizontal="center" vertical="center" wrapText="1"/>
    </xf>
    <xf numFmtId="3" fontId="103" fillId="65" borderId="0" xfId="1" applyNumberFormat="1" applyFont="1" applyFill="1" applyBorder="1" applyAlignment="1">
      <alignment horizontal="right" vertical="center" wrapText="1"/>
    </xf>
    <xf numFmtId="0" fontId="104" fillId="65" borderId="0" xfId="0" applyNumberFormat="1" applyFont="1" applyFill="1" applyBorder="1" applyAlignment="1">
      <alignment vertical="center"/>
    </xf>
    <xf numFmtId="3" fontId="104" fillId="65" borderId="0" xfId="1" applyNumberFormat="1" applyFont="1" applyFill="1" applyBorder="1" applyAlignment="1">
      <alignment horizontal="right" vertical="center"/>
    </xf>
    <xf numFmtId="4" fontId="104" fillId="65" borderId="0" xfId="0" applyNumberFormat="1" applyFont="1" applyFill="1" applyBorder="1" applyAlignment="1">
      <alignment horizontal="center" vertical="center"/>
    </xf>
    <xf numFmtId="0" fontId="200" fillId="65" borderId="0" xfId="0" applyNumberFormat="1" applyFont="1" applyFill="1" applyBorder="1" applyAlignment="1">
      <alignment horizontal="center" vertical="center"/>
    </xf>
    <xf numFmtId="3" fontId="104" fillId="65" borderId="0" xfId="0" applyNumberFormat="1" applyFont="1" applyFill="1" applyBorder="1" applyAlignment="1">
      <alignment horizontal="center" vertical="center"/>
    </xf>
    <xf numFmtId="3" fontId="104" fillId="65" borderId="0" xfId="0" applyNumberFormat="1" applyFont="1" applyFill="1" applyBorder="1" applyAlignment="1">
      <alignment horizontal="right" vertical="center"/>
    </xf>
    <xf numFmtId="0" fontId="103" fillId="65" borderId="0" xfId="0" applyNumberFormat="1" applyFont="1" applyFill="1" applyBorder="1" applyAlignment="1">
      <alignment horizontal="left" vertical="center" wrapText="1"/>
    </xf>
    <xf numFmtId="0" fontId="23" fillId="3" borderId="0" xfId="0" applyNumberFormat="1" applyFont="1" applyFill="1" applyBorder="1" applyAlignment="1">
      <alignment horizontal="left" vertical="center" wrapText="1"/>
    </xf>
    <xf numFmtId="3" fontId="155" fillId="85" borderId="82" xfId="1" applyNumberFormat="1" applyFont="1" applyFill="1" applyBorder="1" applyAlignment="1" applyProtection="1">
      <alignment horizontal="center" vertical="center" wrapText="1"/>
    </xf>
    <xf numFmtId="3" fontId="104" fillId="65" borderId="82" xfId="1" applyNumberFormat="1" applyFont="1" applyFill="1" applyBorder="1" applyAlignment="1">
      <alignment horizontal="right" vertical="center"/>
    </xf>
    <xf numFmtId="3" fontId="104" fillId="65" borderId="15" xfId="1" applyNumberFormat="1" applyFont="1" applyFill="1" applyBorder="1" applyAlignment="1">
      <alignment horizontal="right" vertical="center"/>
    </xf>
    <xf numFmtId="3" fontId="23" fillId="3" borderId="82" xfId="1" applyNumberFormat="1" applyFont="1" applyFill="1" applyBorder="1" applyAlignment="1">
      <alignment horizontal="right" vertical="center"/>
    </xf>
    <xf numFmtId="3" fontId="0" fillId="66" borderId="82" xfId="1" applyNumberFormat="1" applyFont="1" applyFill="1" applyBorder="1" applyAlignment="1">
      <alignment horizontal="right" vertical="center"/>
    </xf>
    <xf numFmtId="3" fontId="0" fillId="0" borderId="82" xfId="1" applyNumberFormat="1" applyFont="1" applyFill="1" applyBorder="1" applyAlignment="1">
      <alignment horizontal="right" vertical="center"/>
    </xf>
    <xf numFmtId="3" fontId="23" fillId="66" borderId="82" xfId="1" applyNumberFormat="1" applyFont="1" applyFill="1" applyBorder="1" applyAlignment="1">
      <alignment horizontal="right" vertical="center"/>
    </xf>
    <xf numFmtId="3" fontId="19" fillId="0" borderId="82" xfId="1" applyNumberFormat="1" applyFont="1" applyFill="1" applyBorder="1" applyAlignment="1">
      <alignment horizontal="right" vertical="center"/>
    </xf>
    <xf numFmtId="3" fontId="0" fillId="3" borderId="82" xfId="1" applyNumberFormat="1" applyFont="1" applyFill="1" applyBorder="1" applyAlignment="1">
      <alignment horizontal="right" vertical="center"/>
    </xf>
    <xf numFmtId="3" fontId="23" fillId="0" borderId="82" xfId="1" applyNumberFormat="1" applyFont="1" applyFill="1" applyBorder="1" applyAlignment="1">
      <alignment horizontal="right" vertical="center"/>
    </xf>
    <xf numFmtId="3" fontId="0" fillId="0" borderId="82" xfId="1" applyNumberFormat="1" applyFont="1" applyFill="1" applyBorder="1" applyAlignment="1">
      <alignment vertical="center"/>
    </xf>
    <xf numFmtId="0" fontId="103" fillId="65" borderId="40" xfId="0" applyNumberFormat="1" applyFont="1" applyFill="1" applyBorder="1" applyAlignment="1">
      <alignment horizontal="center" vertical="center" wrapText="1"/>
    </xf>
    <xf numFmtId="3" fontId="103" fillId="65" borderId="40" xfId="1" applyNumberFormat="1" applyFont="1" applyFill="1" applyBorder="1" applyAlignment="1">
      <alignment horizontal="right" vertical="center" wrapText="1"/>
    </xf>
    <xf numFmtId="3" fontId="23" fillId="3" borderId="40" xfId="0" applyNumberFormat="1" applyFont="1" applyFill="1" applyBorder="1" applyAlignment="1">
      <alignment horizontal="right" vertical="center" wrapText="1"/>
    </xf>
    <xf numFmtId="3" fontId="23" fillId="66" borderId="40" xfId="0" applyNumberFormat="1" applyFont="1" applyFill="1" applyBorder="1" applyAlignment="1">
      <alignment horizontal="right" vertical="center" wrapText="1"/>
    </xf>
    <xf numFmtId="3" fontId="91" fillId="0" borderId="40" xfId="5" applyNumberFormat="1" applyFont="1" applyFill="1" applyBorder="1" applyAlignment="1">
      <alignment horizontal="right" vertical="center"/>
    </xf>
    <xf numFmtId="3" fontId="0" fillId="0" borderId="40" xfId="0" applyNumberFormat="1" applyFont="1" applyFill="1" applyBorder="1" applyAlignment="1">
      <alignment horizontal="right" vertical="center"/>
    </xf>
    <xf numFmtId="0" fontId="19" fillId="65" borderId="0" xfId="0" applyNumberFormat="1" applyFont="1" applyFill="1" applyBorder="1" applyAlignment="1">
      <alignment horizontal="center" vertical="center"/>
    </xf>
    <xf numFmtId="0" fontId="19" fillId="66" borderId="0" xfId="0" applyNumberFormat="1" applyFont="1" applyFill="1" applyBorder="1" applyAlignment="1">
      <alignment horizontal="center" vertical="center"/>
    </xf>
    <xf numFmtId="0" fontId="19" fillId="0" borderId="0" xfId="0" applyNumberFormat="1" applyFont="1" applyFill="1" applyBorder="1" applyAlignment="1">
      <alignment horizontal="center" vertical="center"/>
    </xf>
    <xf numFmtId="0" fontId="19" fillId="3" borderId="0" xfId="0" applyNumberFormat="1" applyFont="1" applyFill="1" applyBorder="1" applyAlignment="1">
      <alignment horizontal="center" vertical="center"/>
    </xf>
    <xf numFmtId="0" fontId="200" fillId="65" borderId="82" xfId="0" applyNumberFormat="1" applyFont="1" applyFill="1" applyBorder="1" applyAlignment="1">
      <alignment horizontal="center" vertical="center"/>
    </xf>
    <xf numFmtId="0" fontId="200" fillId="65" borderId="15" xfId="0" applyNumberFormat="1" applyFont="1" applyFill="1" applyBorder="1" applyAlignment="1">
      <alignment horizontal="center" vertical="center"/>
    </xf>
    <xf numFmtId="0" fontId="192" fillId="3" borderId="82" xfId="0" applyNumberFormat="1" applyFont="1" applyFill="1" applyBorder="1" applyAlignment="1">
      <alignment horizontal="center" vertical="center"/>
    </xf>
    <xf numFmtId="0" fontId="107" fillId="66" borderId="82" xfId="0" applyNumberFormat="1" applyFont="1" applyFill="1" applyBorder="1" applyAlignment="1">
      <alignment horizontal="center" vertical="center"/>
    </xf>
    <xf numFmtId="0" fontId="107" fillId="0" borderId="82" xfId="0" applyNumberFormat="1" applyFont="1" applyFill="1" applyBorder="1" applyAlignment="1">
      <alignment horizontal="center" vertical="center"/>
    </xf>
    <xf numFmtId="0" fontId="192" fillId="66" borderId="82" xfId="0" applyNumberFormat="1" applyFont="1" applyFill="1" applyBorder="1" applyAlignment="1">
      <alignment horizontal="center" vertical="center"/>
    </xf>
    <xf numFmtId="0" fontId="107" fillId="3" borderId="82" xfId="0" applyNumberFormat="1" applyFont="1" applyFill="1" applyBorder="1" applyAlignment="1">
      <alignment horizontal="center" vertical="center"/>
    </xf>
    <xf numFmtId="0" fontId="32" fillId="0" borderId="0" xfId="1578" applyFont="1" applyBorder="1" applyAlignment="1">
      <alignment vertical="center"/>
    </xf>
    <xf numFmtId="179" fontId="120" fillId="0" borderId="0" xfId="1577" applyNumberFormat="1" applyFont="1" applyFill="1" applyBorder="1" applyAlignment="1" applyProtection="1">
      <alignment horizontal="center" vertical="center"/>
    </xf>
    <xf numFmtId="180" fontId="201" fillId="0" borderId="0" xfId="1578" applyNumberFormat="1" applyFont="1" applyFill="1" applyBorder="1" applyAlignment="1">
      <alignment vertical="center" wrapText="1"/>
    </xf>
    <xf numFmtId="0" fontId="112" fillId="8" borderId="0" xfId="1578" applyNumberFormat="1" applyFont="1" applyFill="1" applyBorder="1" applyAlignment="1">
      <alignment horizontal="center" vertical="center"/>
    </xf>
    <xf numFmtId="180" fontId="201" fillId="8" borderId="0" xfId="1578" applyNumberFormat="1" applyFont="1" applyFill="1" applyBorder="1" applyAlignment="1">
      <alignment vertical="center"/>
    </xf>
    <xf numFmtId="180" fontId="201" fillId="8" borderId="0" xfId="1579" applyNumberFormat="1" applyFont="1" applyFill="1" applyBorder="1" applyAlignment="1" applyProtection="1">
      <alignment horizontal="center" vertical="center"/>
    </xf>
    <xf numFmtId="4" fontId="201" fillId="8" borderId="0" xfId="1578" applyNumberFormat="1" applyFont="1" applyFill="1" applyBorder="1" applyAlignment="1">
      <alignment vertical="center"/>
    </xf>
    <xf numFmtId="0" fontId="32" fillId="0" borderId="0" xfId="1578" applyFont="1" applyBorder="1" applyAlignment="1">
      <alignment horizontal="center" vertical="center"/>
    </xf>
    <xf numFmtId="0" fontId="31" fillId="0" borderId="146" xfId="0" applyFont="1" applyBorder="1" applyAlignment="1">
      <alignment vertical="center" wrapText="1"/>
    </xf>
    <xf numFmtId="0" fontId="31" fillId="0" borderId="147" xfId="0" applyFont="1" applyBorder="1" applyAlignment="1">
      <alignment horizontal="center" vertical="center" wrapText="1"/>
    </xf>
    <xf numFmtId="0" fontId="31" fillId="0" borderId="145" xfId="0" applyFont="1" applyBorder="1" applyAlignment="1">
      <alignment horizontal="center" vertical="center" wrapText="1"/>
    </xf>
    <xf numFmtId="0" fontId="24" fillId="0" borderId="133" xfId="0" applyFont="1" applyBorder="1" applyAlignment="1">
      <alignment horizontal="center" vertical="center" wrapText="1"/>
    </xf>
    <xf numFmtId="0" fontId="24" fillId="0" borderId="133" xfId="0" applyNumberFormat="1" applyFont="1" applyFill="1" applyBorder="1" applyAlignment="1">
      <alignment vertical="center"/>
    </xf>
    <xf numFmtId="0" fontId="24" fillId="5" borderId="133" xfId="0" applyNumberFormat="1" applyFont="1" applyFill="1" applyBorder="1" applyAlignment="1">
      <alignment horizontal="right" vertical="center"/>
    </xf>
    <xf numFmtId="0" fontId="24" fillId="0" borderId="148" xfId="0" applyFont="1" applyBorder="1" applyAlignment="1">
      <alignment horizontal="center" vertical="center" wrapText="1"/>
    </xf>
    <xf numFmtId="0" fontId="24" fillId="0" borderId="149" xfId="0" applyFont="1" applyBorder="1" applyAlignment="1">
      <alignment horizontal="center" vertical="center" wrapText="1"/>
    </xf>
    <xf numFmtId="0" fontId="24" fillId="0" borderId="150" xfId="0" applyFont="1" applyBorder="1" applyAlignment="1">
      <alignment vertical="center" wrapText="1"/>
    </xf>
    <xf numFmtId="0" fontId="24" fillId="0" borderId="151" xfId="0" applyFont="1" applyBorder="1" applyAlignment="1">
      <alignment horizontal="center" vertical="center" wrapText="1"/>
    </xf>
    <xf numFmtId="0" fontId="24" fillId="0" borderId="129" xfId="0" applyFont="1" applyBorder="1" applyAlignment="1">
      <alignment horizontal="center" vertical="center" wrapText="1"/>
    </xf>
    <xf numFmtId="0" fontId="24" fillId="5" borderId="152" xfId="0" applyNumberFormat="1" applyFont="1" applyFill="1" applyBorder="1" applyAlignment="1">
      <alignment horizontal="center" vertical="center"/>
    </xf>
    <xf numFmtId="0" fontId="24" fillId="5" borderId="152" xfId="0" applyNumberFormat="1" applyFont="1" applyFill="1" applyBorder="1" applyAlignment="1">
      <alignment horizontal="right" vertical="center"/>
    </xf>
    <xf numFmtId="0" fontId="24" fillId="5" borderId="128" xfId="0" applyNumberFormat="1" applyFont="1" applyFill="1" applyBorder="1" applyAlignment="1">
      <alignment horizontal="right" vertical="center" wrapText="1"/>
    </xf>
    <xf numFmtId="0" fontId="24" fillId="5" borderId="136" xfId="0" applyNumberFormat="1" applyFont="1" applyFill="1" applyBorder="1" applyAlignment="1">
      <alignment vertical="center" wrapText="1"/>
    </xf>
    <xf numFmtId="3" fontId="28" fillId="5" borderId="139" xfId="0" applyNumberFormat="1" applyFont="1" applyFill="1" applyBorder="1" applyAlignment="1">
      <alignment horizontal="center" vertical="center" wrapText="1"/>
    </xf>
    <xf numFmtId="0" fontId="31" fillId="0" borderId="134" xfId="0" applyFont="1" applyBorder="1" applyAlignment="1">
      <alignment horizontal="center" vertical="center"/>
    </xf>
    <xf numFmtId="3" fontId="24" fillId="5" borderId="153" xfId="0" applyNumberFormat="1" applyFont="1" applyFill="1" applyBorder="1" applyAlignment="1">
      <alignment horizontal="right" vertical="center"/>
    </xf>
    <xf numFmtId="0" fontId="24" fillId="0" borderId="138" xfId="0" applyNumberFormat="1" applyFont="1" applyFill="1" applyBorder="1" applyAlignment="1">
      <alignment vertical="center"/>
    </xf>
    <xf numFmtId="3" fontId="28" fillId="5" borderId="141" xfId="0" applyNumberFormat="1" applyFont="1" applyFill="1" applyBorder="1" applyAlignment="1">
      <alignment horizontal="center" vertical="center" wrapText="1"/>
    </xf>
    <xf numFmtId="3" fontId="24" fillId="5" borderId="135" xfId="0" applyNumberFormat="1" applyFont="1" applyFill="1" applyBorder="1" applyAlignment="1">
      <alignment horizontal="center" vertical="center"/>
    </xf>
    <xf numFmtId="3" fontId="24" fillId="5" borderId="135" xfId="0" applyNumberFormat="1" applyFont="1" applyFill="1" applyBorder="1" applyAlignment="1">
      <alignment horizontal="right" vertical="center"/>
    </xf>
    <xf numFmtId="0" fontId="24" fillId="0" borderId="154" xfId="0" applyNumberFormat="1" applyFont="1" applyFill="1" applyBorder="1" applyAlignment="1">
      <alignment horizontal="center" vertical="center" wrapText="1"/>
    </xf>
    <xf numFmtId="0" fontId="24" fillId="5" borderId="76" xfId="0" applyNumberFormat="1" applyFont="1" applyFill="1" applyBorder="1" applyAlignment="1">
      <alignment horizontal="center" vertical="center" wrapText="1"/>
    </xf>
    <xf numFmtId="0" fontId="129" fillId="0" borderId="106" xfId="0" applyFont="1" applyBorder="1" applyAlignment="1">
      <alignment horizontal="right" vertical="center" wrapText="1"/>
    </xf>
    <xf numFmtId="0" fontId="58" fillId="0" borderId="110" xfId="1" applyNumberFormat="1" applyFont="1" applyFill="1" applyBorder="1" applyAlignment="1">
      <alignment vertical="center" wrapText="1"/>
    </xf>
    <xf numFmtId="0" fontId="58" fillId="0" borderId="101" xfId="1" applyNumberFormat="1" applyFont="1" applyFill="1" applyBorder="1" applyAlignment="1">
      <alignment vertical="center" wrapText="1"/>
    </xf>
    <xf numFmtId="3" fontId="129" fillId="72" borderId="121" xfId="1" applyNumberFormat="1" applyFont="1" applyFill="1" applyBorder="1" applyAlignment="1">
      <alignment horizontal="right" vertical="center" wrapText="1"/>
    </xf>
    <xf numFmtId="3" fontId="132" fillId="0" borderId="108" xfId="1" applyNumberFormat="1" applyFont="1" applyBorder="1" applyAlignment="1">
      <alignment horizontal="right" vertical="center" wrapText="1"/>
    </xf>
    <xf numFmtId="0" fontId="58" fillId="0" borderId="101" xfId="0" applyFont="1" applyBorder="1" applyAlignment="1">
      <alignment vertical="center" wrapText="1"/>
    </xf>
    <xf numFmtId="9" fontId="153" fillId="8" borderId="1" xfId="6" applyNumberFormat="1" applyFont="1" applyFill="1" applyBorder="1" applyAlignment="1">
      <alignment horizontal="center" vertical="center"/>
    </xf>
    <xf numFmtId="9" fontId="153" fillId="8" borderId="3" xfId="6" applyNumberFormat="1" applyFont="1" applyFill="1" applyBorder="1" applyAlignment="1">
      <alignment horizontal="center" vertical="center"/>
    </xf>
    <xf numFmtId="9" fontId="203" fillId="65" borderId="82" xfId="6" applyNumberFormat="1" applyFont="1" applyFill="1" applyBorder="1" applyAlignment="1">
      <alignment horizontal="center" vertical="center"/>
    </xf>
    <xf numFmtId="9" fontId="203" fillId="65" borderId="15" xfId="6" applyNumberFormat="1" applyFont="1" applyFill="1" applyBorder="1" applyAlignment="1">
      <alignment horizontal="center" vertical="center"/>
    </xf>
    <xf numFmtId="9" fontId="167" fillId="3" borderId="82" xfId="6" applyNumberFormat="1" applyFont="1" applyFill="1" applyBorder="1" applyAlignment="1">
      <alignment horizontal="center" vertical="center"/>
    </xf>
    <xf numFmtId="9" fontId="167" fillId="3" borderId="15" xfId="6" applyNumberFormat="1" applyFont="1" applyFill="1" applyBorder="1" applyAlignment="1">
      <alignment horizontal="center" vertical="center"/>
    </xf>
    <xf numFmtId="9" fontId="28" fillId="66" borderId="82" xfId="6" applyNumberFormat="1" applyFont="1" applyFill="1" applyBorder="1" applyAlignment="1">
      <alignment horizontal="center" vertical="center"/>
    </xf>
    <xf numFmtId="9" fontId="28" fillId="66" borderId="15" xfId="6" applyNumberFormat="1" applyFont="1" applyFill="1" applyBorder="1" applyAlignment="1">
      <alignment horizontal="center" vertical="center"/>
    </xf>
    <xf numFmtId="9" fontId="28" fillId="0" borderId="82" xfId="6" applyNumberFormat="1" applyFont="1" applyFill="1" applyBorder="1" applyAlignment="1">
      <alignment horizontal="center" vertical="center"/>
    </xf>
    <xf numFmtId="9" fontId="28" fillId="0" borderId="15" xfId="6" applyNumberFormat="1" applyFont="1" applyFill="1" applyBorder="1" applyAlignment="1">
      <alignment horizontal="center" vertical="center"/>
    </xf>
    <xf numFmtId="9" fontId="28" fillId="0" borderId="15" xfId="6" applyNumberFormat="1" applyFont="1" applyBorder="1" applyAlignment="1">
      <alignment horizontal="center" vertical="center"/>
    </xf>
    <xf numFmtId="9" fontId="167" fillId="66" borderId="82" xfId="6" applyNumberFormat="1" applyFont="1" applyFill="1" applyBorder="1" applyAlignment="1">
      <alignment horizontal="center" vertical="center"/>
    </xf>
    <xf numFmtId="9" fontId="167" fillId="66" borderId="15" xfId="6" applyNumberFormat="1" applyFont="1" applyFill="1" applyBorder="1" applyAlignment="1">
      <alignment horizontal="center" vertical="center"/>
    </xf>
    <xf numFmtId="9" fontId="167" fillId="0" borderId="15" xfId="6" applyNumberFormat="1" applyFont="1" applyFill="1" applyBorder="1" applyAlignment="1">
      <alignment horizontal="center" vertical="center" wrapText="1"/>
    </xf>
    <xf numFmtId="9" fontId="167" fillId="0" borderId="82" xfId="6" applyNumberFormat="1" applyFont="1" applyFill="1" applyBorder="1" applyAlignment="1">
      <alignment horizontal="center" vertical="center"/>
    </xf>
    <xf numFmtId="9" fontId="28" fillId="3" borderId="82" xfId="6" applyNumberFormat="1" applyFont="1" applyFill="1" applyBorder="1" applyAlignment="1">
      <alignment horizontal="center" vertical="center"/>
    </xf>
    <xf numFmtId="9" fontId="28" fillId="3" borderId="15" xfId="6" applyNumberFormat="1" applyFont="1" applyFill="1" applyBorder="1" applyAlignment="1">
      <alignment horizontal="center" vertical="center"/>
    </xf>
    <xf numFmtId="9" fontId="204" fillId="0" borderId="15" xfId="6" applyNumberFormat="1" applyFont="1" applyFill="1" applyBorder="1" applyAlignment="1">
      <alignment horizontal="center" vertical="center"/>
    </xf>
    <xf numFmtId="9" fontId="167" fillId="0" borderId="15" xfId="6" applyNumberFormat="1" applyFont="1" applyFill="1" applyBorder="1" applyAlignment="1">
      <alignment horizontal="center" vertical="center"/>
    </xf>
    <xf numFmtId="3" fontId="200" fillId="65" borderId="0" xfId="0" applyNumberFormat="1" applyFont="1" applyFill="1" applyBorder="1" applyAlignment="1">
      <alignment horizontal="center" vertical="center"/>
    </xf>
    <xf numFmtId="3" fontId="192" fillId="3" borderId="0" xfId="0" applyNumberFormat="1" applyFont="1" applyFill="1" applyBorder="1" applyAlignment="1">
      <alignment vertical="center"/>
    </xf>
    <xf numFmtId="0" fontId="192" fillId="3" borderId="0" xfId="0" applyNumberFormat="1" applyFont="1" applyFill="1" applyBorder="1" applyAlignment="1">
      <alignment vertical="center"/>
    </xf>
    <xf numFmtId="3" fontId="107" fillId="66" borderId="0" xfId="0" applyNumberFormat="1" applyFont="1" applyFill="1" applyBorder="1" applyAlignment="1">
      <alignment vertical="center"/>
    </xf>
    <xf numFmtId="0" fontId="107" fillId="66" borderId="0" xfId="0" applyNumberFormat="1" applyFont="1" applyFill="1" applyBorder="1" applyAlignment="1">
      <alignment vertical="center"/>
    </xf>
    <xf numFmtId="3" fontId="107" fillId="0" borderId="0" xfId="0" applyNumberFormat="1" applyFont="1" applyFill="1" applyBorder="1" applyAlignment="1">
      <alignment vertical="center"/>
    </xf>
    <xf numFmtId="3" fontId="192" fillId="66" borderId="0" xfId="0" applyNumberFormat="1" applyFont="1" applyFill="1" applyBorder="1" applyAlignment="1">
      <alignment vertical="center"/>
    </xf>
    <xf numFmtId="0" fontId="192" fillId="66" borderId="0" xfId="0" applyNumberFormat="1" applyFont="1" applyFill="1" applyBorder="1" applyAlignment="1">
      <alignment vertical="center"/>
    </xf>
    <xf numFmtId="3" fontId="107" fillId="3" borderId="0" xfId="0" applyNumberFormat="1" applyFont="1" applyFill="1" applyBorder="1" applyAlignment="1">
      <alignment vertical="center"/>
    </xf>
    <xf numFmtId="0" fontId="107" fillId="3" borderId="0" xfId="0" applyNumberFormat="1" applyFont="1" applyFill="1" applyBorder="1" applyAlignment="1">
      <alignment vertical="center"/>
    </xf>
    <xf numFmtId="3" fontId="200" fillId="65" borderId="0" xfId="0" applyNumberFormat="1" applyFont="1" applyFill="1" applyBorder="1" applyAlignment="1">
      <alignment horizontal="right" vertical="center"/>
    </xf>
    <xf numFmtId="9" fontId="107" fillId="0" borderId="0" xfId="6" applyFont="1" applyFill="1" applyBorder="1" applyAlignment="1">
      <alignment vertical="center"/>
    </xf>
    <xf numFmtId="0" fontId="107" fillId="0" borderId="0" xfId="0" applyNumberFormat="1" applyFont="1" applyFill="1" applyBorder="1" applyAlignment="1">
      <alignment vertical="center"/>
    </xf>
    <xf numFmtId="9" fontId="107" fillId="0" borderId="0" xfId="0" applyNumberFormat="1" applyFont="1" applyFill="1" applyBorder="1" applyAlignment="1">
      <alignment vertical="center"/>
    </xf>
    <xf numFmtId="0" fontId="0" fillId="0" borderId="0" xfId="0" applyNumberFormat="1" applyFont="1" applyFill="1" applyBorder="1" applyAlignment="1">
      <alignment horizontal="center" vertical="center"/>
    </xf>
    <xf numFmtId="3" fontId="0" fillId="5" borderId="0" xfId="0" applyNumberFormat="1" applyFont="1" applyFill="1" applyBorder="1" applyAlignment="1">
      <alignment vertical="center"/>
    </xf>
    <xf numFmtId="3" fontId="107" fillId="0" borderId="0" xfId="0" applyNumberFormat="1" applyFont="1" applyAlignment="1">
      <alignment vertical="center"/>
    </xf>
    <xf numFmtId="0" fontId="107" fillId="0" borderId="0" xfId="0" applyFont="1" applyAlignment="1">
      <alignment vertical="center"/>
    </xf>
    <xf numFmtId="3" fontId="0" fillId="0" borderId="0" xfId="0" applyNumberFormat="1" applyAlignment="1">
      <alignment vertical="center"/>
    </xf>
    <xf numFmtId="0" fontId="165" fillId="0" borderId="155" xfId="0" applyFont="1" applyBorder="1" applyAlignment="1">
      <alignment horizontal="center" vertical="center" wrapText="1"/>
    </xf>
    <xf numFmtId="0" fontId="165" fillId="0" borderId="156" xfId="0" applyFont="1" applyBorder="1" applyAlignment="1">
      <alignment horizontal="center" vertical="center" wrapText="1"/>
    </xf>
    <xf numFmtId="0" fontId="165" fillId="0" borderId="156" xfId="0" applyFont="1" applyBorder="1" applyAlignment="1">
      <alignment horizontal="center" vertical="center"/>
    </xf>
    <xf numFmtId="3" fontId="0" fillId="0" borderId="0" xfId="0" applyNumberFormat="1"/>
    <xf numFmtId="1" fontId="0" fillId="0" borderId="0" xfId="1" applyNumberFormat="1" applyFont="1"/>
    <xf numFmtId="3" fontId="166" fillId="6" borderId="40" xfId="1" applyNumberFormat="1" applyFont="1" applyFill="1" applyBorder="1" applyAlignment="1">
      <alignment horizontal="center" vertical="center"/>
    </xf>
    <xf numFmtId="3" fontId="166" fillId="6" borderId="15" xfId="1" applyNumberFormat="1" applyFont="1" applyFill="1" applyBorder="1" applyAlignment="1">
      <alignment horizontal="center" vertical="center"/>
    </xf>
    <xf numFmtId="0" fontId="166" fillId="0" borderId="15" xfId="0" applyFont="1" applyBorder="1" applyAlignment="1">
      <alignment horizontal="right" vertical="center"/>
    </xf>
    <xf numFmtId="0" fontId="165" fillId="0" borderId="23" xfId="0" applyFont="1" applyBorder="1" applyAlignment="1">
      <alignment horizontal="center" vertical="center" wrapText="1"/>
    </xf>
    <xf numFmtId="0" fontId="165" fillId="0" borderId="23" xfId="0" applyFont="1" applyBorder="1" applyAlignment="1">
      <alignment horizontal="center" vertical="center"/>
    </xf>
    <xf numFmtId="3" fontId="107" fillId="0" borderId="23" xfId="0" applyNumberFormat="1" applyFont="1" applyBorder="1" applyAlignment="1">
      <alignment vertical="center"/>
    </xf>
    <xf numFmtId="1" fontId="0" fillId="0" borderId="0" xfId="0" applyNumberFormat="1"/>
    <xf numFmtId="0" fontId="0" fillId="0" borderId="0" xfId="0" applyBorder="1" applyAlignment="1">
      <alignment horizontal="center" vertical="center" wrapText="1"/>
    </xf>
    <xf numFmtId="0" fontId="0" fillId="0" borderId="0" xfId="0" applyBorder="1" applyAlignment="1">
      <alignment horizontal="center" vertical="center"/>
    </xf>
    <xf numFmtId="0" fontId="194" fillId="104" borderId="78" xfId="1598" applyFont="1" applyFill="1" applyBorder="1" applyAlignment="1">
      <alignment horizontal="center" vertical="center" wrapText="1"/>
    </xf>
    <xf numFmtId="0" fontId="194" fillId="104" borderId="19" xfId="1598" applyFont="1" applyFill="1" applyBorder="1" applyAlignment="1">
      <alignment horizontal="center" vertical="center" wrapText="1"/>
    </xf>
    <xf numFmtId="0" fontId="32" fillId="0" borderId="0" xfId="1598" applyFont="1" applyAlignment="1">
      <alignment horizontal="center" vertical="center" wrapText="1"/>
    </xf>
    <xf numFmtId="0" fontId="193" fillId="0" borderId="0" xfId="1598" applyFont="1" applyBorder="1" applyAlignment="1">
      <alignment horizontal="center" vertical="center"/>
    </xf>
    <xf numFmtId="49" fontId="202" fillId="107" borderId="0" xfId="1577" applyNumberFormat="1" applyFont="1" applyFill="1" applyBorder="1" applyAlignment="1" applyProtection="1">
      <alignment horizontal="center" vertical="center"/>
    </xf>
    <xf numFmtId="180" fontId="201" fillId="8" borderId="1" xfId="1579" applyNumberFormat="1" applyFont="1" applyFill="1" applyBorder="1" applyAlignment="1" applyProtection="1">
      <alignment horizontal="center" vertical="center"/>
    </xf>
    <xf numFmtId="180" fontId="201" fillId="8" borderId="2" xfId="1579" applyNumberFormat="1" applyFont="1" applyFill="1" applyBorder="1" applyAlignment="1" applyProtection="1">
      <alignment horizontal="center" vertical="center"/>
    </xf>
    <xf numFmtId="180" fontId="201" fillId="8" borderId="3" xfId="1579" applyNumberFormat="1" applyFont="1" applyFill="1" applyBorder="1" applyAlignment="1" applyProtection="1">
      <alignment horizontal="center" vertical="center"/>
    </xf>
    <xf numFmtId="180" fontId="201" fillId="8" borderId="0" xfId="1578" applyNumberFormat="1" applyFont="1" applyFill="1" applyBorder="1" applyAlignment="1">
      <alignment horizontal="center" vertical="center"/>
    </xf>
    <xf numFmtId="0" fontId="0" fillId="0" borderId="0" xfId="0" applyNumberFormat="1" applyFont="1" applyFill="1" applyBorder="1" applyAlignment="1">
      <alignment horizontal="center" vertical="center"/>
    </xf>
    <xf numFmtId="181" fontId="201" fillId="8" borderId="0" xfId="1577" applyNumberFormat="1" applyFont="1" applyFill="1" applyBorder="1" applyAlignment="1" applyProtection="1">
      <alignment horizontal="center" vertical="center"/>
    </xf>
    <xf numFmtId="49" fontId="201" fillId="8" borderId="1" xfId="1577" applyNumberFormat="1" applyFont="1" applyFill="1" applyBorder="1" applyAlignment="1" applyProtection="1">
      <alignment horizontal="center" vertical="center"/>
    </xf>
    <xf numFmtId="49" fontId="201" fillId="8" borderId="2" xfId="1577" applyNumberFormat="1" applyFont="1" applyFill="1" applyBorder="1" applyAlignment="1" applyProtection="1">
      <alignment horizontal="center" vertical="center"/>
    </xf>
    <xf numFmtId="49" fontId="201" fillId="8" borderId="3" xfId="1577" applyNumberFormat="1" applyFont="1" applyFill="1" applyBorder="1" applyAlignment="1" applyProtection="1">
      <alignment horizontal="center" vertical="center"/>
    </xf>
    <xf numFmtId="0" fontId="20" fillId="0" borderId="0" xfId="0" applyNumberFormat="1" applyFont="1" applyFill="1" applyBorder="1" applyAlignment="1">
      <alignment horizontal="center" vertical="center"/>
    </xf>
    <xf numFmtId="0" fontId="20" fillId="0" borderId="1" xfId="0" applyNumberFormat="1" applyFont="1" applyFill="1" applyBorder="1" applyAlignment="1">
      <alignment horizontal="left" vertical="center"/>
    </xf>
    <xf numFmtId="0" fontId="20" fillId="0" borderId="2" xfId="0" applyNumberFormat="1" applyFont="1" applyFill="1" applyBorder="1" applyAlignment="1">
      <alignment horizontal="left" vertical="center"/>
    </xf>
    <xf numFmtId="0" fontId="20" fillId="0" borderId="3" xfId="0" applyNumberFormat="1" applyFont="1" applyFill="1" applyBorder="1" applyAlignment="1">
      <alignment horizontal="left" vertical="center"/>
    </xf>
    <xf numFmtId="0" fontId="119" fillId="0" borderId="4" xfId="0" applyNumberFormat="1" applyFont="1" applyFill="1" applyBorder="1" applyAlignment="1">
      <alignment horizontal="left" vertical="center" wrapText="1"/>
    </xf>
    <xf numFmtId="0" fontId="119" fillId="0" borderId="5" xfId="0" applyNumberFormat="1" applyFont="1" applyFill="1" applyBorder="1" applyAlignment="1">
      <alignment horizontal="left" vertical="center" wrapText="1"/>
    </xf>
    <xf numFmtId="0" fontId="119" fillId="0" borderId="6" xfId="0" applyNumberFormat="1" applyFont="1" applyFill="1" applyBorder="1" applyAlignment="1">
      <alignment horizontal="left" vertical="center" wrapText="1"/>
    </xf>
    <xf numFmtId="0" fontId="168" fillId="90" borderId="35" xfId="0" applyFont="1" applyFill="1" applyBorder="1" applyAlignment="1">
      <alignment horizontal="left" vertical="center" wrapText="1"/>
    </xf>
    <xf numFmtId="0" fontId="168" fillId="90" borderId="50" xfId="0" applyFont="1" applyFill="1" applyBorder="1" applyAlignment="1">
      <alignment horizontal="left" vertical="center" wrapText="1"/>
    </xf>
    <xf numFmtId="0" fontId="168" fillId="90" borderId="2" xfId="0" applyFont="1" applyFill="1" applyBorder="1" applyAlignment="1">
      <alignment horizontal="left" vertical="center" wrapText="1"/>
    </xf>
    <xf numFmtId="0" fontId="168" fillId="90" borderId="52" xfId="0" applyFont="1" applyFill="1" applyBorder="1" applyAlignment="1">
      <alignment horizontal="left" vertical="center" wrapText="1"/>
    </xf>
    <xf numFmtId="0" fontId="168" fillId="90" borderId="3" xfId="0" applyFont="1" applyFill="1" applyBorder="1" applyAlignment="1">
      <alignment horizontal="left" vertical="center" wrapText="1"/>
    </xf>
    <xf numFmtId="0" fontId="24" fillId="5" borderId="41" xfId="0" applyNumberFormat="1" applyFont="1" applyFill="1" applyBorder="1" applyAlignment="1">
      <alignment horizontal="center" vertical="center" wrapText="1"/>
    </xf>
    <xf numFmtId="0" fontId="24" fillId="91" borderId="35" xfId="0" applyNumberFormat="1" applyFont="1" applyFill="1" applyBorder="1" applyAlignment="1">
      <alignment horizontal="center" vertical="center" wrapText="1"/>
    </xf>
    <xf numFmtId="0" fontId="24" fillId="91" borderId="50" xfId="0" applyNumberFormat="1" applyFont="1" applyFill="1" applyBorder="1" applyAlignment="1">
      <alignment horizontal="center" vertical="center" wrapText="1"/>
    </xf>
    <xf numFmtId="0" fontId="24" fillId="91" borderId="52" xfId="0" applyNumberFormat="1" applyFont="1" applyFill="1" applyBorder="1" applyAlignment="1">
      <alignment horizontal="center" vertical="center" wrapText="1"/>
    </xf>
    <xf numFmtId="0" fontId="24" fillId="5" borderId="28" xfId="0" applyNumberFormat="1" applyFont="1" applyFill="1" applyBorder="1" applyAlignment="1">
      <alignment horizontal="center" vertical="center" wrapText="1"/>
    </xf>
    <xf numFmtId="0" fontId="24" fillId="5" borderId="31" xfId="0" applyNumberFormat="1" applyFont="1" applyFill="1" applyBorder="1" applyAlignment="1">
      <alignment horizontal="center" vertical="center" wrapText="1"/>
    </xf>
    <xf numFmtId="0" fontId="24" fillId="0" borderId="26" xfId="0" applyNumberFormat="1" applyFont="1" applyFill="1" applyBorder="1" applyAlignment="1">
      <alignment horizontal="center" vertical="center" wrapText="1"/>
    </xf>
    <xf numFmtId="0" fontId="24" fillId="0" borderId="32" xfId="0" applyNumberFormat="1" applyFont="1" applyFill="1" applyBorder="1" applyAlignment="1">
      <alignment horizontal="center" vertical="center" wrapText="1"/>
    </xf>
    <xf numFmtId="0" fontId="20" fillId="3" borderId="35" xfId="0" applyNumberFormat="1" applyFont="1" applyFill="1" applyBorder="1" applyAlignment="1">
      <alignment horizontal="center" vertical="center" wrapText="1"/>
    </xf>
    <xf numFmtId="0" fontId="20" fillId="3" borderId="52" xfId="0" applyNumberFormat="1" applyFont="1" applyFill="1" applyBorder="1" applyAlignment="1">
      <alignment horizontal="center" vertical="center" wrapText="1"/>
    </xf>
    <xf numFmtId="0" fontId="24" fillId="91" borderId="35" xfId="0" applyNumberFormat="1" applyFont="1" applyFill="1" applyBorder="1" applyAlignment="1">
      <alignment horizontal="left" vertical="center" wrapText="1"/>
    </xf>
    <xf numFmtId="0" fontId="24" fillId="91" borderId="50" xfId="0" applyNumberFormat="1" applyFont="1" applyFill="1" applyBorder="1" applyAlignment="1">
      <alignment horizontal="left" vertical="center" wrapText="1"/>
    </xf>
    <xf numFmtId="0" fontId="24" fillId="91" borderId="52" xfId="0" applyNumberFormat="1" applyFont="1" applyFill="1" applyBorder="1" applyAlignment="1">
      <alignment horizontal="left" vertical="center" wrapText="1"/>
    </xf>
    <xf numFmtId="0" fontId="24" fillId="0" borderId="20" xfId="0" applyFont="1" applyBorder="1" applyAlignment="1">
      <alignment horizontal="center" vertical="center" wrapText="1"/>
    </xf>
    <xf numFmtId="0" fontId="24" fillId="0" borderId="23" xfId="0" applyFont="1" applyBorder="1" applyAlignment="1">
      <alignment horizontal="center" vertical="center" wrapText="1"/>
    </xf>
    <xf numFmtId="3" fontId="0" fillId="0" borderId="0" xfId="0" applyNumberFormat="1" applyAlignment="1">
      <alignment horizontal="center" vertical="center"/>
    </xf>
    <xf numFmtId="0" fontId="0" fillId="0" borderId="0" xfId="0" applyAlignment="1">
      <alignment horizontal="center" vertical="center"/>
    </xf>
    <xf numFmtId="49" fontId="155" fillId="85" borderId="0" xfId="1577" applyNumberFormat="1" applyFont="1" applyFill="1" applyBorder="1" applyAlignment="1" applyProtection="1">
      <alignment horizontal="center" vertical="center" wrapText="1"/>
    </xf>
    <xf numFmtId="0" fontId="188" fillId="94" borderId="0" xfId="1591" applyFont="1" applyBorder="1" applyAlignment="1">
      <alignment horizontal="center" vertical="center" wrapText="1"/>
    </xf>
    <xf numFmtId="0" fontId="187" fillId="97" borderId="0" xfId="1591" applyFont="1" applyFill="1" applyBorder="1" applyAlignment="1">
      <alignment horizontal="center" vertical="center"/>
    </xf>
    <xf numFmtId="0" fontId="188" fillId="94" borderId="0" xfId="1591" applyFont="1" applyBorder="1" applyAlignment="1">
      <alignment horizontal="center" vertical="center"/>
    </xf>
    <xf numFmtId="0" fontId="187" fillId="101" borderId="0" xfId="1591" applyFont="1" applyFill="1" applyBorder="1" applyAlignment="1">
      <alignment horizontal="center" vertical="center"/>
    </xf>
    <xf numFmtId="0" fontId="141" fillId="0" borderId="127" xfId="0" applyFont="1" applyFill="1" applyBorder="1" applyAlignment="1">
      <alignment horizontal="left" vertical="center" wrapText="1"/>
    </xf>
    <xf numFmtId="0" fontId="141" fillId="0" borderId="124" xfId="0" applyFont="1" applyFill="1" applyBorder="1" applyAlignment="1">
      <alignment horizontal="left" vertical="center" wrapText="1"/>
    </xf>
    <xf numFmtId="0" fontId="141" fillId="0" borderId="123" xfId="0" applyFont="1" applyFill="1" applyBorder="1" applyAlignment="1">
      <alignment horizontal="left" vertical="center" wrapText="1"/>
    </xf>
    <xf numFmtId="180" fontId="151" fillId="8" borderId="0" xfId="1579" applyNumberFormat="1" applyFont="1" applyFill="1" applyAlignment="1" applyProtection="1">
      <alignment horizontal="center" vertical="center"/>
    </xf>
    <xf numFmtId="180" fontId="151" fillId="8" borderId="0" xfId="1578" applyNumberFormat="1" applyFont="1" applyFill="1" applyAlignment="1">
      <alignment horizontal="center" vertical="center"/>
    </xf>
    <xf numFmtId="181" fontId="153" fillId="8" borderId="0" xfId="1577" applyNumberFormat="1" applyFont="1" applyFill="1" applyAlignment="1" applyProtection="1">
      <alignment horizontal="center" vertical="center"/>
    </xf>
    <xf numFmtId="49" fontId="153" fillId="8" borderId="130" xfId="1577" applyNumberFormat="1" applyFont="1" applyFill="1" applyBorder="1" applyAlignment="1" applyProtection="1">
      <alignment horizontal="center" vertical="center"/>
    </xf>
    <xf numFmtId="49" fontId="153" fillId="8" borderId="0" xfId="1577" applyNumberFormat="1" applyFont="1" applyFill="1" applyBorder="1" applyAlignment="1" applyProtection="1">
      <alignment horizontal="center" vertical="center"/>
    </xf>
    <xf numFmtId="49" fontId="153" fillId="8" borderId="131" xfId="1577" applyNumberFormat="1" applyFont="1" applyFill="1" applyBorder="1" applyAlignment="1" applyProtection="1">
      <alignment horizontal="center" vertical="center"/>
    </xf>
    <xf numFmtId="0" fontId="2" fillId="0" borderId="0" xfId="1587" applyBorder="1" applyAlignment="1">
      <alignment horizontal="center" vertical="center"/>
    </xf>
    <xf numFmtId="0" fontId="132" fillId="74" borderId="0" xfId="0" applyFont="1" applyFill="1" applyBorder="1" applyAlignment="1">
      <alignment horizontal="center" vertical="center" wrapText="1"/>
    </xf>
    <xf numFmtId="0" fontId="132" fillId="75" borderId="0" xfId="0" applyFont="1" applyFill="1" applyBorder="1" applyAlignment="1">
      <alignment horizontal="center" vertical="center" wrapText="1"/>
    </xf>
    <xf numFmtId="0" fontId="132" fillId="76" borderId="0" xfId="0" applyFont="1" applyFill="1" applyBorder="1" applyAlignment="1">
      <alignment horizontal="center" vertical="center" wrapText="1"/>
    </xf>
    <xf numFmtId="0" fontId="130" fillId="70" borderId="93" xfId="0" applyFont="1" applyFill="1" applyBorder="1" applyAlignment="1">
      <alignment horizontal="left" vertical="center" wrapText="1"/>
    </xf>
    <xf numFmtId="0" fontId="130" fillId="70" borderId="94" xfId="0" applyFont="1" applyFill="1" applyBorder="1" applyAlignment="1">
      <alignment horizontal="left" vertical="center" wrapText="1"/>
    </xf>
    <xf numFmtId="0" fontId="130" fillId="70" borderId="95" xfId="0" applyFont="1" applyFill="1" applyBorder="1" applyAlignment="1">
      <alignment horizontal="left" vertical="center" wrapText="1"/>
    </xf>
    <xf numFmtId="0" fontId="131" fillId="71" borderId="93" xfId="0" applyFont="1" applyFill="1" applyBorder="1" applyAlignment="1">
      <alignment vertical="center" wrapText="1"/>
    </xf>
    <xf numFmtId="0" fontId="131" fillId="71" borderId="94" xfId="0" applyFont="1" applyFill="1" applyBorder="1" applyAlignment="1">
      <alignment vertical="center" wrapText="1"/>
    </xf>
    <xf numFmtId="0" fontId="131" fillId="71" borderId="95" xfId="0" applyFont="1" applyFill="1" applyBorder="1" applyAlignment="1">
      <alignment vertical="center" wrapText="1"/>
    </xf>
    <xf numFmtId="3" fontId="58" fillId="0" borderId="96" xfId="0" applyNumberFormat="1" applyFont="1" applyBorder="1" applyAlignment="1">
      <alignment horizontal="center" vertical="center" wrapText="1"/>
    </xf>
    <xf numFmtId="0" fontId="58" fillId="0" borderId="97" xfId="0" applyFont="1" applyBorder="1" applyAlignment="1">
      <alignment horizontal="center" vertical="center" wrapText="1"/>
    </xf>
    <xf numFmtId="0" fontId="58" fillId="0" borderId="98" xfId="0" applyFont="1" applyBorder="1" applyAlignment="1">
      <alignment horizontal="center" vertical="center" wrapText="1"/>
    </xf>
    <xf numFmtId="0" fontId="0" fillId="0" borderId="99" xfId="0" applyBorder="1" applyAlignment="1">
      <alignment horizontal="center" vertical="center"/>
    </xf>
    <xf numFmtId="0" fontId="0" fillId="63" borderId="0" xfId="0" applyFont="1" applyFill="1" applyAlignment="1">
      <alignment horizontal="left" vertical="center" wrapText="1"/>
    </xf>
    <xf numFmtId="0" fontId="125" fillId="69" borderId="87" xfId="0" applyFont="1" applyFill="1" applyBorder="1" applyAlignment="1">
      <alignment horizontal="center" vertical="center" wrapText="1"/>
    </xf>
    <xf numFmtId="0" fontId="125" fillId="69" borderId="88" xfId="0" applyFont="1" applyFill="1" applyBorder="1" applyAlignment="1">
      <alignment horizontal="center" vertical="center" wrapText="1"/>
    </xf>
    <xf numFmtId="0" fontId="125" fillId="69" borderId="89" xfId="0" applyFont="1" applyFill="1" applyBorder="1" applyAlignment="1">
      <alignment horizontal="center" vertical="center" wrapText="1"/>
    </xf>
    <xf numFmtId="0" fontId="126" fillId="69" borderId="90" xfId="0" applyFont="1" applyFill="1" applyBorder="1" applyAlignment="1">
      <alignment horizontal="center" vertical="center" wrapText="1"/>
    </xf>
    <xf numFmtId="0" fontId="126" fillId="69" borderId="84" xfId="0" applyFont="1" applyFill="1" applyBorder="1" applyAlignment="1">
      <alignment horizontal="center" vertical="center" wrapText="1"/>
    </xf>
    <xf numFmtId="0" fontId="127" fillId="0" borderId="90" xfId="0" applyFont="1" applyBorder="1" applyAlignment="1">
      <alignment horizontal="center" vertical="center" wrapText="1"/>
    </xf>
    <xf numFmtId="0" fontId="127" fillId="0" borderId="84" xfId="0" applyFont="1" applyBorder="1" applyAlignment="1">
      <alignment horizontal="center" vertical="center" wrapText="1"/>
    </xf>
    <xf numFmtId="0" fontId="128" fillId="0" borderId="90" xfId="0" applyFont="1" applyBorder="1" applyAlignment="1">
      <alignment horizontal="center" vertical="center" wrapText="1"/>
    </xf>
    <xf numFmtId="0" fontId="128" fillId="0" borderId="84" xfId="0" applyFont="1" applyBorder="1" applyAlignment="1">
      <alignment horizontal="center" vertical="center" wrapText="1"/>
    </xf>
    <xf numFmtId="0" fontId="23" fillId="2" borderId="0" xfId="1574" quotePrefix="1" applyFont="1" applyFill="1" applyBorder="1" applyAlignment="1">
      <alignment horizontal="center" vertical="center" wrapText="1"/>
    </xf>
    <xf numFmtId="0" fontId="71" fillId="2" borderId="0" xfId="1574" applyFont="1" applyFill="1" applyAlignment="1">
      <alignment horizontal="left" wrapText="1"/>
    </xf>
    <xf numFmtId="0" fontId="109" fillId="2" borderId="0" xfId="1574" applyFont="1" applyFill="1" applyBorder="1" applyAlignment="1">
      <alignment horizontal="center"/>
    </xf>
    <xf numFmtId="0" fontId="111" fillId="2" borderId="0" xfId="1574" applyFont="1" applyFill="1" applyBorder="1" applyAlignment="1">
      <alignment horizontal="center"/>
    </xf>
    <xf numFmtId="0" fontId="112" fillId="68" borderId="41" xfId="1574" applyFont="1" applyFill="1" applyBorder="1" applyAlignment="1">
      <alignment horizontal="center" vertical="center" wrapText="1"/>
    </xf>
    <xf numFmtId="0" fontId="112" fillId="68" borderId="20" xfId="1574" applyFont="1" applyFill="1" applyBorder="1" applyAlignment="1">
      <alignment horizontal="center" vertical="center" wrapText="1"/>
    </xf>
    <xf numFmtId="0" fontId="71" fillId="68" borderId="24" xfId="1574" applyFont="1" applyFill="1" applyBorder="1" applyAlignment="1">
      <alignment horizontal="center"/>
    </xf>
    <xf numFmtId="0" fontId="71" fillId="68" borderId="79" xfId="1574" applyFont="1" applyFill="1" applyBorder="1" applyAlignment="1">
      <alignment horizontal="center"/>
    </xf>
    <xf numFmtId="0" fontId="71" fillId="68" borderId="22" xfId="1574" applyFont="1" applyFill="1" applyBorder="1" applyAlignment="1">
      <alignment horizontal="center"/>
    </xf>
    <xf numFmtId="0" fontId="23" fillId="68" borderId="41" xfId="1574" applyFont="1" applyFill="1" applyBorder="1" applyAlignment="1">
      <alignment horizontal="center" wrapText="1"/>
    </xf>
    <xf numFmtId="0" fontId="23" fillId="68" borderId="20" xfId="1574" applyFont="1" applyFill="1" applyBorder="1" applyAlignment="1">
      <alignment horizontal="center" wrapText="1"/>
    </xf>
  </cellXfs>
  <cellStyles count="1601">
    <cellStyle name="20% - Accent1" xfId="1531" builtinId="30" customBuiltin="1"/>
    <cellStyle name="20% - Accent2" xfId="1535" builtinId="34" customBuiltin="1"/>
    <cellStyle name="20% - Accent3" xfId="1539" builtinId="38" customBuiltin="1"/>
    <cellStyle name="20% - Accent4" xfId="1543" builtinId="42" customBuiltin="1"/>
    <cellStyle name="20% - Accent5" xfId="1547" builtinId="46" customBuiltin="1"/>
    <cellStyle name="20% - Accent6" xfId="1551" builtinId="50" customBuiltin="1"/>
    <cellStyle name="20% - Énfasis1 2" xfId="26"/>
    <cellStyle name="20% - Énfasis1 3" xfId="27"/>
    <cellStyle name="20% - Énfasis2 2" xfId="28"/>
    <cellStyle name="20% - Énfasis2 3" xfId="29"/>
    <cellStyle name="20% - Énfasis3 2" xfId="30"/>
    <cellStyle name="20% - Énfasis3 3" xfId="31"/>
    <cellStyle name="20% - Énfasis4 2" xfId="32"/>
    <cellStyle name="20% - Énfasis4 3" xfId="33"/>
    <cellStyle name="20% - Énfasis5 2" xfId="34"/>
    <cellStyle name="20% - Énfasis5 3" xfId="35"/>
    <cellStyle name="20% - Énfasis6 2" xfId="36"/>
    <cellStyle name="20% - Énfasis6 3" xfId="37"/>
    <cellStyle name="40% - Accent1" xfId="1532" builtinId="31" customBuiltin="1"/>
    <cellStyle name="40% - Accent2" xfId="1536" builtinId="35" customBuiltin="1"/>
    <cellStyle name="40% - Accent3" xfId="1540" builtinId="39" customBuiltin="1"/>
    <cellStyle name="40% - Accent4" xfId="1544" builtinId="43" customBuiltin="1"/>
    <cellStyle name="40% - Accent5" xfId="1548" builtinId="47" customBuiltin="1"/>
    <cellStyle name="40% - Accent6" xfId="1552" builtinId="51" customBuiltin="1"/>
    <cellStyle name="40% - Énfasis1 2" xfId="38"/>
    <cellStyle name="40% - Énfasis1 3" xfId="39"/>
    <cellStyle name="40% - Énfasis2 2" xfId="40"/>
    <cellStyle name="40% - Énfasis2 3" xfId="41"/>
    <cellStyle name="40% - Énfasis3 2" xfId="42"/>
    <cellStyle name="40% - Énfasis3 3" xfId="43"/>
    <cellStyle name="40% - Énfasis4 2" xfId="44"/>
    <cellStyle name="40% - Énfasis4 3" xfId="45"/>
    <cellStyle name="40% - Énfasis5 2" xfId="46"/>
    <cellStyle name="40% - Énfasis5 3" xfId="47"/>
    <cellStyle name="40% - Énfasis6 2" xfId="48"/>
    <cellStyle name="40% - Énfasis6 3" xfId="49"/>
    <cellStyle name="60% - Accent1" xfId="1533" builtinId="32" customBuiltin="1"/>
    <cellStyle name="60% - Accent2" xfId="1537" builtinId="36" customBuiltin="1"/>
    <cellStyle name="60% - Accent3" xfId="1541" builtinId="40" customBuiltin="1"/>
    <cellStyle name="60% - Accent4" xfId="1545" builtinId="44" customBuiltin="1"/>
    <cellStyle name="60% - Accent5" xfId="1549" builtinId="48" customBuiltin="1"/>
    <cellStyle name="60% - Accent6" xfId="1553" builtinId="52" customBuiltin="1"/>
    <cellStyle name="60% - Énfasis1 2" xfId="50"/>
    <cellStyle name="60% - Énfasis1 3" xfId="51"/>
    <cellStyle name="60% - Énfasis2 2" xfId="52"/>
    <cellStyle name="60% - Énfasis2 3" xfId="53"/>
    <cellStyle name="60% - Énfasis3 2" xfId="54"/>
    <cellStyle name="60% - Énfasis3 3" xfId="55"/>
    <cellStyle name="60% - Énfasis4 2" xfId="56"/>
    <cellStyle name="60% - Énfasis4 3" xfId="57"/>
    <cellStyle name="60% - Énfasis5 2" xfId="58"/>
    <cellStyle name="60% - Énfasis5 3" xfId="59"/>
    <cellStyle name="60% - Énfasis6 2" xfId="60"/>
    <cellStyle name="60% - Énfasis6 3" xfId="61"/>
    <cellStyle name="Accent1" xfId="1530" builtinId="29" customBuiltin="1"/>
    <cellStyle name="Accent2" xfId="1534" builtinId="33" customBuiltin="1"/>
    <cellStyle name="Accent3" xfId="1538" builtinId="37" customBuiltin="1"/>
    <cellStyle name="Accent4" xfId="1542" builtinId="41" customBuiltin="1"/>
    <cellStyle name="Accent5" xfId="1546" builtinId="45" customBuiltin="1"/>
    <cellStyle name="Accent6" xfId="1550" builtinId="49" customBuiltin="1"/>
    <cellStyle name="Bad" xfId="1520" builtinId="27" customBuiltin="1"/>
    <cellStyle name="Buena 2" xfId="62"/>
    <cellStyle name="Buena 3" xfId="63"/>
    <cellStyle name="Calculation" xfId="1524" builtinId="22" customBuiltin="1"/>
    <cellStyle name="Cálculo 2" xfId="64"/>
    <cellStyle name="Cálculo 2 10" xfId="65"/>
    <cellStyle name="Cálculo 2 10 2" xfId="66"/>
    <cellStyle name="Cálculo 2 10 2 2" xfId="67"/>
    <cellStyle name="Cálculo 2 10 3" xfId="68"/>
    <cellStyle name="Cálculo 2 11" xfId="69"/>
    <cellStyle name="Cálculo 2 11 2" xfId="70"/>
    <cellStyle name="Cálculo 2 11 2 2" xfId="71"/>
    <cellStyle name="Cálculo 2 11 3" xfId="72"/>
    <cellStyle name="Cálculo 2 12" xfId="73"/>
    <cellStyle name="Cálculo 2 12 2" xfId="74"/>
    <cellStyle name="Cálculo 2 12 2 2" xfId="75"/>
    <cellStyle name="Cálculo 2 12 3" xfId="76"/>
    <cellStyle name="Cálculo 2 13" xfId="77"/>
    <cellStyle name="Cálculo 2 13 2" xfId="78"/>
    <cellStyle name="Cálculo 2 14" xfId="79"/>
    <cellStyle name="Cálculo 2 2" xfId="80"/>
    <cellStyle name="Cálculo 2 2 10" xfId="81"/>
    <cellStyle name="Cálculo 2 2 10 2" xfId="82"/>
    <cellStyle name="Cálculo 2 2 10 2 2" xfId="83"/>
    <cellStyle name="Cálculo 2 2 10 3" xfId="84"/>
    <cellStyle name="Cálculo 2 2 11" xfId="85"/>
    <cellStyle name="Cálculo 2 2 11 2" xfId="86"/>
    <cellStyle name="Cálculo 2 2 12" xfId="87"/>
    <cellStyle name="Cálculo 2 2 2" xfId="88"/>
    <cellStyle name="Cálculo 2 2 2 2" xfId="89"/>
    <cellStyle name="Cálculo 2 2 2 2 2" xfId="90"/>
    <cellStyle name="Cálculo 2 2 2 3" xfId="91"/>
    <cellStyle name="Cálculo 2 2 3" xfId="92"/>
    <cellStyle name="Cálculo 2 2 3 2" xfId="93"/>
    <cellStyle name="Cálculo 2 2 3 2 2" xfId="94"/>
    <cellStyle name="Cálculo 2 2 3 3" xfId="95"/>
    <cellStyle name="Cálculo 2 2 4" xfId="96"/>
    <cellStyle name="Cálculo 2 2 4 2" xfId="97"/>
    <cellStyle name="Cálculo 2 2 4 2 2" xfId="98"/>
    <cellStyle name="Cálculo 2 2 4 3" xfId="99"/>
    <cellStyle name="Cálculo 2 2 5" xfId="100"/>
    <cellStyle name="Cálculo 2 2 5 2" xfId="101"/>
    <cellStyle name="Cálculo 2 2 5 2 2" xfId="102"/>
    <cellStyle name="Cálculo 2 2 5 3" xfId="103"/>
    <cellStyle name="Cálculo 2 2 6" xfId="104"/>
    <cellStyle name="Cálculo 2 2 6 2" xfId="105"/>
    <cellStyle name="Cálculo 2 2 6 2 2" xfId="106"/>
    <cellStyle name="Cálculo 2 2 6 3" xfId="107"/>
    <cellStyle name="Cálculo 2 2 7" xfId="108"/>
    <cellStyle name="Cálculo 2 2 7 2" xfId="109"/>
    <cellStyle name="Cálculo 2 2 7 2 2" xfId="110"/>
    <cellStyle name="Cálculo 2 2 7 3" xfId="111"/>
    <cellStyle name="Cálculo 2 2 8" xfId="112"/>
    <cellStyle name="Cálculo 2 2 8 2" xfId="113"/>
    <cellStyle name="Cálculo 2 2 8 2 2" xfId="114"/>
    <cellStyle name="Cálculo 2 2 8 3" xfId="115"/>
    <cellStyle name="Cálculo 2 2 9" xfId="116"/>
    <cellStyle name="Cálculo 2 2 9 2" xfId="117"/>
    <cellStyle name="Cálculo 2 2 9 2 2" xfId="118"/>
    <cellStyle name="Cálculo 2 2 9 3" xfId="119"/>
    <cellStyle name="Cálculo 2 3" xfId="120"/>
    <cellStyle name="Cálculo 2 3 10" xfId="121"/>
    <cellStyle name="Cálculo 2 3 10 2" xfId="122"/>
    <cellStyle name="Cálculo 2 3 10 2 2" xfId="123"/>
    <cellStyle name="Cálculo 2 3 10 3" xfId="124"/>
    <cellStyle name="Cálculo 2 3 11" xfId="125"/>
    <cellStyle name="Cálculo 2 3 11 2" xfId="126"/>
    <cellStyle name="Cálculo 2 3 12" xfId="127"/>
    <cellStyle name="Cálculo 2 3 2" xfId="128"/>
    <cellStyle name="Cálculo 2 3 2 2" xfId="129"/>
    <cellStyle name="Cálculo 2 3 2 2 2" xfId="130"/>
    <cellStyle name="Cálculo 2 3 2 3" xfId="131"/>
    <cellStyle name="Cálculo 2 3 3" xfId="132"/>
    <cellStyle name="Cálculo 2 3 3 2" xfId="133"/>
    <cellStyle name="Cálculo 2 3 3 2 2" xfId="134"/>
    <cellStyle name="Cálculo 2 3 3 3" xfId="135"/>
    <cellStyle name="Cálculo 2 3 4" xfId="136"/>
    <cellStyle name="Cálculo 2 3 4 2" xfId="137"/>
    <cellStyle name="Cálculo 2 3 4 2 2" xfId="138"/>
    <cellStyle name="Cálculo 2 3 4 3" xfId="139"/>
    <cellStyle name="Cálculo 2 3 5" xfId="140"/>
    <cellStyle name="Cálculo 2 3 5 2" xfId="141"/>
    <cellStyle name="Cálculo 2 3 5 2 2" xfId="142"/>
    <cellStyle name="Cálculo 2 3 5 3" xfId="143"/>
    <cellStyle name="Cálculo 2 3 6" xfId="144"/>
    <cellStyle name="Cálculo 2 3 6 2" xfId="145"/>
    <cellStyle name="Cálculo 2 3 6 2 2" xfId="146"/>
    <cellStyle name="Cálculo 2 3 6 3" xfId="147"/>
    <cellStyle name="Cálculo 2 3 7" xfId="148"/>
    <cellStyle name="Cálculo 2 3 7 2" xfId="149"/>
    <cellStyle name="Cálculo 2 3 7 2 2" xfId="150"/>
    <cellStyle name="Cálculo 2 3 7 3" xfId="151"/>
    <cellStyle name="Cálculo 2 3 8" xfId="152"/>
    <cellStyle name="Cálculo 2 3 8 2" xfId="153"/>
    <cellStyle name="Cálculo 2 3 8 2 2" xfId="154"/>
    <cellStyle name="Cálculo 2 3 8 3" xfId="155"/>
    <cellStyle name="Cálculo 2 3 9" xfId="156"/>
    <cellStyle name="Cálculo 2 3 9 2" xfId="157"/>
    <cellStyle name="Cálculo 2 3 9 2 2" xfId="158"/>
    <cellStyle name="Cálculo 2 3 9 3" xfId="159"/>
    <cellStyle name="Cálculo 2 4" xfId="160"/>
    <cellStyle name="Cálculo 2 4 2" xfId="161"/>
    <cellStyle name="Cálculo 2 4 2 2" xfId="162"/>
    <cellStyle name="Cálculo 2 4 3" xfId="163"/>
    <cellStyle name="Cálculo 2 5" xfId="164"/>
    <cellStyle name="Cálculo 2 5 2" xfId="165"/>
    <cellStyle name="Cálculo 2 5 2 2" xfId="166"/>
    <cellStyle name="Cálculo 2 5 3" xfId="167"/>
    <cellStyle name="Cálculo 2 6" xfId="168"/>
    <cellStyle name="Cálculo 2 6 2" xfId="169"/>
    <cellStyle name="Cálculo 2 6 2 2" xfId="170"/>
    <cellStyle name="Cálculo 2 6 3" xfId="171"/>
    <cellStyle name="Cálculo 2 7" xfId="172"/>
    <cellStyle name="Cálculo 2 7 2" xfId="173"/>
    <cellStyle name="Cálculo 2 7 2 2" xfId="174"/>
    <cellStyle name="Cálculo 2 7 3" xfId="175"/>
    <cellStyle name="Cálculo 2 8" xfId="176"/>
    <cellStyle name="Cálculo 2 8 2" xfId="177"/>
    <cellStyle name="Cálculo 2 8 2 2" xfId="178"/>
    <cellStyle name="Cálculo 2 8 3" xfId="179"/>
    <cellStyle name="Cálculo 2 9" xfId="180"/>
    <cellStyle name="Cálculo 2 9 2" xfId="181"/>
    <cellStyle name="Cálculo 2 9 2 2" xfId="182"/>
    <cellStyle name="Cálculo 2 9 3" xfId="183"/>
    <cellStyle name="Cálculo 3" xfId="184"/>
    <cellStyle name="Celda de comprobación 2" xfId="185"/>
    <cellStyle name="Celda de comprobación 3" xfId="186"/>
    <cellStyle name="Celda vinculada 2" xfId="187"/>
    <cellStyle name="Celda vinculada 3" xfId="188"/>
    <cellStyle name="Check Cell" xfId="1526" builtinId="23" customBuiltin="1"/>
    <cellStyle name="Comma" xfId="1"/>
    <cellStyle name="Comma 2" xfId="189"/>
    <cellStyle name="Comma 2 2" xfId="190"/>
    <cellStyle name="Comma 2 2 2" xfId="191"/>
    <cellStyle name="Comma 2 2 2 2" xfId="192"/>
    <cellStyle name="Comma 2 2 2 2 2" xfId="193"/>
    <cellStyle name="Comma 2 2 2 3" xfId="194"/>
    <cellStyle name="Comma 2 2 3" xfId="195"/>
    <cellStyle name="Comma 2 2 3 2" xfId="196"/>
    <cellStyle name="Comma 2 2 3 2 2" xfId="197"/>
    <cellStyle name="Comma 2 2 3 3" xfId="198"/>
    <cellStyle name="Comma 2 2 4" xfId="199"/>
    <cellStyle name="Comma 2 2 4 2" xfId="200"/>
    <cellStyle name="Comma 2 2 5" xfId="201"/>
    <cellStyle name="Comma 2 3" xfId="202"/>
    <cellStyle name="Comma 2 3 2" xfId="203"/>
    <cellStyle name="Comma 2 3 2 2" xfId="204"/>
    <cellStyle name="Comma 2 3 3" xfId="205"/>
    <cellStyle name="Comma 2 4" xfId="206"/>
    <cellStyle name="Comma 2 4 2" xfId="207"/>
    <cellStyle name="Comma 2 4 2 2" xfId="208"/>
    <cellStyle name="Comma 2 4 3" xfId="209"/>
    <cellStyle name="Comma 2 5" xfId="210"/>
    <cellStyle name="Comma 2 5 2" xfId="211"/>
    <cellStyle name="Comma 2 6" xfId="212"/>
    <cellStyle name="Comma 2 7" xfId="213"/>
    <cellStyle name="Comma 3" xfId="1573"/>
    <cellStyle name="Comma 4" xfId="1576"/>
    <cellStyle name="Comma 5" xfId="1588"/>
    <cellStyle name="Comma 6" xfId="1600"/>
    <cellStyle name="Currency" xfId="5"/>
    <cellStyle name="Currency [0] 2" xfId="1592"/>
    <cellStyle name="Currency 2" xfId="214"/>
    <cellStyle name="Currency 3" xfId="1589"/>
    <cellStyle name="Date" xfId="215"/>
    <cellStyle name="Date 2" xfId="216"/>
    <cellStyle name="Encabezado 4 2" xfId="217"/>
    <cellStyle name="Encabezado 4 3" xfId="218"/>
    <cellStyle name="Énfasis1 2" xfId="219"/>
    <cellStyle name="Énfasis1 3" xfId="220"/>
    <cellStyle name="Énfasis2 2" xfId="221"/>
    <cellStyle name="Énfasis2 3" xfId="222"/>
    <cellStyle name="Énfasis3 2" xfId="223"/>
    <cellStyle name="Énfasis3 3" xfId="224"/>
    <cellStyle name="Énfasis4 2" xfId="225"/>
    <cellStyle name="Énfasis4 3" xfId="226"/>
    <cellStyle name="Énfasis5 2" xfId="227"/>
    <cellStyle name="Énfasis5 3" xfId="228"/>
    <cellStyle name="Énfasis6 2" xfId="229"/>
    <cellStyle name="Énfasis6 3" xfId="230"/>
    <cellStyle name="Entrada 2" xfId="231"/>
    <cellStyle name="Entrada 2 10" xfId="232"/>
    <cellStyle name="Entrada 2 10 2" xfId="233"/>
    <cellStyle name="Entrada 2 10 2 2" xfId="234"/>
    <cellStyle name="Entrada 2 10 3" xfId="235"/>
    <cellStyle name="Entrada 2 11" xfId="236"/>
    <cellStyle name="Entrada 2 11 2" xfId="237"/>
    <cellStyle name="Entrada 2 11 2 2" xfId="238"/>
    <cellStyle name="Entrada 2 11 3" xfId="239"/>
    <cellStyle name="Entrada 2 12" xfId="240"/>
    <cellStyle name="Entrada 2 12 2" xfId="241"/>
    <cellStyle name="Entrada 2 12 2 2" xfId="242"/>
    <cellStyle name="Entrada 2 12 3" xfId="243"/>
    <cellStyle name="Entrada 2 13" xfId="244"/>
    <cellStyle name="Entrada 2 13 2" xfId="245"/>
    <cellStyle name="Entrada 2 14" xfId="246"/>
    <cellStyle name="Entrada 2 2" xfId="247"/>
    <cellStyle name="Entrada 2 2 10" xfId="248"/>
    <cellStyle name="Entrada 2 2 10 2" xfId="249"/>
    <cellStyle name="Entrada 2 2 10 2 2" xfId="250"/>
    <cellStyle name="Entrada 2 2 10 3" xfId="251"/>
    <cellStyle name="Entrada 2 2 11" xfId="252"/>
    <cellStyle name="Entrada 2 2 11 2" xfId="253"/>
    <cellStyle name="Entrada 2 2 12" xfId="254"/>
    <cellStyle name="Entrada 2 2 2" xfId="255"/>
    <cellStyle name="Entrada 2 2 2 2" xfId="256"/>
    <cellStyle name="Entrada 2 2 2 2 2" xfId="257"/>
    <cellStyle name="Entrada 2 2 2 3" xfId="258"/>
    <cellStyle name="Entrada 2 2 3" xfId="259"/>
    <cellStyle name="Entrada 2 2 3 2" xfId="260"/>
    <cellStyle name="Entrada 2 2 3 2 2" xfId="261"/>
    <cellStyle name="Entrada 2 2 3 3" xfId="262"/>
    <cellStyle name="Entrada 2 2 4" xfId="263"/>
    <cellStyle name="Entrada 2 2 4 2" xfId="264"/>
    <cellStyle name="Entrada 2 2 4 2 2" xfId="265"/>
    <cellStyle name="Entrada 2 2 4 3" xfId="266"/>
    <cellStyle name="Entrada 2 2 5" xfId="267"/>
    <cellStyle name="Entrada 2 2 5 2" xfId="268"/>
    <cellStyle name="Entrada 2 2 5 2 2" xfId="269"/>
    <cellStyle name="Entrada 2 2 5 3" xfId="270"/>
    <cellStyle name="Entrada 2 2 6" xfId="271"/>
    <cellStyle name="Entrada 2 2 6 2" xfId="272"/>
    <cellStyle name="Entrada 2 2 6 2 2" xfId="273"/>
    <cellStyle name="Entrada 2 2 6 3" xfId="274"/>
    <cellStyle name="Entrada 2 2 7" xfId="275"/>
    <cellStyle name="Entrada 2 2 7 2" xfId="276"/>
    <cellStyle name="Entrada 2 2 7 2 2" xfId="277"/>
    <cellStyle name="Entrada 2 2 7 3" xfId="278"/>
    <cellStyle name="Entrada 2 2 8" xfId="279"/>
    <cellStyle name="Entrada 2 2 8 2" xfId="280"/>
    <cellStyle name="Entrada 2 2 8 2 2" xfId="281"/>
    <cellStyle name="Entrada 2 2 8 3" xfId="282"/>
    <cellStyle name="Entrada 2 2 9" xfId="283"/>
    <cellStyle name="Entrada 2 2 9 2" xfId="284"/>
    <cellStyle name="Entrada 2 2 9 2 2" xfId="285"/>
    <cellStyle name="Entrada 2 2 9 3" xfId="286"/>
    <cellStyle name="Entrada 2 3" xfId="287"/>
    <cellStyle name="Entrada 2 3 10" xfId="288"/>
    <cellStyle name="Entrada 2 3 10 2" xfId="289"/>
    <cellStyle name="Entrada 2 3 10 2 2" xfId="290"/>
    <cellStyle name="Entrada 2 3 10 3" xfId="291"/>
    <cellStyle name="Entrada 2 3 11" xfId="292"/>
    <cellStyle name="Entrada 2 3 11 2" xfId="293"/>
    <cellStyle name="Entrada 2 3 12" xfId="294"/>
    <cellStyle name="Entrada 2 3 2" xfId="295"/>
    <cellStyle name="Entrada 2 3 2 2" xfId="296"/>
    <cellStyle name="Entrada 2 3 2 2 2" xfId="297"/>
    <cellStyle name="Entrada 2 3 2 3" xfId="298"/>
    <cellStyle name="Entrada 2 3 3" xfId="299"/>
    <cellStyle name="Entrada 2 3 3 2" xfId="300"/>
    <cellStyle name="Entrada 2 3 3 2 2" xfId="301"/>
    <cellStyle name="Entrada 2 3 3 3" xfId="302"/>
    <cellStyle name="Entrada 2 3 4" xfId="303"/>
    <cellStyle name="Entrada 2 3 4 2" xfId="304"/>
    <cellStyle name="Entrada 2 3 4 2 2" xfId="305"/>
    <cellStyle name="Entrada 2 3 4 3" xfId="306"/>
    <cellStyle name="Entrada 2 3 5" xfId="307"/>
    <cellStyle name="Entrada 2 3 5 2" xfId="308"/>
    <cellStyle name="Entrada 2 3 5 2 2" xfId="309"/>
    <cellStyle name="Entrada 2 3 5 3" xfId="310"/>
    <cellStyle name="Entrada 2 3 6" xfId="311"/>
    <cellStyle name="Entrada 2 3 6 2" xfId="312"/>
    <cellStyle name="Entrada 2 3 6 2 2" xfId="313"/>
    <cellStyle name="Entrada 2 3 6 3" xfId="314"/>
    <cellStyle name="Entrada 2 3 7" xfId="315"/>
    <cellStyle name="Entrada 2 3 7 2" xfId="316"/>
    <cellStyle name="Entrada 2 3 7 2 2" xfId="317"/>
    <cellStyle name="Entrada 2 3 7 3" xfId="318"/>
    <cellStyle name="Entrada 2 3 8" xfId="319"/>
    <cellStyle name="Entrada 2 3 8 2" xfId="320"/>
    <cellStyle name="Entrada 2 3 8 2 2" xfId="321"/>
    <cellStyle name="Entrada 2 3 8 3" xfId="322"/>
    <cellStyle name="Entrada 2 3 9" xfId="323"/>
    <cellStyle name="Entrada 2 3 9 2" xfId="324"/>
    <cellStyle name="Entrada 2 3 9 2 2" xfId="325"/>
    <cellStyle name="Entrada 2 3 9 3" xfId="326"/>
    <cellStyle name="Entrada 2 4" xfId="327"/>
    <cellStyle name="Entrada 2 4 2" xfId="328"/>
    <cellStyle name="Entrada 2 4 2 2" xfId="329"/>
    <cellStyle name="Entrada 2 4 3" xfId="330"/>
    <cellStyle name="Entrada 2 5" xfId="331"/>
    <cellStyle name="Entrada 2 5 2" xfId="332"/>
    <cellStyle name="Entrada 2 5 2 2" xfId="333"/>
    <cellStyle name="Entrada 2 5 3" xfId="334"/>
    <cellStyle name="Entrada 2 6" xfId="335"/>
    <cellStyle name="Entrada 2 6 2" xfId="336"/>
    <cellStyle name="Entrada 2 6 2 2" xfId="337"/>
    <cellStyle name="Entrada 2 6 3" xfId="338"/>
    <cellStyle name="Entrada 2 7" xfId="339"/>
    <cellStyle name="Entrada 2 7 2" xfId="340"/>
    <cellStyle name="Entrada 2 7 2 2" xfId="341"/>
    <cellStyle name="Entrada 2 7 3" xfId="342"/>
    <cellStyle name="Entrada 2 8" xfId="343"/>
    <cellStyle name="Entrada 2 8 2" xfId="344"/>
    <cellStyle name="Entrada 2 8 2 2" xfId="345"/>
    <cellStyle name="Entrada 2 8 3" xfId="346"/>
    <cellStyle name="Entrada 2 9" xfId="347"/>
    <cellStyle name="Entrada 2 9 2" xfId="348"/>
    <cellStyle name="Entrada 2 9 2 2" xfId="349"/>
    <cellStyle name="Entrada 2 9 3" xfId="350"/>
    <cellStyle name="Entrada 3" xfId="351"/>
    <cellStyle name="Euro" xfId="352"/>
    <cellStyle name="Euro 2" xfId="353"/>
    <cellStyle name="Excel Built-in Comma" xfId="1577"/>
    <cellStyle name="Excel Built-in Comma 1" xfId="1579"/>
    <cellStyle name="Excel Built-in Percent" xfId="1585"/>
    <cellStyle name="Explanatory Text" xfId="1528" builtinId="53" customBuiltin="1"/>
    <cellStyle name="Fixed" xfId="354"/>
    <cellStyle name="Fixed 2" xfId="355"/>
    <cellStyle name="Good" xfId="1519" builtinId="26" customBuiltin="1"/>
    <cellStyle name="Heading 1" xfId="1515" builtinId="16" customBuiltin="1"/>
    <cellStyle name="Heading 1 2" xfId="1595"/>
    <cellStyle name="Heading 2" xfId="1516" builtinId="17" customBuiltin="1"/>
    <cellStyle name="Heading 2 2" xfId="1596"/>
    <cellStyle name="Heading 3" xfId="1517" builtinId="18" customBuiltin="1"/>
    <cellStyle name="Heading 3 2" xfId="1597"/>
    <cellStyle name="Heading 4" xfId="1518" builtinId="19" customBuiltin="1"/>
    <cellStyle name="Heading1" xfId="356"/>
    <cellStyle name="Heading1 2" xfId="357"/>
    <cellStyle name="Heading2" xfId="358"/>
    <cellStyle name="Heading2 2" xfId="359"/>
    <cellStyle name="Hipervínculo 2" xfId="360"/>
    <cellStyle name="Hyperlink" xfId="361" builtinId="8"/>
    <cellStyle name="Incorrecto 2" xfId="362"/>
    <cellStyle name="Incorrecto 3" xfId="363"/>
    <cellStyle name="Input" xfId="1522" builtinId="20" customBuiltin="1"/>
    <cellStyle name="Linked Cell" xfId="1525" builtinId="24" customBuiltin="1"/>
    <cellStyle name="Millares [0] 2" xfId="364"/>
    <cellStyle name="Millares 10" xfId="365"/>
    <cellStyle name="Millares 11" xfId="366"/>
    <cellStyle name="Millares 12" xfId="367"/>
    <cellStyle name="Millares 13" xfId="368"/>
    <cellStyle name="Millares 14" xfId="369"/>
    <cellStyle name="Millares 15" xfId="370"/>
    <cellStyle name="Millares 16" xfId="371"/>
    <cellStyle name="Millares 17" xfId="372"/>
    <cellStyle name="Millares 18" xfId="373"/>
    <cellStyle name="Millares 19" xfId="374"/>
    <cellStyle name="Millares 2" xfId="2"/>
    <cellStyle name="Millares 2 2" xfId="376"/>
    <cellStyle name="Millares 2 3" xfId="377"/>
    <cellStyle name="Millares 2 4" xfId="378"/>
    <cellStyle name="Millares 2 5" xfId="375"/>
    <cellStyle name="Millares 20" xfId="379"/>
    <cellStyle name="Millares 21" xfId="380"/>
    <cellStyle name="Millares 22" xfId="381"/>
    <cellStyle name="Millares 23" xfId="382"/>
    <cellStyle name="Millares 24" xfId="383"/>
    <cellStyle name="Millares 3" xfId="23"/>
    <cellStyle name="Millares 3 2" xfId="384"/>
    <cellStyle name="Millares 3 3" xfId="1513"/>
    <cellStyle name="Millares 4" xfId="385"/>
    <cellStyle name="Millares 4 2" xfId="386"/>
    <cellStyle name="Millares 5" xfId="387"/>
    <cellStyle name="Millares 6" xfId="388"/>
    <cellStyle name="Millares 6 2" xfId="389"/>
    <cellStyle name="Millares 6 2 2" xfId="390"/>
    <cellStyle name="Millares 6 2 2 2" xfId="391"/>
    <cellStyle name="Millares 6 2 2 2 2" xfId="392"/>
    <cellStyle name="Millares 6 2 2 2 2 2" xfId="393"/>
    <cellStyle name="Millares 6 2 2 2 3" xfId="394"/>
    <cellStyle name="Millares 6 2 2 3" xfId="395"/>
    <cellStyle name="Millares 6 2 2 3 2" xfId="396"/>
    <cellStyle name="Millares 6 2 2 3 2 2" xfId="397"/>
    <cellStyle name="Millares 6 2 2 3 3" xfId="398"/>
    <cellStyle name="Millares 6 2 2 4" xfId="399"/>
    <cellStyle name="Millares 6 2 2 4 2" xfId="400"/>
    <cellStyle name="Millares 6 2 2 5" xfId="401"/>
    <cellStyle name="Millares 6 2 3" xfId="402"/>
    <cellStyle name="Millares 6 2 3 2" xfId="403"/>
    <cellStyle name="Millares 6 2 3 2 2" xfId="404"/>
    <cellStyle name="Millares 6 2 3 3" xfId="405"/>
    <cellStyle name="Millares 6 2 4" xfId="406"/>
    <cellStyle name="Millares 6 2 4 2" xfId="407"/>
    <cellStyle name="Millares 6 2 4 2 2" xfId="408"/>
    <cellStyle name="Millares 6 2 4 3" xfId="409"/>
    <cellStyle name="Millares 6 2 5" xfId="410"/>
    <cellStyle name="Millares 6 2 5 2" xfId="411"/>
    <cellStyle name="Millares 6 2 6" xfId="412"/>
    <cellStyle name="Millares 6 3" xfId="413"/>
    <cellStyle name="Millares 6 3 2" xfId="414"/>
    <cellStyle name="Millares 6 3 2 2" xfId="415"/>
    <cellStyle name="Millares 6 3 2 2 2" xfId="416"/>
    <cellStyle name="Millares 6 3 2 3" xfId="417"/>
    <cellStyle name="Millares 6 3 3" xfId="418"/>
    <cellStyle name="Millares 6 3 3 2" xfId="419"/>
    <cellStyle name="Millares 6 3 3 2 2" xfId="420"/>
    <cellStyle name="Millares 6 3 3 3" xfId="421"/>
    <cellStyle name="Millares 6 3 4" xfId="422"/>
    <cellStyle name="Millares 6 3 4 2" xfId="423"/>
    <cellStyle name="Millares 6 3 5" xfId="424"/>
    <cellStyle name="Millares 6 4" xfId="425"/>
    <cellStyle name="Millares 6 4 2" xfId="426"/>
    <cellStyle name="Millares 6 4 2 2" xfId="427"/>
    <cellStyle name="Millares 6 4 3" xfId="428"/>
    <cellStyle name="Millares 6 5" xfId="429"/>
    <cellStyle name="Millares 6 5 2" xfId="430"/>
    <cellStyle name="Millares 6 5 2 2" xfId="431"/>
    <cellStyle name="Millares 6 5 3" xfId="432"/>
    <cellStyle name="Millares 6 6" xfId="433"/>
    <cellStyle name="Millares 6 6 2" xfId="434"/>
    <cellStyle name="Millares 6 7" xfId="435"/>
    <cellStyle name="Millares 7" xfId="436"/>
    <cellStyle name="Millares 8" xfId="437"/>
    <cellStyle name="Millares 9" xfId="438"/>
    <cellStyle name="Moneda 10" xfId="439"/>
    <cellStyle name="Moneda 11" xfId="25"/>
    <cellStyle name="Moneda 12" xfId="1559"/>
    <cellStyle name="Moneda 13" xfId="1562"/>
    <cellStyle name="Moneda 14" xfId="1565"/>
    <cellStyle name="Moneda 15" xfId="1568"/>
    <cellStyle name="Moneda 2" xfId="22"/>
    <cellStyle name="Moneda 2 2" xfId="441"/>
    <cellStyle name="Moneda 2 3" xfId="440"/>
    <cellStyle name="Moneda 2 4" xfId="1512"/>
    <cellStyle name="Moneda 3" xfId="442"/>
    <cellStyle name="Moneda 3 2" xfId="443"/>
    <cellStyle name="Moneda 4" xfId="444"/>
    <cellStyle name="Moneda 5" xfId="445"/>
    <cellStyle name="Moneda 5 2" xfId="446"/>
    <cellStyle name="Moneda 6" xfId="447"/>
    <cellStyle name="Moneda 7" xfId="448"/>
    <cellStyle name="Moneda 8" xfId="449"/>
    <cellStyle name="Moneda 8 2" xfId="450"/>
    <cellStyle name="Moneda 8 2 2" xfId="451"/>
    <cellStyle name="Moneda 8 2 2 2" xfId="452"/>
    <cellStyle name="Moneda 8 2 2 2 2" xfId="453"/>
    <cellStyle name="Moneda 8 2 2 2 2 2" xfId="454"/>
    <cellStyle name="Moneda 8 2 2 2 3" xfId="455"/>
    <cellStyle name="Moneda 8 2 2 3" xfId="456"/>
    <cellStyle name="Moneda 8 2 2 3 2" xfId="457"/>
    <cellStyle name="Moneda 8 2 2 3 2 2" xfId="458"/>
    <cellStyle name="Moneda 8 2 2 3 3" xfId="459"/>
    <cellStyle name="Moneda 8 2 2 4" xfId="460"/>
    <cellStyle name="Moneda 8 2 2 4 2" xfId="461"/>
    <cellStyle name="Moneda 8 2 2 5" xfId="462"/>
    <cellStyle name="Moneda 8 2 3" xfId="463"/>
    <cellStyle name="Moneda 8 2 3 2" xfId="464"/>
    <cellStyle name="Moneda 8 2 3 2 2" xfId="465"/>
    <cellStyle name="Moneda 8 2 3 3" xfId="466"/>
    <cellStyle name="Moneda 8 2 4" xfId="467"/>
    <cellStyle name="Moneda 8 2 4 2" xfId="468"/>
    <cellStyle name="Moneda 8 2 4 2 2" xfId="469"/>
    <cellStyle name="Moneda 8 2 4 3" xfId="470"/>
    <cellStyle name="Moneda 8 2 5" xfId="471"/>
    <cellStyle name="Moneda 8 2 5 2" xfId="472"/>
    <cellStyle name="Moneda 8 2 6" xfId="473"/>
    <cellStyle name="Moneda 8 3" xfId="474"/>
    <cellStyle name="Moneda 8 3 2" xfId="475"/>
    <cellStyle name="Moneda 8 3 2 2" xfId="476"/>
    <cellStyle name="Moneda 8 3 2 2 2" xfId="477"/>
    <cellStyle name="Moneda 8 3 2 3" xfId="478"/>
    <cellStyle name="Moneda 8 3 3" xfId="479"/>
    <cellStyle name="Moneda 8 3 3 2" xfId="480"/>
    <cellStyle name="Moneda 8 3 3 2 2" xfId="481"/>
    <cellStyle name="Moneda 8 3 3 3" xfId="482"/>
    <cellStyle name="Moneda 8 3 4" xfId="483"/>
    <cellStyle name="Moneda 8 3 4 2" xfId="484"/>
    <cellStyle name="Moneda 8 3 5" xfId="485"/>
    <cellStyle name="Moneda 8 4" xfId="486"/>
    <cellStyle name="Moneda 8 4 2" xfId="487"/>
    <cellStyle name="Moneda 8 4 2 2" xfId="488"/>
    <cellStyle name="Moneda 8 4 3" xfId="489"/>
    <cellStyle name="Moneda 8 5" xfId="490"/>
    <cellStyle name="Moneda 8 5 2" xfId="491"/>
    <cellStyle name="Moneda 8 5 2 2" xfId="492"/>
    <cellStyle name="Moneda 8 5 3" xfId="493"/>
    <cellStyle name="Moneda 8 6" xfId="494"/>
    <cellStyle name="Moneda 8 6 2" xfId="495"/>
    <cellStyle name="Moneda 8 7" xfId="496"/>
    <cellStyle name="Moneda 9" xfId="497"/>
    <cellStyle name="Neutral" xfId="1521" builtinId="28" customBuiltin="1"/>
    <cellStyle name="Neutral 2" xfId="498"/>
    <cellStyle name="Neutral 3" xfId="499"/>
    <cellStyle name="Normal" xfId="0" builtinId="0"/>
    <cellStyle name="Normal 10" xfId="500"/>
    <cellStyle name="Normal 11" xfId="501"/>
    <cellStyle name="Normal 12" xfId="24"/>
    <cellStyle name="Normal 12 2" xfId="1557"/>
    <cellStyle name="Normal 13" xfId="1554"/>
    <cellStyle name="Normal 14" xfId="1555"/>
    <cellStyle name="Normal 15" xfId="1558"/>
    <cellStyle name="Normal 16" xfId="1561"/>
    <cellStyle name="Normal 17" xfId="1564"/>
    <cellStyle name="Normal 17 2" xfId="1582"/>
    <cellStyle name="Normal 18" xfId="1567"/>
    <cellStyle name="Normal 19" xfId="1570"/>
    <cellStyle name="Normal 2" xfId="3"/>
    <cellStyle name="Normal 2 2" xfId="503"/>
    <cellStyle name="Normal 2 2 2" xfId="1583"/>
    <cellStyle name="Normal 2 3" xfId="504"/>
    <cellStyle name="Normal 2 3 2" xfId="505"/>
    <cellStyle name="Normal 2 3 2 2" xfId="506"/>
    <cellStyle name="Normal 2 3 2 2 2" xfId="507"/>
    <cellStyle name="Normal 2 3 2 3" xfId="508"/>
    <cellStyle name="Normal 2 3 3" xfId="509"/>
    <cellStyle name="Normal 2 3 3 2" xfId="510"/>
    <cellStyle name="Normal 2 3 3 2 2" xfId="511"/>
    <cellStyle name="Normal 2 3 3 3" xfId="512"/>
    <cellStyle name="Normal 2 3 4" xfId="513"/>
    <cellStyle name="Normal 2 3 4 2" xfId="514"/>
    <cellStyle name="Normal 2 3 5" xfId="515"/>
    <cellStyle name="Normal 2 4" xfId="516"/>
    <cellStyle name="Normal 2 4 2" xfId="517"/>
    <cellStyle name="Normal 2 4 2 2" xfId="518"/>
    <cellStyle name="Normal 2 4 3" xfId="519"/>
    <cellStyle name="Normal 2 5" xfId="520"/>
    <cellStyle name="Normal 2 5 2" xfId="521"/>
    <cellStyle name="Normal 2 5 2 2" xfId="522"/>
    <cellStyle name="Normal 2 5 3" xfId="523"/>
    <cellStyle name="Normal 2 6" xfId="524"/>
    <cellStyle name="Normal 2 6 2" xfId="525"/>
    <cellStyle name="Normal 2 7" xfId="526"/>
    <cellStyle name="Normal 2 8" xfId="502"/>
    <cellStyle name="Normal 20" xfId="1572"/>
    <cellStyle name="Normal 21" xfId="1574"/>
    <cellStyle name="Normal 22" xfId="1575"/>
    <cellStyle name="Normal 23" xfId="1578"/>
    <cellStyle name="Normal 23 2" xfId="1584"/>
    <cellStyle name="Normal 24" xfId="1587"/>
    <cellStyle name="Normal 25" xfId="1591"/>
    <cellStyle name="Normal 26" xfId="1598"/>
    <cellStyle name="Normal 3" xfId="21"/>
    <cellStyle name="Normal 3 2" xfId="528"/>
    <cellStyle name="Normal 3 3" xfId="529"/>
    <cellStyle name="Normal 3 4" xfId="530"/>
    <cellStyle name="Normal 3 5" xfId="531"/>
    <cellStyle name="Normal 3 6" xfId="527"/>
    <cellStyle name="Normal 34" xfId="1586"/>
    <cellStyle name="Normal 4" xfId="532"/>
    <cellStyle name="Normal 4 2" xfId="1495"/>
    <cellStyle name="Normal 5" xfId="4"/>
    <cellStyle name="Normal 5 2" xfId="7"/>
    <cellStyle name="Normal 5 2 2" xfId="9"/>
    <cellStyle name="Normal 5 2 2 2" xfId="14"/>
    <cellStyle name="Normal 5 2 2 2 2" xfId="1505"/>
    <cellStyle name="Normal 5 2 2 3" xfId="19"/>
    <cellStyle name="Normal 5 2 2 3 2" xfId="1510"/>
    <cellStyle name="Normal 5 2 2 4" xfId="1500"/>
    <cellStyle name="Normal 5 2 3" xfId="12"/>
    <cellStyle name="Normal 5 2 3 2" xfId="1503"/>
    <cellStyle name="Normal 5 2 4" xfId="17"/>
    <cellStyle name="Normal 5 2 4 2" xfId="1508"/>
    <cellStyle name="Normal 5 2 5" xfId="1498"/>
    <cellStyle name="Normal 5 3" xfId="8"/>
    <cellStyle name="Normal 5 3 2" xfId="13"/>
    <cellStyle name="Normal 5 3 2 2" xfId="1504"/>
    <cellStyle name="Normal 5 3 3" xfId="18"/>
    <cellStyle name="Normal 5 3 3 2" xfId="1509"/>
    <cellStyle name="Normal 5 3 4" xfId="1499"/>
    <cellStyle name="Normal 5 4" xfId="10"/>
    <cellStyle name="Normal 5 4 2" xfId="15"/>
    <cellStyle name="Normal 5 4 2 2" xfId="1506"/>
    <cellStyle name="Normal 5 4 3" xfId="20"/>
    <cellStyle name="Normal 5 4 3 2" xfId="1511"/>
    <cellStyle name="Normal 5 4 4" xfId="1501"/>
    <cellStyle name="Normal 5 5" xfId="11"/>
    <cellStyle name="Normal 5 5 2" xfId="1502"/>
    <cellStyle name="Normal 5 6" xfId="16"/>
    <cellStyle name="Normal 5 6 2" xfId="1507"/>
    <cellStyle name="Normal 5 7" xfId="533"/>
    <cellStyle name="Normal 5 8" xfId="1497"/>
    <cellStyle name="Normal 6" xfId="534"/>
    <cellStyle name="Normal 6 2" xfId="535"/>
    <cellStyle name="Normal 6 2 2" xfId="536"/>
    <cellStyle name="Normal 6 2 2 2" xfId="537"/>
    <cellStyle name="Normal 6 2 2 2 2" xfId="538"/>
    <cellStyle name="Normal 6 2 2 2 2 2" xfId="539"/>
    <cellStyle name="Normal 6 2 2 2 3" xfId="540"/>
    <cellStyle name="Normal 6 2 2 3" xfId="541"/>
    <cellStyle name="Normal 6 2 2 3 2" xfId="542"/>
    <cellStyle name="Normal 6 2 2 3 2 2" xfId="543"/>
    <cellStyle name="Normal 6 2 2 3 3" xfId="544"/>
    <cellStyle name="Normal 6 2 2 4" xfId="545"/>
    <cellStyle name="Normal 6 2 2 4 2" xfId="546"/>
    <cellStyle name="Normal 6 2 2 5" xfId="547"/>
    <cellStyle name="Normal 6 2 3" xfId="548"/>
    <cellStyle name="Normal 6 2 3 2" xfId="549"/>
    <cellStyle name="Normal 6 2 3 2 2" xfId="550"/>
    <cellStyle name="Normal 6 2 3 3" xfId="551"/>
    <cellStyle name="Normal 6 2 4" xfId="552"/>
    <cellStyle name="Normal 6 2 4 2" xfId="553"/>
    <cellStyle name="Normal 6 2 4 2 2" xfId="554"/>
    <cellStyle name="Normal 6 2 4 3" xfId="555"/>
    <cellStyle name="Normal 6 2 5" xfId="556"/>
    <cellStyle name="Normal 6 2 5 2" xfId="557"/>
    <cellStyle name="Normal 6 2 6" xfId="558"/>
    <cellStyle name="Normal 6 3" xfId="559"/>
    <cellStyle name="Normal 6 3 2" xfId="560"/>
    <cellStyle name="Normal 6 3 2 2" xfId="561"/>
    <cellStyle name="Normal 6 3 2 2 2" xfId="562"/>
    <cellStyle name="Normal 6 3 2 3" xfId="563"/>
    <cellStyle name="Normal 6 3 3" xfId="564"/>
    <cellStyle name="Normal 6 3 3 2" xfId="565"/>
    <cellStyle name="Normal 6 3 3 2 2" xfId="566"/>
    <cellStyle name="Normal 6 3 3 3" xfId="567"/>
    <cellStyle name="Normal 6 3 4" xfId="568"/>
    <cellStyle name="Normal 6 3 4 2" xfId="569"/>
    <cellStyle name="Normal 6 3 5" xfId="570"/>
    <cellStyle name="Normal 6 4" xfId="571"/>
    <cellStyle name="Normal 6 4 2" xfId="572"/>
    <cellStyle name="Normal 6 4 2 2" xfId="573"/>
    <cellStyle name="Normal 6 4 3" xfId="574"/>
    <cellStyle name="Normal 6 5" xfId="575"/>
    <cellStyle name="Normal 6 5 2" xfId="576"/>
    <cellStyle name="Normal 6 5 2 2" xfId="577"/>
    <cellStyle name="Normal 6 5 3" xfId="578"/>
    <cellStyle name="Normal 6 6" xfId="579"/>
    <cellStyle name="Normal 6 6 2" xfId="580"/>
    <cellStyle name="Normal 6 7" xfId="581"/>
    <cellStyle name="Normal 7" xfId="582"/>
    <cellStyle name="Normal 8" xfId="583"/>
    <cellStyle name="Normal 9" xfId="584"/>
    <cellStyle name="Notas 2" xfId="585"/>
    <cellStyle name="Notas 2 10" xfId="586"/>
    <cellStyle name="Notas 2 10 2" xfId="587"/>
    <cellStyle name="Notas 2 10 2 2" xfId="588"/>
    <cellStyle name="Notas 2 10 3" xfId="589"/>
    <cellStyle name="Notas 2 11" xfId="590"/>
    <cellStyle name="Notas 2 11 2" xfId="591"/>
    <cellStyle name="Notas 2 11 2 2" xfId="592"/>
    <cellStyle name="Notas 2 11 3" xfId="593"/>
    <cellStyle name="Notas 2 12" xfId="594"/>
    <cellStyle name="Notas 2 12 2" xfId="595"/>
    <cellStyle name="Notas 2 12 2 2" xfId="596"/>
    <cellStyle name="Notas 2 12 3" xfId="597"/>
    <cellStyle name="Notas 2 13" xfId="598"/>
    <cellStyle name="Notas 2 13 2" xfId="599"/>
    <cellStyle name="Notas 2 13 2 2" xfId="600"/>
    <cellStyle name="Notas 2 13 3" xfId="601"/>
    <cellStyle name="Notas 2 14" xfId="602"/>
    <cellStyle name="Notas 2 14 2" xfId="603"/>
    <cellStyle name="Notas 2 14 2 2" xfId="604"/>
    <cellStyle name="Notas 2 14 3" xfId="605"/>
    <cellStyle name="Notas 2 15" xfId="606"/>
    <cellStyle name="Notas 2 15 2" xfId="607"/>
    <cellStyle name="Notas 2 16" xfId="608"/>
    <cellStyle name="Notas 2 2" xfId="609"/>
    <cellStyle name="Notas 2 2 10" xfId="610"/>
    <cellStyle name="Notas 2 2 10 2" xfId="611"/>
    <cellStyle name="Notas 2 2 10 2 2" xfId="612"/>
    <cellStyle name="Notas 2 2 10 3" xfId="613"/>
    <cellStyle name="Notas 2 2 11" xfId="614"/>
    <cellStyle name="Notas 2 2 11 2" xfId="615"/>
    <cellStyle name="Notas 2 2 11 2 2" xfId="616"/>
    <cellStyle name="Notas 2 2 11 3" xfId="617"/>
    <cellStyle name="Notas 2 2 12" xfId="618"/>
    <cellStyle name="Notas 2 2 12 2" xfId="619"/>
    <cellStyle name="Notas 2 2 12 2 2" xfId="620"/>
    <cellStyle name="Notas 2 2 12 3" xfId="621"/>
    <cellStyle name="Notas 2 2 13" xfId="622"/>
    <cellStyle name="Notas 2 2 13 2" xfId="623"/>
    <cellStyle name="Notas 2 2 13 2 2" xfId="624"/>
    <cellStyle name="Notas 2 2 13 3" xfId="625"/>
    <cellStyle name="Notas 2 2 14" xfId="626"/>
    <cellStyle name="Notas 2 2 14 2" xfId="627"/>
    <cellStyle name="Notas 2 2 15" xfId="628"/>
    <cellStyle name="Notas 2 2 2" xfId="629"/>
    <cellStyle name="Notas 2 2 2 10" xfId="630"/>
    <cellStyle name="Notas 2 2 2 10 2" xfId="631"/>
    <cellStyle name="Notas 2 2 2 10 2 2" xfId="632"/>
    <cellStyle name="Notas 2 2 2 10 3" xfId="633"/>
    <cellStyle name="Notas 2 2 2 11" xfId="634"/>
    <cellStyle name="Notas 2 2 2 11 2" xfId="635"/>
    <cellStyle name="Notas 2 2 2 11 2 2" xfId="636"/>
    <cellStyle name="Notas 2 2 2 11 3" xfId="637"/>
    <cellStyle name="Notas 2 2 2 12" xfId="638"/>
    <cellStyle name="Notas 2 2 2 12 2" xfId="639"/>
    <cellStyle name="Notas 2 2 2 12 2 2" xfId="640"/>
    <cellStyle name="Notas 2 2 2 12 3" xfId="641"/>
    <cellStyle name="Notas 2 2 2 13" xfId="642"/>
    <cellStyle name="Notas 2 2 2 13 2" xfId="643"/>
    <cellStyle name="Notas 2 2 2 14" xfId="644"/>
    <cellStyle name="Notas 2 2 2 2" xfId="645"/>
    <cellStyle name="Notas 2 2 2 2 10" xfId="646"/>
    <cellStyle name="Notas 2 2 2 2 10 2" xfId="647"/>
    <cellStyle name="Notas 2 2 2 2 10 2 2" xfId="648"/>
    <cellStyle name="Notas 2 2 2 2 10 3" xfId="649"/>
    <cellStyle name="Notas 2 2 2 2 11" xfId="650"/>
    <cellStyle name="Notas 2 2 2 2 11 2" xfId="651"/>
    <cellStyle name="Notas 2 2 2 2 12" xfId="652"/>
    <cellStyle name="Notas 2 2 2 2 2" xfId="653"/>
    <cellStyle name="Notas 2 2 2 2 2 2" xfId="654"/>
    <cellStyle name="Notas 2 2 2 2 2 2 2" xfId="655"/>
    <cellStyle name="Notas 2 2 2 2 2 3" xfId="656"/>
    <cellStyle name="Notas 2 2 2 2 3" xfId="657"/>
    <cellStyle name="Notas 2 2 2 2 3 2" xfId="658"/>
    <cellStyle name="Notas 2 2 2 2 3 2 2" xfId="659"/>
    <cellStyle name="Notas 2 2 2 2 3 3" xfId="660"/>
    <cellStyle name="Notas 2 2 2 2 4" xfId="661"/>
    <cellStyle name="Notas 2 2 2 2 4 2" xfId="662"/>
    <cellStyle name="Notas 2 2 2 2 4 2 2" xfId="663"/>
    <cellStyle name="Notas 2 2 2 2 4 3" xfId="664"/>
    <cellStyle name="Notas 2 2 2 2 5" xfId="665"/>
    <cellStyle name="Notas 2 2 2 2 5 2" xfId="666"/>
    <cellStyle name="Notas 2 2 2 2 5 2 2" xfId="667"/>
    <cellStyle name="Notas 2 2 2 2 5 3" xfId="668"/>
    <cellStyle name="Notas 2 2 2 2 6" xfId="669"/>
    <cellStyle name="Notas 2 2 2 2 6 2" xfId="670"/>
    <cellStyle name="Notas 2 2 2 2 6 2 2" xfId="671"/>
    <cellStyle name="Notas 2 2 2 2 6 3" xfId="672"/>
    <cellStyle name="Notas 2 2 2 2 7" xfId="673"/>
    <cellStyle name="Notas 2 2 2 2 7 2" xfId="674"/>
    <cellStyle name="Notas 2 2 2 2 7 2 2" xfId="675"/>
    <cellStyle name="Notas 2 2 2 2 7 3" xfId="676"/>
    <cellStyle name="Notas 2 2 2 2 8" xfId="677"/>
    <cellStyle name="Notas 2 2 2 2 8 2" xfId="678"/>
    <cellStyle name="Notas 2 2 2 2 8 2 2" xfId="679"/>
    <cellStyle name="Notas 2 2 2 2 8 3" xfId="680"/>
    <cellStyle name="Notas 2 2 2 2 9" xfId="681"/>
    <cellStyle name="Notas 2 2 2 2 9 2" xfId="682"/>
    <cellStyle name="Notas 2 2 2 2 9 2 2" xfId="683"/>
    <cellStyle name="Notas 2 2 2 2 9 3" xfId="684"/>
    <cellStyle name="Notas 2 2 2 3" xfId="685"/>
    <cellStyle name="Notas 2 2 2 3 10" xfId="686"/>
    <cellStyle name="Notas 2 2 2 3 10 2" xfId="687"/>
    <cellStyle name="Notas 2 2 2 3 10 2 2" xfId="688"/>
    <cellStyle name="Notas 2 2 2 3 10 3" xfId="689"/>
    <cellStyle name="Notas 2 2 2 3 11" xfId="690"/>
    <cellStyle name="Notas 2 2 2 3 11 2" xfId="691"/>
    <cellStyle name="Notas 2 2 2 3 12" xfId="692"/>
    <cellStyle name="Notas 2 2 2 3 2" xfId="693"/>
    <cellStyle name="Notas 2 2 2 3 2 2" xfId="694"/>
    <cellStyle name="Notas 2 2 2 3 2 2 2" xfId="695"/>
    <cellStyle name="Notas 2 2 2 3 2 3" xfId="696"/>
    <cellStyle name="Notas 2 2 2 3 3" xfId="697"/>
    <cellStyle name="Notas 2 2 2 3 3 2" xfId="698"/>
    <cellStyle name="Notas 2 2 2 3 3 2 2" xfId="699"/>
    <cellStyle name="Notas 2 2 2 3 3 3" xfId="700"/>
    <cellStyle name="Notas 2 2 2 3 4" xfId="701"/>
    <cellStyle name="Notas 2 2 2 3 4 2" xfId="702"/>
    <cellStyle name="Notas 2 2 2 3 4 2 2" xfId="703"/>
    <cellStyle name="Notas 2 2 2 3 4 3" xfId="704"/>
    <cellStyle name="Notas 2 2 2 3 5" xfId="705"/>
    <cellStyle name="Notas 2 2 2 3 5 2" xfId="706"/>
    <cellStyle name="Notas 2 2 2 3 5 2 2" xfId="707"/>
    <cellStyle name="Notas 2 2 2 3 5 3" xfId="708"/>
    <cellStyle name="Notas 2 2 2 3 6" xfId="709"/>
    <cellStyle name="Notas 2 2 2 3 6 2" xfId="710"/>
    <cellStyle name="Notas 2 2 2 3 6 2 2" xfId="711"/>
    <cellStyle name="Notas 2 2 2 3 6 3" xfId="712"/>
    <cellStyle name="Notas 2 2 2 3 7" xfId="713"/>
    <cellStyle name="Notas 2 2 2 3 7 2" xfId="714"/>
    <cellStyle name="Notas 2 2 2 3 7 2 2" xfId="715"/>
    <cellStyle name="Notas 2 2 2 3 7 3" xfId="716"/>
    <cellStyle name="Notas 2 2 2 3 8" xfId="717"/>
    <cellStyle name="Notas 2 2 2 3 8 2" xfId="718"/>
    <cellStyle name="Notas 2 2 2 3 8 2 2" xfId="719"/>
    <cellStyle name="Notas 2 2 2 3 8 3" xfId="720"/>
    <cellStyle name="Notas 2 2 2 3 9" xfId="721"/>
    <cellStyle name="Notas 2 2 2 3 9 2" xfId="722"/>
    <cellStyle name="Notas 2 2 2 3 9 2 2" xfId="723"/>
    <cellStyle name="Notas 2 2 2 3 9 3" xfId="724"/>
    <cellStyle name="Notas 2 2 2 4" xfId="725"/>
    <cellStyle name="Notas 2 2 2 4 2" xfId="726"/>
    <cellStyle name="Notas 2 2 2 4 2 2" xfId="727"/>
    <cellStyle name="Notas 2 2 2 4 3" xfId="728"/>
    <cellStyle name="Notas 2 2 2 5" xfId="729"/>
    <cellStyle name="Notas 2 2 2 5 2" xfId="730"/>
    <cellStyle name="Notas 2 2 2 5 2 2" xfId="731"/>
    <cellStyle name="Notas 2 2 2 5 3" xfId="732"/>
    <cellStyle name="Notas 2 2 2 6" xfId="733"/>
    <cellStyle name="Notas 2 2 2 6 2" xfId="734"/>
    <cellStyle name="Notas 2 2 2 6 2 2" xfId="735"/>
    <cellStyle name="Notas 2 2 2 6 3" xfId="736"/>
    <cellStyle name="Notas 2 2 2 7" xfId="737"/>
    <cellStyle name="Notas 2 2 2 7 2" xfId="738"/>
    <cellStyle name="Notas 2 2 2 7 2 2" xfId="739"/>
    <cellStyle name="Notas 2 2 2 7 3" xfId="740"/>
    <cellStyle name="Notas 2 2 2 8" xfId="741"/>
    <cellStyle name="Notas 2 2 2 8 2" xfId="742"/>
    <cellStyle name="Notas 2 2 2 8 2 2" xfId="743"/>
    <cellStyle name="Notas 2 2 2 8 3" xfId="744"/>
    <cellStyle name="Notas 2 2 2 9" xfId="745"/>
    <cellStyle name="Notas 2 2 2 9 2" xfId="746"/>
    <cellStyle name="Notas 2 2 2 9 2 2" xfId="747"/>
    <cellStyle name="Notas 2 2 2 9 3" xfId="748"/>
    <cellStyle name="Notas 2 2 3" xfId="749"/>
    <cellStyle name="Notas 2 2 3 10" xfId="750"/>
    <cellStyle name="Notas 2 2 3 10 2" xfId="751"/>
    <cellStyle name="Notas 2 2 3 10 2 2" xfId="752"/>
    <cellStyle name="Notas 2 2 3 10 3" xfId="753"/>
    <cellStyle name="Notas 2 2 3 11" xfId="754"/>
    <cellStyle name="Notas 2 2 3 11 2" xfId="755"/>
    <cellStyle name="Notas 2 2 3 12" xfId="756"/>
    <cellStyle name="Notas 2 2 3 2" xfId="757"/>
    <cellStyle name="Notas 2 2 3 2 2" xfId="758"/>
    <cellStyle name="Notas 2 2 3 2 2 2" xfId="759"/>
    <cellStyle name="Notas 2 2 3 2 3" xfId="760"/>
    <cellStyle name="Notas 2 2 3 3" xfId="761"/>
    <cellStyle name="Notas 2 2 3 3 2" xfId="762"/>
    <cellStyle name="Notas 2 2 3 3 2 2" xfId="763"/>
    <cellStyle name="Notas 2 2 3 3 3" xfId="764"/>
    <cellStyle name="Notas 2 2 3 4" xfId="765"/>
    <cellStyle name="Notas 2 2 3 4 2" xfId="766"/>
    <cellStyle name="Notas 2 2 3 4 2 2" xfId="767"/>
    <cellStyle name="Notas 2 2 3 4 3" xfId="768"/>
    <cellStyle name="Notas 2 2 3 5" xfId="769"/>
    <cellStyle name="Notas 2 2 3 5 2" xfId="770"/>
    <cellStyle name="Notas 2 2 3 5 2 2" xfId="771"/>
    <cellStyle name="Notas 2 2 3 5 3" xfId="772"/>
    <cellStyle name="Notas 2 2 3 6" xfId="773"/>
    <cellStyle name="Notas 2 2 3 6 2" xfId="774"/>
    <cellStyle name="Notas 2 2 3 6 2 2" xfId="775"/>
    <cellStyle name="Notas 2 2 3 6 3" xfId="776"/>
    <cellStyle name="Notas 2 2 3 7" xfId="777"/>
    <cellStyle name="Notas 2 2 3 7 2" xfId="778"/>
    <cellStyle name="Notas 2 2 3 7 2 2" xfId="779"/>
    <cellStyle name="Notas 2 2 3 7 3" xfId="780"/>
    <cellStyle name="Notas 2 2 3 8" xfId="781"/>
    <cellStyle name="Notas 2 2 3 8 2" xfId="782"/>
    <cellStyle name="Notas 2 2 3 8 2 2" xfId="783"/>
    <cellStyle name="Notas 2 2 3 8 3" xfId="784"/>
    <cellStyle name="Notas 2 2 3 9" xfId="785"/>
    <cellStyle name="Notas 2 2 3 9 2" xfId="786"/>
    <cellStyle name="Notas 2 2 3 9 2 2" xfId="787"/>
    <cellStyle name="Notas 2 2 3 9 3" xfId="788"/>
    <cellStyle name="Notas 2 2 4" xfId="789"/>
    <cellStyle name="Notas 2 2 4 10" xfId="790"/>
    <cellStyle name="Notas 2 2 4 10 2" xfId="791"/>
    <cellStyle name="Notas 2 2 4 10 2 2" xfId="792"/>
    <cellStyle name="Notas 2 2 4 10 3" xfId="793"/>
    <cellStyle name="Notas 2 2 4 11" xfId="794"/>
    <cellStyle name="Notas 2 2 4 11 2" xfId="795"/>
    <cellStyle name="Notas 2 2 4 12" xfId="796"/>
    <cellStyle name="Notas 2 2 4 2" xfId="797"/>
    <cellStyle name="Notas 2 2 4 2 2" xfId="798"/>
    <cellStyle name="Notas 2 2 4 2 2 2" xfId="799"/>
    <cellStyle name="Notas 2 2 4 2 3" xfId="800"/>
    <cellStyle name="Notas 2 2 4 3" xfId="801"/>
    <cellStyle name="Notas 2 2 4 3 2" xfId="802"/>
    <cellStyle name="Notas 2 2 4 3 2 2" xfId="803"/>
    <cellStyle name="Notas 2 2 4 3 3" xfId="804"/>
    <cellStyle name="Notas 2 2 4 4" xfId="805"/>
    <cellStyle name="Notas 2 2 4 4 2" xfId="806"/>
    <cellStyle name="Notas 2 2 4 4 2 2" xfId="807"/>
    <cellStyle name="Notas 2 2 4 4 3" xfId="808"/>
    <cellStyle name="Notas 2 2 4 5" xfId="809"/>
    <cellStyle name="Notas 2 2 4 5 2" xfId="810"/>
    <cellStyle name="Notas 2 2 4 5 2 2" xfId="811"/>
    <cellStyle name="Notas 2 2 4 5 3" xfId="812"/>
    <cellStyle name="Notas 2 2 4 6" xfId="813"/>
    <cellStyle name="Notas 2 2 4 6 2" xfId="814"/>
    <cellStyle name="Notas 2 2 4 6 2 2" xfId="815"/>
    <cellStyle name="Notas 2 2 4 6 3" xfId="816"/>
    <cellStyle name="Notas 2 2 4 7" xfId="817"/>
    <cellStyle name="Notas 2 2 4 7 2" xfId="818"/>
    <cellStyle name="Notas 2 2 4 7 2 2" xfId="819"/>
    <cellStyle name="Notas 2 2 4 7 3" xfId="820"/>
    <cellStyle name="Notas 2 2 4 8" xfId="821"/>
    <cellStyle name="Notas 2 2 4 8 2" xfId="822"/>
    <cellStyle name="Notas 2 2 4 8 2 2" xfId="823"/>
    <cellStyle name="Notas 2 2 4 8 3" xfId="824"/>
    <cellStyle name="Notas 2 2 4 9" xfId="825"/>
    <cellStyle name="Notas 2 2 4 9 2" xfId="826"/>
    <cellStyle name="Notas 2 2 4 9 2 2" xfId="827"/>
    <cellStyle name="Notas 2 2 4 9 3" xfId="828"/>
    <cellStyle name="Notas 2 2 5" xfId="829"/>
    <cellStyle name="Notas 2 2 5 2" xfId="830"/>
    <cellStyle name="Notas 2 2 5 2 2" xfId="831"/>
    <cellStyle name="Notas 2 2 5 3" xfId="832"/>
    <cellStyle name="Notas 2 2 6" xfId="833"/>
    <cellStyle name="Notas 2 2 6 2" xfId="834"/>
    <cellStyle name="Notas 2 2 6 2 2" xfId="835"/>
    <cellStyle name="Notas 2 2 6 3" xfId="836"/>
    <cellStyle name="Notas 2 2 7" xfId="837"/>
    <cellStyle name="Notas 2 2 7 2" xfId="838"/>
    <cellStyle name="Notas 2 2 7 2 2" xfId="839"/>
    <cellStyle name="Notas 2 2 7 3" xfId="840"/>
    <cellStyle name="Notas 2 2 8" xfId="841"/>
    <cellStyle name="Notas 2 2 8 2" xfId="842"/>
    <cellStyle name="Notas 2 2 8 2 2" xfId="843"/>
    <cellStyle name="Notas 2 2 8 3" xfId="844"/>
    <cellStyle name="Notas 2 2 9" xfId="845"/>
    <cellStyle name="Notas 2 2 9 2" xfId="846"/>
    <cellStyle name="Notas 2 2 9 2 2" xfId="847"/>
    <cellStyle name="Notas 2 2 9 3" xfId="848"/>
    <cellStyle name="Notas 2 3" xfId="849"/>
    <cellStyle name="Notas 2 3 10" xfId="850"/>
    <cellStyle name="Notas 2 3 10 2" xfId="851"/>
    <cellStyle name="Notas 2 3 10 2 2" xfId="852"/>
    <cellStyle name="Notas 2 3 10 3" xfId="853"/>
    <cellStyle name="Notas 2 3 11" xfId="854"/>
    <cellStyle name="Notas 2 3 11 2" xfId="855"/>
    <cellStyle name="Notas 2 3 11 2 2" xfId="856"/>
    <cellStyle name="Notas 2 3 11 3" xfId="857"/>
    <cellStyle name="Notas 2 3 12" xfId="858"/>
    <cellStyle name="Notas 2 3 12 2" xfId="859"/>
    <cellStyle name="Notas 2 3 12 2 2" xfId="860"/>
    <cellStyle name="Notas 2 3 12 3" xfId="861"/>
    <cellStyle name="Notas 2 3 13" xfId="862"/>
    <cellStyle name="Notas 2 3 13 2" xfId="863"/>
    <cellStyle name="Notas 2 3 14" xfId="864"/>
    <cellStyle name="Notas 2 3 2" xfId="865"/>
    <cellStyle name="Notas 2 3 2 10" xfId="866"/>
    <cellStyle name="Notas 2 3 2 10 2" xfId="867"/>
    <cellStyle name="Notas 2 3 2 10 2 2" xfId="868"/>
    <cellStyle name="Notas 2 3 2 10 3" xfId="869"/>
    <cellStyle name="Notas 2 3 2 11" xfId="870"/>
    <cellStyle name="Notas 2 3 2 11 2" xfId="871"/>
    <cellStyle name="Notas 2 3 2 12" xfId="872"/>
    <cellStyle name="Notas 2 3 2 2" xfId="873"/>
    <cellStyle name="Notas 2 3 2 2 2" xfId="874"/>
    <cellStyle name="Notas 2 3 2 2 2 2" xfId="875"/>
    <cellStyle name="Notas 2 3 2 2 3" xfId="876"/>
    <cellStyle name="Notas 2 3 2 3" xfId="877"/>
    <cellStyle name="Notas 2 3 2 3 2" xfId="878"/>
    <cellStyle name="Notas 2 3 2 3 2 2" xfId="879"/>
    <cellStyle name="Notas 2 3 2 3 3" xfId="880"/>
    <cellStyle name="Notas 2 3 2 4" xfId="881"/>
    <cellStyle name="Notas 2 3 2 4 2" xfId="882"/>
    <cellStyle name="Notas 2 3 2 4 2 2" xfId="883"/>
    <cellStyle name="Notas 2 3 2 4 3" xfId="884"/>
    <cellStyle name="Notas 2 3 2 5" xfId="885"/>
    <cellStyle name="Notas 2 3 2 5 2" xfId="886"/>
    <cellStyle name="Notas 2 3 2 5 2 2" xfId="887"/>
    <cellStyle name="Notas 2 3 2 5 3" xfId="888"/>
    <cellStyle name="Notas 2 3 2 6" xfId="889"/>
    <cellStyle name="Notas 2 3 2 6 2" xfId="890"/>
    <cellStyle name="Notas 2 3 2 6 2 2" xfId="891"/>
    <cellStyle name="Notas 2 3 2 6 3" xfId="892"/>
    <cellStyle name="Notas 2 3 2 7" xfId="893"/>
    <cellStyle name="Notas 2 3 2 7 2" xfId="894"/>
    <cellStyle name="Notas 2 3 2 7 2 2" xfId="895"/>
    <cellStyle name="Notas 2 3 2 7 3" xfId="896"/>
    <cellStyle name="Notas 2 3 2 8" xfId="897"/>
    <cellStyle name="Notas 2 3 2 8 2" xfId="898"/>
    <cellStyle name="Notas 2 3 2 8 2 2" xfId="899"/>
    <cellStyle name="Notas 2 3 2 8 3" xfId="900"/>
    <cellStyle name="Notas 2 3 2 9" xfId="901"/>
    <cellStyle name="Notas 2 3 2 9 2" xfId="902"/>
    <cellStyle name="Notas 2 3 2 9 2 2" xfId="903"/>
    <cellStyle name="Notas 2 3 2 9 3" xfId="904"/>
    <cellStyle name="Notas 2 3 3" xfId="905"/>
    <cellStyle name="Notas 2 3 3 10" xfId="906"/>
    <cellStyle name="Notas 2 3 3 10 2" xfId="907"/>
    <cellStyle name="Notas 2 3 3 10 2 2" xfId="908"/>
    <cellStyle name="Notas 2 3 3 10 3" xfId="909"/>
    <cellStyle name="Notas 2 3 3 11" xfId="910"/>
    <cellStyle name="Notas 2 3 3 11 2" xfId="911"/>
    <cellStyle name="Notas 2 3 3 12" xfId="912"/>
    <cellStyle name="Notas 2 3 3 2" xfId="913"/>
    <cellStyle name="Notas 2 3 3 2 2" xfId="914"/>
    <cellStyle name="Notas 2 3 3 2 2 2" xfId="915"/>
    <cellStyle name="Notas 2 3 3 2 3" xfId="916"/>
    <cellStyle name="Notas 2 3 3 3" xfId="917"/>
    <cellStyle name="Notas 2 3 3 3 2" xfId="918"/>
    <cellStyle name="Notas 2 3 3 3 2 2" xfId="919"/>
    <cellStyle name="Notas 2 3 3 3 3" xfId="920"/>
    <cellStyle name="Notas 2 3 3 4" xfId="921"/>
    <cellStyle name="Notas 2 3 3 4 2" xfId="922"/>
    <cellStyle name="Notas 2 3 3 4 2 2" xfId="923"/>
    <cellStyle name="Notas 2 3 3 4 3" xfId="924"/>
    <cellStyle name="Notas 2 3 3 5" xfId="925"/>
    <cellStyle name="Notas 2 3 3 5 2" xfId="926"/>
    <cellStyle name="Notas 2 3 3 5 2 2" xfId="927"/>
    <cellStyle name="Notas 2 3 3 5 3" xfId="928"/>
    <cellStyle name="Notas 2 3 3 6" xfId="929"/>
    <cellStyle name="Notas 2 3 3 6 2" xfId="930"/>
    <cellStyle name="Notas 2 3 3 6 2 2" xfId="931"/>
    <cellStyle name="Notas 2 3 3 6 3" xfId="932"/>
    <cellStyle name="Notas 2 3 3 7" xfId="933"/>
    <cellStyle name="Notas 2 3 3 7 2" xfId="934"/>
    <cellStyle name="Notas 2 3 3 7 2 2" xfId="935"/>
    <cellStyle name="Notas 2 3 3 7 3" xfId="936"/>
    <cellStyle name="Notas 2 3 3 8" xfId="937"/>
    <cellStyle name="Notas 2 3 3 8 2" xfId="938"/>
    <cellStyle name="Notas 2 3 3 8 2 2" xfId="939"/>
    <cellStyle name="Notas 2 3 3 8 3" xfId="940"/>
    <cellStyle name="Notas 2 3 3 9" xfId="941"/>
    <cellStyle name="Notas 2 3 3 9 2" xfId="942"/>
    <cellStyle name="Notas 2 3 3 9 2 2" xfId="943"/>
    <cellStyle name="Notas 2 3 3 9 3" xfId="944"/>
    <cellStyle name="Notas 2 3 4" xfId="945"/>
    <cellStyle name="Notas 2 3 4 2" xfId="946"/>
    <cellStyle name="Notas 2 3 4 2 2" xfId="947"/>
    <cellStyle name="Notas 2 3 4 3" xfId="948"/>
    <cellStyle name="Notas 2 3 5" xfId="949"/>
    <cellStyle name="Notas 2 3 5 2" xfId="950"/>
    <cellStyle name="Notas 2 3 5 2 2" xfId="951"/>
    <cellStyle name="Notas 2 3 5 3" xfId="952"/>
    <cellStyle name="Notas 2 3 6" xfId="953"/>
    <cellStyle name="Notas 2 3 6 2" xfId="954"/>
    <cellStyle name="Notas 2 3 6 2 2" xfId="955"/>
    <cellStyle name="Notas 2 3 6 3" xfId="956"/>
    <cellStyle name="Notas 2 3 7" xfId="957"/>
    <cellStyle name="Notas 2 3 7 2" xfId="958"/>
    <cellStyle name="Notas 2 3 7 2 2" xfId="959"/>
    <cellStyle name="Notas 2 3 7 3" xfId="960"/>
    <cellStyle name="Notas 2 3 8" xfId="961"/>
    <cellStyle name="Notas 2 3 8 2" xfId="962"/>
    <cellStyle name="Notas 2 3 8 2 2" xfId="963"/>
    <cellStyle name="Notas 2 3 8 3" xfId="964"/>
    <cellStyle name="Notas 2 3 9" xfId="965"/>
    <cellStyle name="Notas 2 3 9 2" xfId="966"/>
    <cellStyle name="Notas 2 3 9 2 2" xfId="967"/>
    <cellStyle name="Notas 2 3 9 3" xfId="968"/>
    <cellStyle name="Notas 2 4" xfId="969"/>
    <cellStyle name="Notas 2 4 10" xfId="970"/>
    <cellStyle name="Notas 2 4 10 2" xfId="971"/>
    <cellStyle name="Notas 2 4 10 2 2" xfId="972"/>
    <cellStyle name="Notas 2 4 10 3" xfId="973"/>
    <cellStyle name="Notas 2 4 11" xfId="974"/>
    <cellStyle name="Notas 2 4 11 2" xfId="975"/>
    <cellStyle name="Notas 2 4 12" xfId="976"/>
    <cellStyle name="Notas 2 4 2" xfId="977"/>
    <cellStyle name="Notas 2 4 2 2" xfId="978"/>
    <cellStyle name="Notas 2 4 2 2 2" xfId="979"/>
    <cellStyle name="Notas 2 4 2 3" xfId="980"/>
    <cellStyle name="Notas 2 4 3" xfId="981"/>
    <cellStyle name="Notas 2 4 3 2" xfId="982"/>
    <cellStyle name="Notas 2 4 3 2 2" xfId="983"/>
    <cellStyle name="Notas 2 4 3 3" xfId="984"/>
    <cellStyle name="Notas 2 4 4" xfId="985"/>
    <cellStyle name="Notas 2 4 4 2" xfId="986"/>
    <cellStyle name="Notas 2 4 4 2 2" xfId="987"/>
    <cellStyle name="Notas 2 4 4 3" xfId="988"/>
    <cellStyle name="Notas 2 4 5" xfId="989"/>
    <cellStyle name="Notas 2 4 5 2" xfId="990"/>
    <cellStyle name="Notas 2 4 5 2 2" xfId="991"/>
    <cellStyle name="Notas 2 4 5 3" xfId="992"/>
    <cellStyle name="Notas 2 4 6" xfId="993"/>
    <cellStyle name="Notas 2 4 6 2" xfId="994"/>
    <cellStyle name="Notas 2 4 6 2 2" xfId="995"/>
    <cellStyle name="Notas 2 4 6 3" xfId="996"/>
    <cellStyle name="Notas 2 4 7" xfId="997"/>
    <cellStyle name="Notas 2 4 7 2" xfId="998"/>
    <cellStyle name="Notas 2 4 7 2 2" xfId="999"/>
    <cellStyle name="Notas 2 4 7 3" xfId="1000"/>
    <cellStyle name="Notas 2 4 8" xfId="1001"/>
    <cellStyle name="Notas 2 4 8 2" xfId="1002"/>
    <cellStyle name="Notas 2 4 8 2 2" xfId="1003"/>
    <cellStyle name="Notas 2 4 8 3" xfId="1004"/>
    <cellStyle name="Notas 2 4 9" xfId="1005"/>
    <cellStyle name="Notas 2 4 9 2" xfId="1006"/>
    <cellStyle name="Notas 2 4 9 2 2" xfId="1007"/>
    <cellStyle name="Notas 2 4 9 3" xfId="1008"/>
    <cellStyle name="Notas 2 5" xfId="1009"/>
    <cellStyle name="Notas 2 5 10" xfId="1010"/>
    <cellStyle name="Notas 2 5 10 2" xfId="1011"/>
    <cellStyle name="Notas 2 5 10 2 2" xfId="1012"/>
    <cellStyle name="Notas 2 5 10 3" xfId="1013"/>
    <cellStyle name="Notas 2 5 11" xfId="1014"/>
    <cellStyle name="Notas 2 5 11 2" xfId="1015"/>
    <cellStyle name="Notas 2 5 12" xfId="1016"/>
    <cellStyle name="Notas 2 5 2" xfId="1017"/>
    <cellStyle name="Notas 2 5 2 2" xfId="1018"/>
    <cellStyle name="Notas 2 5 2 2 2" xfId="1019"/>
    <cellStyle name="Notas 2 5 2 3" xfId="1020"/>
    <cellStyle name="Notas 2 5 3" xfId="1021"/>
    <cellStyle name="Notas 2 5 3 2" xfId="1022"/>
    <cellStyle name="Notas 2 5 3 2 2" xfId="1023"/>
    <cellStyle name="Notas 2 5 3 3" xfId="1024"/>
    <cellStyle name="Notas 2 5 4" xfId="1025"/>
    <cellStyle name="Notas 2 5 4 2" xfId="1026"/>
    <cellStyle name="Notas 2 5 4 2 2" xfId="1027"/>
    <cellStyle name="Notas 2 5 4 3" xfId="1028"/>
    <cellStyle name="Notas 2 5 5" xfId="1029"/>
    <cellStyle name="Notas 2 5 5 2" xfId="1030"/>
    <cellStyle name="Notas 2 5 5 2 2" xfId="1031"/>
    <cellStyle name="Notas 2 5 5 3" xfId="1032"/>
    <cellStyle name="Notas 2 5 6" xfId="1033"/>
    <cellStyle name="Notas 2 5 6 2" xfId="1034"/>
    <cellStyle name="Notas 2 5 6 2 2" xfId="1035"/>
    <cellStyle name="Notas 2 5 6 3" xfId="1036"/>
    <cellStyle name="Notas 2 5 7" xfId="1037"/>
    <cellStyle name="Notas 2 5 7 2" xfId="1038"/>
    <cellStyle name="Notas 2 5 7 2 2" xfId="1039"/>
    <cellStyle name="Notas 2 5 7 3" xfId="1040"/>
    <cellStyle name="Notas 2 5 8" xfId="1041"/>
    <cellStyle name="Notas 2 5 8 2" xfId="1042"/>
    <cellStyle name="Notas 2 5 8 2 2" xfId="1043"/>
    <cellStyle name="Notas 2 5 8 3" xfId="1044"/>
    <cellStyle name="Notas 2 5 9" xfId="1045"/>
    <cellStyle name="Notas 2 5 9 2" xfId="1046"/>
    <cellStyle name="Notas 2 5 9 2 2" xfId="1047"/>
    <cellStyle name="Notas 2 5 9 3" xfId="1048"/>
    <cellStyle name="Notas 2 6" xfId="1049"/>
    <cellStyle name="Notas 2 6 2" xfId="1050"/>
    <cellStyle name="Notas 2 6 2 2" xfId="1051"/>
    <cellStyle name="Notas 2 6 3" xfId="1052"/>
    <cellStyle name="Notas 2 7" xfId="1053"/>
    <cellStyle name="Notas 2 7 2" xfId="1054"/>
    <cellStyle name="Notas 2 7 2 2" xfId="1055"/>
    <cellStyle name="Notas 2 7 3" xfId="1056"/>
    <cellStyle name="Notas 2 8" xfId="1057"/>
    <cellStyle name="Notas 2 8 2" xfId="1058"/>
    <cellStyle name="Notas 2 8 2 2" xfId="1059"/>
    <cellStyle name="Notas 2 8 3" xfId="1060"/>
    <cellStyle name="Notas 2 9" xfId="1061"/>
    <cellStyle name="Notas 2 9 2" xfId="1062"/>
    <cellStyle name="Notas 2 9 2 2" xfId="1063"/>
    <cellStyle name="Notas 2 9 3" xfId="1064"/>
    <cellStyle name="Notas 3" xfId="1065"/>
    <cellStyle name="Notas 3 10" xfId="1066"/>
    <cellStyle name="Notas 3 10 2" xfId="1067"/>
    <cellStyle name="Notas 3 10 2 2" xfId="1068"/>
    <cellStyle name="Notas 3 10 3" xfId="1069"/>
    <cellStyle name="Notas 3 11" xfId="1070"/>
    <cellStyle name="Notas 3 11 2" xfId="1071"/>
    <cellStyle name="Notas 3 11 2 2" xfId="1072"/>
    <cellStyle name="Notas 3 11 3" xfId="1073"/>
    <cellStyle name="Notas 3 12" xfId="1074"/>
    <cellStyle name="Notas 3 12 2" xfId="1075"/>
    <cellStyle name="Notas 3 12 2 2" xfId="1076"/>
    <cellStyle name="Notas 3 12 3" xfId="1077"/>
    <cellStyle name="Notas 3 13" xfId="1078"/>
    <cellStyle name="Notas 3 13 2" xfId="1079"/>
    <cellStyle name="Notas 3 14" xfId="1080"/>
    <cellStyle name="Notas 3 2" xfId="1081"/>
    <cellStyle name="Notas 3 2 10" xfId="1082"/>
    <cellStyle name="Notas 3 2 10 2" xfId="1083"/>
    <cellStyle name="Notas 3 2 10 2 2" xfId="1084"/>
    <cellStyle name="Notas 3 2 10 3" xfId="1085"/>
    <cellStyle name="Notas 3 2 11" xfId="1086"/>
    <cellStyle name="Notas 3 2 11 2" xfId="1087"/>
    <cellStyle name="Notas 3 2 12" xfId="1088"/>
    <cellStyle name="Notas 3 2 2" xfId="1089"/>
    <cellStyle name="Notas 3 2 2 2" xfId="1090"/>
    <cellStyle name="Notas 3 2 2 2 2" xfId="1091"/>
    <cellStyle name="Notas 3 2 2 3" xfId="1092"/>
    <cellStyle name="Notas 3 2 3" xfId="1093"/>
    <cellStyle name="Notas 3 2 3 2" xfId="1094"/>
    <cellStyle name="Notas 3 2 3 2 2" xfId="1095"/>
    <cellStyle name="Notas 3 2 3 3" xfId="1096"/>
    <cellStyle name="Notas 3 2 4" xfId="1097"/>
    <cellStyle name="Notas 3 2 4 2" xfId="1098"/>
    <cellStyle name="Notas 3 2 4 2 2" xfId="1099"/>
    <cellStyle name="Notas 3 2 4 3" xfId="1100"/>
    <cellStyle name="Notas 3 2 5" xfId="1101"/>
    <cellStyle name="Notas 3 2 5 2" xfId="1102"/>
    <cellStyle name="Notas 3 2 5 2 2" xfId="1103"/>
    <cellStyle name="Notas 3 2 5 3" xfId="1104"/>
    <cellStyle name="Notas 3 2 6" xfId="1105"/>
    <cellStyle name="Notas 3 2 6 2" xfId="1106"/>
    <cellStyle name="Notas 3 2 6 2 2" xfId="1107"/>
    <cellStyle name="Notas 3 2 6 3" xfId="1108"/>
    <cellStyle name="Notas 3 2 7" xfId="1109"/>
    <cellStyle name="Notas 3 2 7 2" xfId="1110"/>
    <cellStyle name="Notas 3 2 7 2 2" xfId="1111"/>
    <cellStyle name="Notas 3 2 7 3" xfId="1112"/>
    <cellStyle name="Notas 3 2 8" xfId="1113"/>
    <cellStyle name="Notas 3 2 8 2" xfId="1114"/>
    <cellStyle name="Notas 3 2 8 2 2" xfId="1115"/>
    <cellStyle name="Notas 3 2 8 3" xfId="1116"/>
    <cellStyle name="Notas 3 2 9" xfId="1117"/>
    <cellStyle name="Notas 3 2 9 2" xfId="1118"/>
    <cellStyle name="Notas 3 2 9 2 2" xfId="1119"/>
    <cellStyle name="Notas 3 2 9 3" xfId="1120"/>
    <cellStyle name="Notas 3 3" xfId="1121"/>
    <cellStyle name="Notas 3 3 10" xfId="1122"/>
    <cellStyle name="Notas 3 3 10 2" xfId="1123"/>
    <cellStyle name="Notas 3 3 10 2 2" xfId="1124"/>
    <cellStyle name="Notas 3 3 10 3" xfId="1125"/>
    <cellStyle name="Notas 3 3 11" xfId="1126"/>
    <cellStyle name="Notas 3 3 11 2" xfId="1127"/>
    <cellStyle name="Notas 3 3 12" xfId="1128"/>
    <cellStyle name="Notas 3 3 2" xfId="1129"/>
    <cellStyle name="Notas 3 3 2 2" xfId="1130"/>
    <cellStyle name="Notas 3 3 2 2 2" xfId="1131"/>
    <cellStyle name="Notas 3 3 2 3" xfId="1132"/>
    <cellStyle name="Notas 3 3 3" xfId="1133"/>
    <cellStyle name="Notas 3 3 3 2" xfId="1134"/>
    <cellStyle name="Notas 3 3 3 2 2" xfId="1135"/>
    <cellStyle name="Notas 3 3 3 3" xfId="1136"/>
    <cellStyle name="Notas 3 3 4" xfId="1137"/>
    <cellStyle name="Notas 3 3 4 2" xfId="1138"/>
    <cellStyle name="Notas 3 3 4 2 2" xfId="1139"/>
    <cellStyle name="Notas 3 3 4 3" xfId="1140"/>
    <cellStyle name="Notas 3 3 5" xfId="1141"/>
    <cellStyle name="Notas 3 3 5 2" xfId="1142"/>
    <cellStyle name="Notas 3 3 5 2 2" xfId="1143"/>
    <cellStyle name="Notas 3 3 5 3" xfId="1144"/>
    <cellStyle name="Notas 3 3 6" xfId="1145"/>
    <cellStyle name="Notas 3 3 6 2" xfId="1146"/>
    <cellStyle name="Notas 3 3 6 2 2" xfId="1147"/>
    <cellStyle name="Notas 3 3 6 3" xfId="1148"/>
    <cellStyle name="Notas 3 3 7" xfId="1149"/>
    <cellStyle name="Notas 3 3 7 2" xfId="1150"/>
    <cellStyle name="Notas 3 3 7 2 2" xfId="1151"/>
    <cellStyle name="Notas 3 3 7 3" xfId="1152"/>
    <cellStyle name="Notas 3 3 8" xfId="1153"/>
    <cellStyle name="Notas 3 3 8 2" xfId="1154"/>
    <cellStyle name="Notas 3 3 8 2 2" xfId="1155"/>
    <cellStyle name="Notas 3 3 8 3" xfId="1156"/>
    <cellStyle name="Notas 3 3 9" xfId="1157"/>
    <cellStyle name="Notas 3 3 9 2" xfId="1158"/>
    <cellStyle name="Notas 3 3 9 2 2" xfId="1159"/>
    <cellStyle name="Notas 3 3 9 3" xfId="1160"/>
    <cellStyle name="Notas 3 4" xfId="1161"/>
    <cellStyle name="Notas 3 4 2" xfId="1162"/>
    <cellStyle name="Notas 3 4 2 2" xfId="1163"/>
    <cellStyle name="Notas 3 4 3" xfId="1164"/>
    <cellStyle name="Notas 3 5" xfId="1165"/>
    <cellStyle name="Notas 3 5 2" xfId="1166"/>
    <cellStyle name="Notas 3 5 2 2" xfId="1167"/>
    <cellStyle name="Notas 3 5 3" xfId="1168"/>
    <cellStyle name="Notas 3 6" xfId="1169"/>
    <cellStyle name="Notas 3 6 2" xfId="1170"/>
    <cellStyle name="Notas 3 6 2 2" xfId="1171"/>
    <cellStyle name="Notas 3 6 3" xfId="1172"/>
    <cellStyle name="Notas 3 7" xfId="1173"/>
    <cellStyle name="Notas 3 7 2" xfId="1174"/>
    <cellStyle name="Notas 3 7 2 2" xfId="1175"/>
    <cellStyle name="Notas 3 7 3" xfId="1176"/>
    <cellStyle name="Notas 3 8" xfId="1177"/>
    <cellStyle name="Notas 3 8 2" xfId="1178"/>
    <cellStyle name="Notas 3 8 2 2" xfId="1179"/>
    <cellStyle name="Notas 3 8 3" xfId="1180"/>
    <cellStyle name="Notas 3 9" xfId="1181"/>
    <cellStyle name="Notas 3 9 2" xfId="1182"/>
    <cellStyle name="Notas 3 9 2 2" xfId="1183"/>
    <cellStyle name="Notas 3 9 3" xfId="1184"/>
    <cellStyle name="Notas 4" xfId="1185"/>
    <cellStyle name="Notas 5" xfId="1556"/>
    <cellStyle name="Output" xfId="1523" builtinId="21" customBuiltin="1"/>
    <cellStyle name="Percent" xfId="6"/>
    <cellStyle name="Percent 2" xfId="1186"/>
    <cellStyle name="Percent 3" xfId="1571"/>
    <cellStyle name="Percent 4" xfId="1581"/>
    <cellStyle name="Percent 5" xfId="1590"/>
    <cellStyle name="Percent 6" xfId="1599"/>
    <cellStyle name="Porcentagem 2" xfId="1580"/>
    <cellStyle name="Porcentaje 2" xfId="1187"/>
    <cellStyle name="Porcentaje 3" xfId="1496"/>
    <cellStyle name="Porcentaje 4" xfId="1560"/>
    <cellStyle name="Porcentaje 5" xfId="1563"/>
    <cellStyle name="Porcentaje 6" xfId="1566"/>
    <cellStyle name="Porcentaje 7" xfId="1569"/>
    <cellStyle name="Porcentual 2" xfId="1188"/>
    <cellStyle name="Porcentual 2 2" xfId="1189"/>
    <cellStyle name="Porcentual 2 2 2" xfId="1190"/>
    <cellStyle name="Porcentual 2 3" xfId="1191"/>
    <cellStyle name="Porcentual 2 3 2" xfId="1192"/>
    <cellStyle name="Porcentual 2 4" xfId="1193"/>
    <cellStyle name="Porcentual 2 4 2" xfId="1194"/>
    <cellStyle name="Porcentual 2 5" xfId="1195"/>
    <cellStyle name="Porcentual 3" xfId="1196"/>
    <cellStyle name="Porcentual 3 2" xfId="1197"/>
    <cellStyle name="Porcentual 4" xfId="1198"/>
    <cellStyle name="Porcentual 5" xfId="1199"/>
    <cellStyle name="Porcentual 5 2" xfId="1200"/>
    <cellStyle name="Porcentual 5 2 2" xfId="1201"/>
    <cellStyle name="Porcentual 5 2 2 2" xfId="1202"/>
    <cellStyle name="Porcentual 5 2 2 2 2" xfId="1203"/>
    <cellStyle name="Porcentual 5 2 2 2 2 2" xfId="1204"/>
    <cellStyle name="Porcentual 5 2 2 2 3" xfId="1205"/>
    <cellStyle name="Porcentual 5 2 2 3" xfId="1206"/>
    <cellStyle name="Porcentual 5 2 2 3 2" xfId="1207"/>
    <cellStyle name="Porcentual 5 2 2 3 2 2" xfId="1208"/>
    <cellStyle name="Porcentual 5 2 2 3 3" xfId="1209"/>
    <cellStyle name="Porcentual 5 2 2 4" xfId="1210"/>
    <cellStyle name="Porcentual 5 2 2 4 2" xfId="1211"/>
    <cellStyle name="Porcentual 5 2 2 5" xfId="1212"/>
    <cellStyle name="Porcentual 5 2 3" xfId="1213"/>
    <cellStyle name="Porcentual 5 2 3 2" xfId="1214"/>
    <cellStyle name="Porcentual 5 2 3 2 2" xfId="1215"/>
    <cellStyle name="Porcentual 5 2 3 3" xfId="1216"/>
    <cellStyle name="Porcentual 5 2 4" xfId="1217"/>
    <cellStyle name="Porcentual 5 2 4 2" xfId="1218"/>
    <cellStyle name="Porcentual 5 2 4 2 2" xfId="1219"/>
    <cellStyle name="Porcentual 5 2 4 3" xfId="1220"/>
    <cellStyle name="Porcentual 5 2 5" xfId="1221"/>
    <cellStyle name="Porcentual 5 2 5 2" xfId="1222"/>
    <cellStyle name="Porcentual 5 2 6" xfId="1223"/>
    <cellStyle name="Porcentual 5 3" xfId="1224"/>
    <cellStyle name="Porcentual 5 3 2" xfId="1225"/>
    <cellStyle name="Porcentual 5 3 2 2" xfId="1226"/>
    <cellStyle name="Porcentual 5 3 2 2 2" xfId="1227"/>
    <cellStyle name="Porcentual 5 3 2 3" xfId="1228"/>
    <cellStyle name="Porcentual 5 3 3" xfId="1229"/>
    <cellStyle name="Porcentual 5 3 3 2" xfId="1230"/>
    <cellStyle name="Porcentual 5 3 3 2 2" xfId="1231"/>
    <cellStyle name="Porcentual 5 3 3 3" xfId="1232"/>
    <cellStyle name="Porcentual 5 3 4" xfId="1233"/>
    <cellStyle name="Porcentual 5 3 4 2" xfId="1234"/>
    <cellStyle name="Porcentual 5 3 5" xfId="1235"/>
    <cellStyle name="Porcentual 5 4" xfId="1236"/>
    <cellStyle name="Porcentual 5 4 2" xfId="1237"/>
    <cellStyle name="Porcentual 5 4 2 2" xfId="1238"/>
    <cellStyle name="Porcentual 5 4 3" xfId="1239"/>
    <cellStyle name="Porcentual 5 5" xfId="1240"/>
    <cellStyle name="Porcentual 5 5 2" xfId="1241"/>
    <cellStyle name="Porcentual 5 5 2 2" xfId="1242"/>
    <cellStyle name="Porcentual 5 5 3" xfId="1243"/>
    <cellStyle name="Porcentual 5 6" xfId="1244"/>
    <cellStyle name="Porcentual 5 6 2" xfId="1245"/>
    <cellStyle name="Porcentual 5 7" xfId="1246"/>
    <cellStyle name="Porcentual_Detalle Pagos BIRF" xfId="1494"/>
    <cellStyle name="Salida 2" xfId="1247"/>
    <cellStyle name="Salida 2 10" xfId="1248"/>
    <cellStyle name="Salida 2 10 2" xfId="1249"/>
    <cellStyle name="Salida 2 10 2 2" xfId="1250"/>
    <cellStyle name="Salida 2 10 3" xfId="1251"/>
    <cellStyle name="Salida 2 11" xfId="1252"/>
    <cellStyle name="Salida 2 11 2" xfId="1253"/>
    <cellStyle name="Salida 2 11 2 2" xfId="1254"/>
    <cellStyle name="Salida 2 11 3" xfId="1255"/>
    <cellStyle name="Salida 2 12" xfId="1256"/>
    <cellStyle name="Salida 2 12 2" xfId="1257"/>
    <cellStyle name="Salida 2 13" xfId="1258"/>
    <cellStyle name="Salida 2 2" xfId="1259"/>
    <cellStyle name="Salida 2 2 10" xfId="1260"/>
    <cellStyle name="Salida 2 2 10 2" xfId="1261"/>
    <cellStyle name="Salida 2 2 10 2 2" xfId="1262"/>
    <cellStyle name="Salida 2 2 10 3" xfId="1263"/>
    <cellStyle name="Salida 2 2 11" xfId="1264"/>
    <cellStyle name="Salida 2 2 11 2" xfId="1265"/>
    <cellStyle name="Salida 2 2 12" xfId="1266"/>
    <cellStyle name="Salida 2 2 2" xfId="1267"/>
    <cellStyle name="Salida 2 2 2 2" xfId="1268"/>
    <cellStyle name="Salida 2 2 2 2 2" xfId="1269"/>
    <cellStyle name="Salida 2 2 2 3" xfId="1270"/>
    <cellStyle name="Salida 2 2 3" xfId="1271"/>
    <cellStyle name="Salida 2 2 3 2" xfId="1272"/>
    <cellStyle name="Salida 2 2 3 2 2" xfId="1273"/>
    <cellStyle name="Salida 2 2 3 3" xfId="1274"/>
    <cellStyle name="Salida 2 2 4" xfId="1275"/>
    <cellStyle name="Salida 2 2 4 2" xfId="1276"/>
    <cellStyle name="Salida 2 2 4 2 2" xfId="1277"/>
    <cellStyle name="Salida 2 2 4 3" xfId="1278"/>
    <cellStyle name="Salida 2 2 5" xfId="1279"/>
    <cellStyle name="Salida 2 2 5 2" xfId="1280"/>
    <cellStyle name="Salida 2 2 5 2 2" xfId="1281"/>
    <cellStyle name="Salida 2 2 5 3" xfId="1282"/>
    <cellStyle name="Salida 2 2 6" xfId="1283"/>
    <cellStyle name="Salida 2 2 6 2" xfId="1284"/>
    <cellStyle name="Salida 2 2 6 2 2" xfId="1285"/>
    <cellStyle name="Salida 2 2 6 3" xfId="1286"/>
    <cellStyle name="Salida 2 2 7" xfId="1287"/>
    <cellStyle name="Salida 2 2 7 2" xfId="1288"/>
    <cellStyle name="Salida 2 2 7 2 2" xfId="1289"/>
    <cellStyle name="Salida 2 2 7 3" xfId="1290"/>
    <cellStyle name="Salida 2 2 8" xfId="1291"/>
    <cellStyle name="Salida 2 2 8 2" xfId="1292"/>
    <cellStyle name="Salida 2 2 8 2 2" xfId="1293"/>
    <cellStyle name="Salida 2 2 8 3" xfId="1294"/>
    <cellStyle name="Salida 2 2 9" xfId="1295"/>
    <cellStyle name="Salida 2 2 9 2" xfId="1296"/>
    <cellStyle name="Salida 2 2 9 2 2" xfId="1297"/>
    <cellStyle name="Salida 2 2 9 3" xfId="1298"/>
    <cellStyle name="Salida 2 3" xfId="1299"/>
    <cellStyle name="Salida 2 3 10" xfId="1300"/>
    <cellStyle name="Salida 2 3 10 2" xfId="1301"/>
    <cellStyle name="Salida 2 3 10 2 2" xfId="1302"/>
    <cellStyle name="Salida 2 3 10 3" xfId="1303"/>
    <cellStyle name="Salida 2 3 11" xfId="1304"/>
    <cellStyle name="Salida 2 3 11 2" xfId="1305"/>
    <cellStyle name="Salida 2 3 12" xfId="1306"/>
    <cellStyle name="Salida 2 3 2" xfId="1307"/>
    <cellStyle name="Salida 2 3 2 2" xfId="1308"/>
    <cellStyle name="Salida 2 3 2 2 2" xfId="1309"/>
    <cellStyle name="Salida 2 3 2 3" xfId="1310"/>
    <cellStyle name="Salida 2 3 3" xfId="1311"/>
    <cellStyle name="Salida 2 3 3 2" xfId="1312"/>
    <cellStyle name="Salida 2 3 3 2 2" xfId="1313"/>
    <cellStyle name="Salida 2 3 3 3" xfId="1314"/>
    <cellStyle name="Salida 2 3 4" xfId="1315"/>
    <cellStyle name="Salida 2 3 4 2" xfId="1316"/>
    <cellStyle name="Salida 2 3 4 2 2" xfId="1317"/>
    <cellStyle name="Salida 2 3 4 3" xfId="1318"/>
    <cellStyle name="Salida 2 3 5" xfId="1319"/>
    <cellStyle name="Salida 2 3 5 2" xfId="1320"/>
    <cellStyle name="Salida 2 3 5 2 2" xfId="1321"/>
    <cellStyle name="Salida 2 3 5 3" xfId="1322"/>
    <cellStyle name="Salida 2 3 6" xfId="1323"/>
    <cellStyle name="Salida 2 3 6 2" xfId="1324"/>
    <cellStyle name="Salida 2 3 6 2 2" xfId="1325"/>
    <cellStyle name="Salida 2 3 6 3" xfId="1326"/>
    <cellStyle name="Salida 2 3 7" xfId="1327"/>
    <cellStyle name="Salida 2 3 7 2" xfId="1328"/>
    <cellStyle name="Salida 2 3 7 2 2" xfId="1329"/>
    <cellStyle name="Salida 2 3 7 3" xfId="1330"/>
    <cellStyle name="Salida 2 3 8" xfId="1331"/>
    <cellStyle name="Salida 2 3 8 2" xfId="1332"/>
    <cellStyle name="Salida 2 3 8 2 2" xfId="1333"/>
    <cellStyle name="Salida 2 3 8 3" xfId="1334"/>
    <cellStyle name="Salida 2 3 9" xfId="1335"/>
    <cellStyle name="Salida 2 3 9 2" xfId="1336"/>
    <cellStyle name="Salida 2 3 9 2 2" xfId="1337"/>
    <cellStyle name="Salida 2 3 9 3" xfId="1338"/>
    <cellStyle name="Salida 2 4" xfId="1339"/>
    <cellStyle name="Salida 2 4 2" xfId="1340"/>
    <cellStyle name="Salida 2 4 2 2" xfId="1341"/>
    <cellStyle name="Salida 2 4 3" xfId="1342"/>
    <cellStyle name="Salida 2 5" xfId="1343"/>
    <cellStyle name="Salida 2 5 2" xfId="1344"/>
    <cellStyle name="Salida 2 5 2 2" xfId="1345"/>
    <cellStyle name="Salida 2 5 3" xfId="1346"/>
    <cellStyle name="Salida 2 6" xfId="1347"/>
    <cellStyle name="Salida 2 6 2" xfId="1348"/>
    <cellStyle name="Salida 2 6 2 2" xfId="1349"/>
    <cellStyle name="Salida 2 6 3" xfId="1350"/>
    <cellStyle name="Salida 2 7" xfId="1351"/>
    <cellStyle name="Salida 2 7 2" xfId="1352"/>
    <cellStyle name="Salida 2 7 2 2" xfId="1353"/>
    <cellStyle name="Salida 2 7 3" xfId="1354"/>
    <cellStyle name="Salida 2 8" xfId="1355"/>
    <cellStyle name="Salida 2 8 2" xfId="1356"/>
    <cellStyle name="Salida 2 8 2 2" xfId="1357"/>
    <cellStyle name="Salida 2 8 3" xfId="1358"/>
    <cellStyle name="Salida 2 9" xfId="1359"/>
    <cellStyle name="Salida 2 9 2" xfId="1360"/>
    <cellStyle name="Salida 2 9 2 2" xfId="1361"/>
    <cellStyle name="Salida 2 9 3" xfId="1362"/>
    <cellStyle name="Salida 3" xfId="1363"/>
    <cellStyle name="Texto de advertencia 2" xfId="1364"/>
    <cellStyle name="Texto de advertencia 3" xfId="1365"/>
    <cellStyle name="Texto explicativo 2" xfId="1366"/>
    <cellStyle name="Texto explicativo 3" xfId="1367"/>
    <cellStyle name="Title" xfId="1514" builtinId="15" customBuiltin="1"/>
    <cellStyle name="Title 2" xfId="1593"/>
    <cellStyle name="Título 1 2" xfId="1368"/>
    <cellStyle name="Título 1 3" xfId="1369"/>
    <cellStyle name="Título 2 2" xfId="1370"/>
    <cellStyle name="Título 2 3" xfId="1371"/>
    <cellStyle name="Título 3 2" xfId="1372"/>
    <cellStyle name="Título 3 3" xfId="1373"/>
    <cellStyle name="Título 4" xfId="1374"/>
    <cellStyle name="Top Rule" xfId="1594"/>
    <cellStyle name="Total" xfId="1529" builtinId="25" customBuiltin="1"/>
    <cellStyle name="Total 2" xfId="1375"/>
    <cellStyle name="Total 2 10" xfId="1376"/>
    <cellStyle name="Total 2 10 2" xfId="1377"/>
    <cellStyle name="Total 2 10 2 2" xfId="1378"/>
    <cellStyle name="Total 2 10 3" xfId="1379"/>
    <cellStyle name="Total 2 11" xfId="1380"/>
    <cellStyle name="Total 2 11 2" xfId="1381"/>
    <cellStyle name="Total 2 11 2 2" xfId="1382"/>
    <cellStyle name="Total 2 11 3" xfId="1383"/>
    <cellStyle name="Total 2 12" xfId="1384"/>
    <cellStyle name="Total 2 12 2" xfId="1385"/>
    <cellStyle name="Total 2 13" xfId="1386"/>
    <cellStyle name="Total 2 14" xfId="1387"/>
    <cellStyle name="Total 2 2" xfId="1388"/>
    <cellStyle name="Total 2 2 10" xfId="1389"/>
    <cellStyle name="Total 2 2 10 2" xfId="1390"/>
    <cellStyle name="Total 2 2 10 2 2" xfId="1391"/>
    <cellStyle name="Total 2 2 10 3" xfId="1392"/>
    <cellStyle name="Total 2 2 11" xfId="1393"/>
    <cellStyle name="Total 2 2 11 2" xfId="1394"/>
    <cellStyle name="Total 2 2 12" xfId="1395"/>
    <cellStyle name="Total 2 2 2" xfId="1396"/>
    <cellStyle name="Total 2 2 2 2" xfId="1397"/>
    <cellStyle name="Total 2 2 2 2 2" xfId="1398"/>
    <cellStyle name="Total 2 2 2 3" xfId="1399"/>
    <cellStyle name="Total 2 2 3" xfId="1400"/>
    <cellStyle name="Total 2 2 3 2" xfId="1401"/>
    <cellStyle name="Total 2 2 3 2 2" xfId="1402"/>
    <cellStyle name="Total 2 2 3 3" xfId="1403"/>
    <cellStyle name="Total 2 2 4" xfId="1404"/>
    <cellStyle name="Total 2 2 4 2" xfId="1405"/>
    <cellStyle name="Total 2 2 4 2 2" xfId="1406"/>
    <cellStyle name="Total 2 2 4 3" xfId="1407"/>
    <cellStyle name="Total 2 2 5" xfId="1408"/>
    <cellStyle name="Total 2 2 5 2" xfId="1409"/>
    <cellStyle name="Total 2 2 5 2 2" xfId="1410"/>
    <cellStyle name="Total 2 2 5 3" xfId="1411"/>
    <cellStyle name="Total 2 2 6" xfId="1412"/>
    <cellStyle name="Total 2 2 6 2" xfId="1413"/>
    <cellStyle name="Total 2 2 6 2 2" xfId="1414"/>
    <cellStyle name="Total 2 2 6 3" xfId="1415"/>
    <cellStyle name="Total 2 2 7" xfId="1416"/>
    <cellStyle name="Total 2 2 7 2" xfId="1417"/>
    <cellStyle name="Total 2 2 7 2 2" xfId="1418"/>
    <cellStyle name="Total 2 2 7 3" xfId="1419"/>
    <cellStyle name="Total 2 2 8" xfId="1420"/>
    <cellStyle name="Total 2 2 8 2" xfId="1421"/>
    <cellStyle name="Total 2 2 8 2 2" xfId="1422"/>
    <cellStyle name="Total 2 2 8 3" xfId="1423"/>
    <cellStyle name="Total 2 2 9" xfId="1424"/>
    <cellStyle name="Total 2 2 9 2" xfId="1425"/>
    <cellStyle name="Total 2 2 9 2 2" xfId="1426"/>
    <cellStyle name="Total 2 2 9 3" xfId="1427"/>
    <cellStyle name="Total 2 3" xfId="1428"/>
    <cellStyle name="Total 2 3 10" xfId="1429"/>
    <cellStyle name="Total 2 3 10 2" xfId="1430"/>
    <cellStyle name="Total 2 3 10 2 2" xfId="1431"/>
    <cellStyle name="Total 2 3 10 3" xfId="1432"/>
    <cellStyle name="Total 2 3 11" xfId="1433"/>
    <cellStyle name="Total 2 3 11 2" xfId="1434"/>
    <cellStyle name="Total 2 3 12" xfId="1435"/>
    <cellStyle name="Total 2 3 2" xfId="1436"/>
    <cellStyle name="Total 2 3 2 2" xfId="1437"/>
    <cellStyle name="Total 2 3 2 2 2" xfId="1438"/>
    <cellStyle name="Total 2 3 2 3" xfId="1439"/>
    <cellStyle name="Total 2 3 3" xfId="1440"/>
    <cellStyle name="Total 2 3 3 2" xfId="1441"/>
    <cellStyle name="Total 2 3 3 2 2" xfId="1442"/>
    <cellStyle name="Total 2 3 3 3" xfId="1443"/>
    <cellStyle name="Total 2 3 4" xfId="1444"/>
    <cellStyle name="Total 2 3 4 2" xfId="1445"/>
    <cellStyle name="Total 2 3 4 2 2" xfId="1446"/>
    <cellStyle name="Total 2 3 4 3" xfId="1447"/>
    <cellStyle name="Total 2 3 5" xfId="1448"/>
    <cellStyle name="Total 2 3 5 2" xfId="1449"/>
    <cellStyle name="Total 2 3 5 2 2" xfId="1450"/>
    <cellStyle name="Total 2 3 5 3" xfId="1451"/>
    <cellStyle name="Total 2 3 6" xfId="1452"/>
    <cellStyle name="Total 2 3 6 2" xfId="1453"/>
    <cellStyle name="Total 2 3 6 2 2" xfId="1454"/>
    <cellStyle name="Total 2 3 6 3" xfId="1455"/>
    <cellStyle name="Total 2 3 7" xfId="1456"/>
    <cellStyle name="Total 2 3 7 2" xfId="1457"/>
    <cellStyle name="Total 2 3 7 2 2" xfId="1458"/>
    <cellStyle name="Total 2 3 7 3" xfId="1459"/>
    <cellStyle name="Total 2 3 8" xfId="1460"/>
    <cellStyle name="Total 2 3 8 2" xfId="1461"/>
    <cellStyle name="Total 2 3 8 2 2" xfId="1462"/>
    <cellStyle name="Total 2 3 8 3" xfId="1463"/>
    <cellStyle name="Total 2 3 9" xfId="1464"/>
    <cellStyle name="Total 2 3 9 2" xfId="1465"/>
    <cellStyle name="Total 2 3 9 2 2" xfId="1466"/>
    <cellStyle name="Total 2 3 9 3" xfId="1467"/>
    <cellStyle name="Total 2 4" xfId="1468"/>
    <cellStyle name="Total 2 4 2" xfId="1469"/>
    <cellStyle name="Total 2 4 2 2" xfId="1470"/>
    <cellStyle name="Total 2 4 3" xfId="1471"/>
    <cellStyle name="Total 2 5" xfId="1472"/>
    <cellStyle name="Total 2 5 2" xfId="1473"/>
    <cellStyle name="Total 2 5 2 2" xfId="1474"/>
    <cellStyle name="Total 2 5 3" xfId="1475"/>
    <cellStyle name="Total 2 6" xfId="1476"/>
    <cellStyle name="Total 2 6 2" xfId="1477"/>
    <cellStyle name="Total 2 6 2 2" xfId="1478"/>
    <cellStyle name="Total 2 6 3" xfId="1479"/>
    <cellStyle name="Total 2 7" xfId="1480"/>
    <cellStyle name="Total 2 7 2" xfId="1481"/>
    <cellStyle name="Total 2 7 2 2" xfId="1482"/>
    <cellStyle name="Total 2 7 3" xfId="1483"/>
    <cellStyle name="Total 2 8" xfId="1484"/>
    <cellStyle name="Total 2 8 2" xfId="1485"/>
    <cellStyle name="Total 2 8 2 2" xfId="1486"/>
    <cellStyle name="Total 2 8 3" xfId="1487"/>
    <cellStyle name="Total 2 9" xfId="1488"/>
    <cellStyle name="Total 2 9 2" xfId="1489"/>
    <cellStyle name="Total 2 9 2 2" xfId="1490"/>
    <cellStyle name="Total 2 9 3" xfId="1491"/>
    <cellStyle name="Total 3" xfId="1492"/>
    <cellStyle name="Total 4" xfId="1493"/>
    <cellStyle name="Warning Text" xfId="1527" builtinId="11" customBuiltin="1"/>
  </cellStyles>
  <dxfs count="36">
    <dxf>
      <font>
        <color theme="0" tint="-0.14996795556505021"/>
      </font>
      <fill>
        <patternFill patternType="solid">
          <fgColor theme="0" tint="-0.14996795556505021"/>
          <bgColor theme="0" tint="-0.14993743705557422"/>
        </patternFill>
      </fill>
    </dxf>
    <dxf>
      <font>
        <color theme="0" tint="-0.14996795556505021"/>
      </font>
      <fill>
        <patternFill>
          <fgColor theme="0" tint="-0.14996795556505021"/>
          <bgColor theme="0" tint="-0.14996795556505021"/>
        </patternFill>
      </fill>
    </dxf>
    <dxf>
      <font>
        <color theme="0" tint="-0.14996795556505021"/>
      </font>
      <fill>
        <patternFill patternType="solid">
          <fgColor theme="0" tint="-0.14996795556505021"/>
          <bgColor theme="0" tint="-0.14993743705557422"/>
        </patternFill>
      </fill>
    </dxf>
    <dxf>
      <font>
        <color theme="0" tint="-0.14996795556505021"/>
      </font>
      <fill>
        <patternFill>
          <fgColor theme="0" tint="-0.14996795556505021"/>
          <bgColor theme="0" tint="-0.14996795556505021"/>
        </patternFill>
      </fill>
    </dxf>
    <dxf>
      <font>
        <color theme="0" tint="-0.14996795556505021"/>
      </font>
      <fill>
        <patternFill patternType="solid">
          <fgColor theme="0" tint="-0.14996795556505021"/>
          <bgColor theme="0" tint="-0.14993743705557422"/>
        </patternFill>
      </fill>
    </dxf>
    <dxf>
      <font>
        <color theme="0" tint="-0.14996795556505021"/>
      </font>
      <fill>
        <patternFill>
          <fgColor theme="0" tint="-0.14996795556505021"/>
          <bgColor theme="0" tint="-0.14996795556505021"/>
        </patternFill>
      </fill>
    </dxf>
    <dxf>
      <font>
        <color theme="0" tint="-0.14996795556505021"/>
      </font>
      <fill>
        <patternFill patternType="solid">
          <fgColor theme="0" tint="-0.14996795556505021"/>
          <bgColor theme="0" tint="-0.14993743705557422"/>
        </patternFill>
      </fill>
    </dxf>
    <dxf>
      <font>
        <color theme="0" tint="-0.14996795556505021"/>
      </font>
      <fill>
        <patternFill>
          <fgColor theme="0" tint="-0.14996795556505021"/>
          <bgColor theme="0" tint="-0.14996795556505021"/>
        </patternFill>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color theme="0" tint="-0.34998626667073579"/>
      </font>
      <fill>
        <patternFill patternType="lightGray"/>
      </fill>
    </dxf>
    <dxf>
      <font>
        <b val="0"/>
        <i val="0"/>
      </font>
    </dxf>
    <dxf>
      <fill>
        <patternFill>
          <bgColor theme="0"/>
        </patternFill>
      </fill>
    </dxf>
    <dxf>
      <font>
        <b/>
        <i val="0"/>
        <color theme="6"/>
      </font>
    </dxf>
    <dxf>
      <font>
        <color theme="0"/>
      </font>
      <fill>
        <patternFill>
          <bgColor theme="6"/>
        </patternFill>
      </fill>
    </dxf>
    <dxf>
      <font>
        <color theme="1" tint="0.24994659260841701"/>
      </font>
      <border diagonalUp="0" diagonalDown="0">
        <left/>
        <right/>
        <top/>
        <bottom style="thin">
          <color theme="1" tint="0.499984740745262"/>
        </bottom>
        <vertical/>
        <horizontal style="hair">
          <color theme="1" tint="0.499984740745262"/>
        </horizontal>
      </border>
    </dxf>
    <dxf>
      <font>
        <b val="0"/>
        <i val="0"/>
      </font>
    </dxf>
    <dxf>
      <fill>
        <patternFill>
          <bgColor theme="0"/>
        </patternFill>
      </fill>
    </dxf>
    <dxf>
      <font>
        <b/>
        <i val="0"/>
        <color theme="4"/>
      </font>
    </dxf>
    <dxf>
      <font>
        <color theme="0"/>
      </font>
      <fill>
        <patternFill>
          <bgColor theme="4"/>
        </patternFill>
      </fill>
    </dxf>
    <dxf>
      <font>
        <color theme="1" tint="0.24994659260841701"/>
      </font>
      <border diagonalUp="0" diagonalDown="0">
        <left/>
        <right/>
        <top/>
        <bottom style="thin">
          <color theme="1" tint="0.499984740745262"/>
        </bottom>
        <vertical/>
        <horizontal style="hair">
          <color theme="1" tint="0.499984740745262"/>
        </horizontal>
      </border>
    </dxf>
  </dxfs>
  <tableStyles count="2" defaultTableStyle="TableStyleMedium2" defaultPivotStyle="PivotStyleLight16">
    <tableStyle name="Assets" pivot="0" count="5">
      <tableStyleElement type="wholeTable" dxfId="35"/>
      <tableStyleElement type="headerRow" dxfId="34"/>
      <tableStyleElement type="lastColumn" dxfId="33"/>
      <tableStyleElement type="secondRowStripe" dxfId="32"/>
      <tableStyleElement type="lastHeaderCell" dxfId="31"/>
    </tableStyle>
    <tableStyle name="Debts" pivot="0" count="5">
      <tableStyleElement type="wholeTable" dxfId="30"/>
      <tableStyleElement type="headerRow" dxfId="29"/>
      <tableStyleElement type="lastColumn" dxfId="28"/>
      <tableStyleElement type="secondRowStripe" dxfId="27"/>
      <tableStyleElement type="lastHeaderCell" dxfId="26"/>
    </tableStyle>
  </tableStyles>
  <colors>
    <mruColors>
      <color rgb="FF7EEAC1"/>
      <color rgb="FFFF9966"/>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 Id="rId30" Type="http://schemas.openxmlformats.org/officeDocument/2006/relationships/customXml" Target="../customXml/item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85725</xdr:rowOff>
    </xdr:from>
    <xdr:to>
      <xdr:col>1</xdr:col>
      <xdr:colOff>1190625</xdr:colOff>
      <xdr:row>3</xdr:row>
      <xdr:rowOff>95250</xdr:rowOff>
    </xdr:to>
    <xdr:pic>
      <xdr:nvPicPr>
        <xdr:cNvPr id="2" name="Picture 2">
          <a:extLst>
            <a:ext uri="{FF2B5EF4-FFF2-40B4-BE49-F238E27FC236}">
              <a16:creationId xmlns:a16="http://schemas.microsoft.com/office/drawing/2014/main" id="{1776E203-AF37-4658-AFDF-B3AE3781D0A3}"/>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42875" y="85725"/>
          <a:ext cx="1181100" cy="495300"/>
        </a:xfrm>
        <a:prstGeom prst="rect">
          <a:avLst/>
        </a:prstGeom>
        <a:noFill/>
        <a:ln w="9525">
          <a:noFill/>
          <a:miter lim="800000"/>
          <a:headEnd/>
          <a:tailEnd/>
        </a:ln>
      </xdr:spPr>
    </xdr:pic>
    <xdr:clientData/>
  </xdr:twoCellAnchor>
  <xdr:twoCellAnchor>
    <xdr:from>
      <xdr:col>11</xdr:col>
      <xdr:colOff>66675</xdr:colOff>
      <xdr:row>33</xdr:row>
      <xdr:rowOff>28575</xdr:rowOff>
    </xdr:from>
    <xdr:to>
      <xdr:col>11</xdr:col>
      <xdr:colOff>742950</xdr:colOff>
      <xdr:row>35</xdr:row>
      <xdr:rowOff>66675</xdr:rowOff>
    </xdr:to>
    <xdr:sp macro="" textlink="">
      <xdr:nvSpPr>
        <xdr:cNvPr id="3" name="AutoShape 3">
          <a:extLst>
            <a:ext uri="{FF2B5EF4-FFF2-40B4-BE49-F238E27FC236}">
              <a16:creationId xmlns:a16="http://schemas.microsoft.com/office/drawing/2014/main" id="{BEEB5254-4C04-443F-B28A-5CC84C3B3065}"/>
            </a:ext>
          </a:extLst>
        </xdr:cNvPr>
        <xdr:cNvSpPr>
          <a:spLocks noChangeArrowheads="1"/>
        </xdr:cNvSpPr>
      </xdr:nvSpPr>
      <xdr:spPr bwMode="auto">
        <a:xfrm>
          <a:off x="6715125" y="7058025"/>
          <a:ext cx="676275" cy="295275"/>
        </a:xfrm>
        <a:custGeom>
          <a:avLst/>
          <a:gdLst>
            <a:gd name="T0" fmla="*/ 2147483647 w 21600"/>
            <a:gd name="T1" fmla="*/ 0 h 21600"/>
            <a:gd name="T2" fmla="*/ 0 w 21600"/>
            <a:gd name="T3" fmla="*/ 2147483647 h 21600"/>
            <a:gd name="T4" fmla="*/ 2147483647 w 21600"/>
            <a:gd name="T5" fmla="*/ 2147483647 h 21600"/>
            <a:gd name="T6" fmla="*/ 2147483647 w 21600"/>
            <a:gd name="T7" fmla="*/ 2147483647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close/>
            </a:path>
            <a:path w="21600" h="21600">
              <a:moveTo>
                <a:pt x="1350" y="5400"/>
              </a:moveTo>
              <a:lnTo>
                <a:pt x="1350" y="16200"/>
              </a:lnTo>
              <a:lnTo>
                <a:pt x="2700" y="16200"/>
              </a:lnTo>
              <a:lnTo>
                <a:pt x="2700" y="5400"/>
              </a:lnTo>
              <a:close/>
            </a:path>
            <a:path w="21600" h="21600">
              <a:moveTo>
                <a:pt x="0" y="5400"/>
              </a:moveTo>
              <a:lnTo>
                <a:pt x="0" y="16200"/>
              </a:lnTo>
              <a:lnTo>
                <a:pt x="675" y="16200"/>
              </a:lnTo>
              <a:lnTo>
                <a:pt x="675" y="5400"/>
              </a:lnTo>
              <a:close/>
            </a:path>
          </a:pathLst>
        </a:custGeom>
        <a:solidFill>
          <a:srgbClr val="FFFF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ty\OneDrive%20-%20RedIbx%20Consultores\AR-L1255%20QRR\AR-L1255%20-%20PEP%20v9Ma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5"/>
      <sheetName val="Resumen"/>
      <sheetName val="Presupuesto Detallado"/>
      <sheetName val="PEP"/>
      <sheetName val="Desembolsos"/>
      <sheetName val="Matriz de Resultados"/>
      <sheetName val="3.2 ultimo"/>
      <sheetName val="3.2"/>
      <sheetName val="3.2.3 RP"/>
      <sheetName val="3.1 nuevo"/>
      <sheetName val="3.1 viejo"/>
      <sheetName val="2.2"/>
      <sheetName val="1.1.2"/>
      <sheetName val="1.1.1"/>
      <sheetName val="1.2"/>
      <sheetName val="1.3 ENV"/>
      <sheetName val="Metodos-$"/>
      <sheetName val="Plan Financiero"/>
      <sheetName val="Resp"/>
      <sheetName val="Medios de Verificación"/>
      <sheetName val="Datos Proyectos"/>
      <sheetName val="Hoja1"/>
      <sheetName val="Resultados Vs Costos"/>
      <sheetName val="Matriz de Resultados - Plantill"/>
      <sheetName val="Costos (2)"/>
      <sheetName val="Matriz de Resultados (2)"/>
      <sheetName val="Hoja2"/>
      <sheetName val="Datos Proyectos (2)"/>
      <sheetName val="Datos Proyectos Final"/>
      <sheetName val="Proyectos - Ejecucion - Tiempo"/>
    </sheetNames>
    <sheetDataSet>
      <sheetData sheetId="0"/>
      <sheetData sheetId="1"/>
      <sheetData sheetId="2"/>
      <sheetData sheetId="3">
        <row r="82">
          <cell r="AX82">
            <v>0</v>
          </cell>
          <cell r="AY82">
            <v>25000000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8"/>
  <sheetViews>
    <sheetView tabSelected="1" zoomScaleNormal="100" zoomScaleSheetLayoutView="124" workbookViewId="0">
      <selection activeCell="D6" sqref="D6"/>
    </sheetView>
  </sheetViews>
  <sheetFormatPr defaultRowHeight="12.75" x14ac:dyDescent="0.2"/>
  <cols>
    <col min="1" max="1" width="14.42578125" customWidth="1"/>
    <col min="2" max="2" width="30.5703125" customWidth="1"/>
    <col min="3" max="6" width="16.7109375" customWidth="1"/>
  </cols>
  <sheetData>
    <row r="2" spans="2:5" s="141" customFormat="1" ht="50.25" customHeight="1" thickBot="1" x14ac:dyDescent="0.25">
      <c r="B2" s="936" t="s">
        <v>564</v>
      </c>
      <c r="C2" s="937"/>
      <c r="D2" s="937"/>
      <c r="E2" s="937"/>
    </row>
    <row r="3" spans="2:5" s="12" customFormat="1" ht="17.25" customHeight="1" thickBot="1" x14ac:dyDescent="0.25">
      <c r="B3" s="794" t="s">
        <v>556</v>
      </c>
      <c r="C3" s="795" t="s">
        <v>557</v>
      </c>
      <c r="D3" s="795" t="s">
        <v>558</v>
      </c>
      <c r="E3" s="796" t="s">
        <v>565</v>
      </c>
    </row>
    <row r="4" spans="2:5" ht="17.25" customHeight="1" x14ac:dyDescent="0.2">
      <c r="B4" s="791" t="s">
        <v>559</v>
      </c>
      <c r="C4" s="792">
        <f>+PEP!I3</f>
        <v>7150000</v>
      </c>
      <c r="D4" s="792">
        <f>+PEP!J3</f>
        <v>200000</v>
      </c>
      <c r="E4" s="793">
        <f>+PEP!K3</f>
        <v>7350000</v>
      </c>
    </row>
    <row r="5" spans="2:5" ht="17.25" customHeight="1" x14ac:dyDescent="0.2">
      <c r="B5" s="789" t="s">
        <v>560</v>
      </c>
      <c r="C5" s="788">
        <f>+PEP!I41</f>
        <v>7950000</v>
      </c>
      <c r="D5" s="788">
        <f>+PEP!J41</f>
        <v>2500000</v>
      </c>
      <c r="E5" s="790">
        <f>+PEP!K41</f>
        <v>10450000</v>
      </c>
    </row>
    <row r="6" spans="2:5" ht="17.25" customHeight="1" x14ac:dyDescent="0.2">
      <c r="B6" s="789" t="s">
        <v>561</v>
      </c>
      <c r="C6" s="788">
        <f>+PEP!I57</f>
        <v>9700000</v>
      </c>
      <c r="D6" s="788">
        <f>+PEP!J57</f>
        <v>0</v>
      </c>
      <c r="E6" s="790">
        <f>+PEP!K57</f>
        <v>9700000</v>
      </c>
    </row>
    <row r="7" spans="2:5" ht="17.25" customHeight="1" thickBot="1" x14ac:dyDescent="0.25">
      <c r="B7" s="797" t="s">
        <v>562</v>
      </c>
      <c r="C7" s="798">
        <f>+PEP!I79</f>
        <v>200000</v>
      </c>
      <c r="D7" s="798">
        <f>+PEP!J79</f>
        <v>2300000</v>
      </c>
      <c r="E7" s="799">
        <f>+PEP!K79</f>
        <v>2500000</v>
      </c>
    </row>
    <row r="8" spans="2:5" ht="17.25" customHeight="1" thickBot="1" x14ac:dyDescent="0.25">
      <c r="B8" s="802" t="s">
        <v>10</v>
      </c>
      <c r="C8" s="800">
        <f>SUM(C4:C7)</f>
        <v>25000000</v>
      </c>
      <c r="D8" s="800">
        <f t="shared" ref="D8:E8" si="0">SUM(D4:D7)</f>
        <v>5000000</v>
      </c>
      <c r="E8" s="801">
        <f t="shared" si="0"/>
        <v>30000000</v>
      </c>
    </row>
  </sheetData>
  <mergeCells count="1">
    <mergeCell ref="B2:E2"/>
  </mergeCells>
  <printOptions horizontalCentered="1"/>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zoomScale="80" zoomScaleNormal="80" workbookViewId="0">
      <pane xSplit="2" ySplit="4" topLeftCell="E14" activePane="bottomRight" state="frozen"/>
      <selection activeCell="C20" sqref="C20:C21"/>
      <selection pane="topRight" activeCell="C20" sqref="C20:C21"/>
      <selection pane="bottomLeft" activeCell="C20" sqref="C20:C21"/>
      <selection pane="bottomRight" activeCell="C20" sqref="C20:C21"/>
    </sheetView>
  </sheetViews>
  <sheetFormatPr defaultColWidth="8.85546875" defaultRowHeight="15" x14ac:dyDescent="0.2"/>
  <cols>
    <col min="1" max="1" width="8.85546875" style="285"/>
    <col min="2" max="2" width="71.85546875" style="285" customWidth="1"/>
    <col min="3" max="3" width="17.85546875" style="286" customWidth="1"/>
    <col min="4" max="4" width="11.28515625" style="286" customWidth="1"/>
    <col min="5" max="5" width="12.28515625" style="287" customWidth="1"/>
    <col min="6" max="6" width="14.7109375" style="288" customWidth="1"/>
    <col min="7" max="7" width="13" style="285" customWidth="1"/>
    <col min="8" max="8" width="17.42578125" style="285" customWidth="1"/>
    <col min="9" max="12" width="12.85546875" style="285" customWidth="1"/>
    <col min="13" max="13" width="9.140625" style="285" customWidth="1"/>
    <col min="14" max="14" width="13.5703125" style="285" customWidth="1"/>
    <col min="15" max="15" width="21.7109375" style="285" customWidth="1"/>
    <col min="16" max="16384" width="8.85546875" style="285"/>
  </cols>
  <sheetData>
    <row r="1" spans="1:15" x14ac:dyDescent="0.2">
      <c r="I1" s="289">
        <v>0.09</v>
      </c>
      <c r="J1" s="289">
        <v>0.5</v>
      </c>
      <c r="K1" s="289">
        <v>0.4</v>
      </c>
      <c r="L1" s="289">
        <v>0.01</v>
      </c>
    </row>
    <row r="2" spans="1:15" x14ac:dyDescent="0.2">
      <c r="I2" s="290">
        <f>+I1*$F$4</f>
        <v>256500</v>
      </c>
      <c r="J2" s="290">
        <f t="shared" ref="J2:L2" si="0">+J1*$F$4</f>
        <v>1425000</v>
      </c>
      <c r="K2" s="290">
        <f t="shared" si="0"/>
        <v>1140000</v>
      </c>
      <c r="L2" s="290">
        <f t="shared" si="0"/>
        <v>28500</v>
      </c>
    </row>
    <row r="3" spans="1:15" s="291" customFormat="1" ht="30" x14ac:dyDescent="0.2">
      <c r="C3" s="291" t="s">
        <v>271</v>
      </c>
      <c r="D3" s="291" t="s">
        <v>272</v>
      </c>
      <c r="E3" s="620" t="s">
        <v>273</v>
      </c>
      <c r="F3" s="292" t="s">
        <v>274</v>
      </c>
      <c r="I3" s="291">
        <v>2017</v>
      </c>
      <c r="J3" s="291">
        <v>2018</v>
      </c>
      <c r="K3" s="291">
        <v>2019</v>
      </c>
      <c r="L3" s="291">
        <v>2020</v>
      </c>
      <c r="M3" s="291">
        <v>2021</v>
      </c>
      <c r="O3" s="291" t="s">
        <v>399</v>
      </c>
    </row>
    <row r="4" spans="1:15" s="294" customFormat="1" ht="43.5" customHeight="1" x14ac:dyDescent="0.2">
      <c r="A4" s="294" t="s">
        <v>13</v>
      </c>
      <c r="B4" s="293" t="s">
        <v>448</v>
      </c>
      <c r="E4" s="295"/>
      <c r="F4" s="296">
        <f>+F5+F19</f>
        <v>2850000</v>
      </c>
      <c r="G4" s="296"/>
      <c r="H4" s="296">
        <f t="shared" ref="H4:M4" si="1">+H5+H19</f>
        <v>0</v>
      </c>
      <c r="I4" s="297">
        <f t="shared" si="1"/>
        <v>130000</v>
      </c>
      <c r="J4" s="297">
        <f t="shared" si="1"/>
        <v>1621500</v>
      </c>
      <c r="K4" s="297">
        <f t="shared" si="1"/>
        <v>946500</v>
      </c>
      <c r="L4" s="297">
        <f t="shared" si="1"/>
        <v>102000</v>
      </c>
      <c r="M4" s="297">
        <f t="shared" si="1"/>
        <v>50000</v>
      </c>
      <c r="N4" s="298">
        <f>SUM(I4:M4)</f>
        <v>2850000</v>
      </c>
    </row>
    <row r="5" spans="1:15" s="299" customFormat="1" ht="30" x14ac:dyDescent="0.2">
      <c r="A5" s="299" t="s">
        <v>447</v>
      </c>
      <c r="B5" s="299" t="s">
        <v>449</v>
      </c>
      <c r="C5" s="300"/>
      <c r="D5" s="300"/>
      <c r="E5" s="301"/>
      <c r="F5" s="302">
        <f t="shared" ref="F5:N5" si="2">+F6+F10+F13+F18</f>
        <v>1345000</v>
      </c>
      <c r="G5" s="302">
        <f t="shared" si="2"/>
        <v>0</v>
      </c>
      <c r="H5" s="302">
        <f t="shared" si="2"/>
        <v>0</v>
      </c>
      <c r="I5" s="302">
        <f t="shared" si="2"/>
        <v>75000</v>
      </c>
      <c r="J5" s="302">
        <f t="shared" si="2"/>
        <v>400000</v>
      </c>
      <c r="K5" s="302">
        <f t="shared" si="2"/>
        <v>720000</v>
      </c>
      <c r="L5" s="302">
        <f t="shared" si="2"/>
        <v>100000</v>
      </c>
      <c r="M5" s="302">
        <f t="shared" si="2"/>
        <v>50000</v>
      </c>
      <c r="N5" s="302">
        <f t="shared" si="2"/>
        <v>1345000</v>
      </c>
    </row>
    <row r="6" spans="1:15" s="516" customFormat="1" ht="45" x14ac:dyDescent="0.2">
      <c r="A6" s="516" t="s">
        <v>450</v>
      </c>
      <c r="B6" s="516" t="s">
        <v>443</v>
      </c>
      <c r="C6" s="517"/>
      <c r="D6" s="517"/>
      <c r="E6" s="518"/>
      <c r="F6" s="519">
        <f>SUM(F7:F9)</f>
        <v>475000</v>
      </c>
      <c r="G6" s="519">
        <f t="shared" ref="G6:N6" si="3">SUM(G7:G9)</f>
        <v>0</v>
      </c>
      <c r="H6" s="519">
        <f t="shared" si="3"/>
        <v>0</v>
      </c>
      <c r="I6" s="519">
        <f t="shared" si="3"/>
        <v>75000</v>
      </c>
      <c r="J6" s="519">
        <f t="shared" si="3"/>
        <v>400000</v>
      </c>
      <c r="K6" s="519">
        <f t="shared" si="3"/>
        <v>0</v>
      </c>
      <c r="L6" s="519">
        <f t="shared" si="3"/>
        <v>0</v>
      </c>
      <c r="M6" s="519">
        <f t="shared" si="3"/>
        <v>0</v>
      </c>
      <c r="N6" s="519">
        <f t="shared" si="3"/>
        <v>475000</v>
      </c>
    </row>
    <row r="7" spans="1:15" s="303" customFormat="1" ht="48.75" customHeight="1" x14ac:dyDescent="0.2">
      <c r="B7" s="303" t="s">
        <v>275</v>
      </c>
      <c r="C7" s="304" t="s">
        <v>276</v>
      </c>
      <c r="D7" s="304">
        <v>5</v>
      </c>
      <c r="E7" s="305">
        <v>25000</v>
      </c>
      <c r="F7" s="306">
        <f t="shared" ref="F7:F15" si="4">D7*E7</f>
        <v>125000</v>
      </c>
      <c r="I7" s="307">
        <f>+F7*0.6</f>
        <v>75000</v>
      </c>
      <c r="J7" s="307">
        <f>+F7*0.4</f>
        <v>50000</v>
      </c>
      <c r="K7" s="307"/>
      <c r="L7" s="307"/>
      <c r="M7" s="307"/>
      <c r="N7" s="522">
        <f t="shared" ref="N7:N28" si="5">SUM(I7:M7)</f>
        <v>125000</v>
      </c>
    </row>
    <row r="8" spans="1:15" s="303" customFormat="1" ht="34.5" customHeight="1" x14ac:dyDescent="0.2">
      <c r="B8" s="303" t="s">
        <v>277</v>
      </c>
      <c r="C8" s="304" t="s">
        <v>278</v>
      </c>
      <c r="D8" s="304">
        <v>5</v>
      </c>
      <c r="E8" s="305">
        <v>26000</v>
      </c>
      <c r="F8" s="306">
        <f t="shared" si="4"/>
        <v>130000</v>
      </c>
      <c r="I8" s="307"/>
      <c r="J8" s="307">
        <f>+F8</f>
        <v>130000</v>
      </c>
      <c r="K8" s="307"/>
      <c r="L8" s="307"/>
      <c r="M8" s="307"/>
      <c r="N8" s="522">
        <f t="shared" si="5"/>
        <v>130000</v>
      </c>
    </row>
    <row r="9" spans="1:15" s="303" customFormat="1" ht="59.25" customHeight="1" x14ac:dyDescent="0.2">
      <c r="B9" s="303" t="s">
        <v>76</v>
      </c>
      <c r="C9" s="304" t="s">
        <v>278</v>
      </c>
      <c r="D9" s="304">
        <v>5</v>
      </c>
      <c r="E9" s="305">
        <f>(10000*4)+4000</f>
        <v>44000</v>
      </c>
      <c r="F9" s="306">
        <f t="shared" si="4"/>
        <v>220000</v>
      </c>
      <c r="I9" s="307"/>
      <c r="J9" s="307">
        <f>+F9</f>
        <v>220000</v>
      </c>
      <c r="K9" s="307"/>
      <c r="L9" s="307"/>
      <c r="M9" s="307"/>
      <c r="N9" s="522">
        <f t="shared" si="5"/>
        <v>220000</v>
      </c>
    </row>
    <row r="10" spans="1:15" s="516" customFormat="1" ht="60" x14ac:dyDescent="0.2">
      <c r="A10" s="516" t="s">
        <v>451</v>
      </c>
      <c r="B10" s="516" t="s">
        <v>444</v>
      </c>
      <c r="C10" s="517"/>
      <c r="D10" s="517"/>
      <c r="E10" s="518">
        <f>SUM(E11:E12)</f>
        <v>40000</v>
      </c>
      <c r="F10" s="518">
        <f t="shared" ref="F10:N10" si="6">SUM(F11:F12)</f>
        <v>200000</v>
      </c>
      <c r="G10" s="518">
        <f t="shared" si="6"/>
        <v>0</v>
      </c>
      <c r="H10" s="518">
        <f t="shared" si="6"/>
        <v>0</v>
      </c>
      <c r="I10" s="518">
        <f t="shared" si="6"/>
        <v>0</v>
      </c>
      <c r="J10" s="518">
        <f t="shared" si="6"/>
        <v>0</v>
      </c>
      <c r="K10" s="518">
        <f t="shared" si="6"/>
        <v>200000</v>
      </c>
      <c r="L10" s="518">
        <f t="shared" si="6"/>
        <v>0</v>
      </c>
      <c r="M10" s="518">
        <f t="shared" si="6"/>
        <v>0</v>
      </c>
      <c r="N10" s="518">
        <f t="shared" si="6"/>
        <v>200000</v>
      </c>
    </row>
    <row r="11" spans="1:15" s="312" customFormat="1" ht="57.75" customHeight="1" x14ac:dyDescent="0.2">
      <c r="B11" s="308" t="s">
        <v>279</v>
      </c>
      <c r="C11" s="309" t="s">
        <v>278</v>
      </c>
      <c r="D11" s="309">
        <v>5</v>
      </c>
      <c r="E11" s="310">
        <v>20000</v>
      </c>
      <c r="F11" s="524">
        <f>D11*E11</f>
        <v>100000</v>
      </c>
      <c r="G11" s="312" t="s">
        <v>280</v>
      </c>
      <c r="I11" s="313"/>
      <c r="J11" s="313"/>
      <c r="K11" s="313">
        <f>+F11</f>
        <v>100000</v>
      </c>
      <c r="L11" s="313"/>
      <c r="M11" s="313"/>
      <c r="N11" s="525">
        <f t="shared" si="5"/>
        <v>100000</v>
      </c>
    </row>
    <row r="12" spans="1:15" s="526" customFormat="1" ht="57.75" customHeight="1" x14ac:dyDescent="0.2">
      <c r="B12" s="527" t="s">
        <v>281</v>
      </c>
      <c r="C12" s="528" t="s">
        <v>282</v>
      </c>
      <c r="D12" s="528">
        <v>5</v>
      </c>
      <c r="E12" s="529">
        <v>20000</v>
      </c>
      <c r="F12" s="524">
        <f>D12*E12</f>
        <v>100000</v>
      </c>
      <c r="G12" s="526" t="s">
        <v>283</v>
      </c>
      <c r="I12" s="530"/>
      <c r="J12" s="530"/>
      <c r="K12" s="530">
        <f>+F12</f>
        <v>100000</v>
      </c>
      <c r="L12" s="530"/>
      <c r="M12" s="530"/>
      <c r="N12" s="525">
        <f t="shared" si="5"/>
        <v>100000</v>
      </c>
    </row>
    <row r="13" spans="1:15" s="516" customFormat="1" ht="30" x14ac:dyDescent="0.2">
      <c r="A13" s="516" t="s">
        <v>452</v>
      </c>
      <c r="B13" s="516" t="s">
        <v>445</v>
      </c>
      <c r="C13" s="517"/>
      <c r="D13" s="517"/>
      <c r="E13" s="518"/>
      <c r="F13" s="518">
        <f>SUM(F14:F16)</f>
        <v>570000</v>
      </c>
      <c r="G13" s="518">
        <f t="shared" ref="G13:L13" si="7">SUM(G14:G16)</f>
        <v>0</v>
      </c>
      <c r="H13" s="518">
        <f t="shared" si="7"/>
        <v>0</v>
      </c>
      <c r="I13" s="518">
        <f t="shared" si="7"/>
        <v>0</v>
      </c>
      <c r="J13" s="518">
        <f t="shared" si="7"/>
        <v>0</v>
      </c>
      <c r="K13" s="518">
        <f t="shared" si="7"/>
        <v>520000</v>
      </c>
      <c r="L13" s="518">
        <f t="shared" si="7"/>
        <v>50000</v>
      </c>
      <c r="M13" s="518">
        <f>SUM(M14:M16)</f>
        <v>0</v>
      </c>
      <c r="N13" s="518">
        <f t="shared" ref="N13" si="8">SUM(N14:N16)</f>
        <v>570000</v>
      </c>
    </row>
    <row r="14" spans="1:15" s="312" customFormat="1" ht="57.75" customHeight="1" x14ac:dyDescent="0.2">
      <c r="B14" s="308" t="s">
        <v>284</v>
      </c>
      <c r="C14" s="309" t="s">
        <v>278</v>
      </c>
      <c r="D14" s="309">
        <v>5</v>
      </c>
      <c r="E14" s="310">
        <v>49000</v>
      </c>
      <c r="F14" s="311">
        <f>+D14*E14</f>
        <v>245000</v>
      </c>
      <c r="G14" s="312" t="s">
        <v>285</v>
      </c>
      <c r="I14" s="313"/>
      <c r="J14" s="313"/>
      <c r="K14" s="313">
        <f>+F14</f>
        <v>245000</v>
      </c>
      <c r="L14" s="313"/>
      <c r="M14" s="313"/>
      <c r="N14" s="522">
        <f t="shared" si="5"/>
        <v>245000</v>
      </c>
    </row>
    <row r="15" spans="1:15" s="312" customFormat="1" ht="57.75" customHeight="1" x14ac:dyDescent="0.2">
      <c r="B15" s="308" t="s">
        <v>286</v>
      </c>
      <c r="C15" s="309" t="s">
        <v>287</v>
      </c>
      <c r="D15" s="309">
        <v>5</v>
      </c>
      <c r="E15" s="310">
        <v>15000</v>
      </c>
      <c r="F15" s="311">
        <f t="shared" si="4"/>
        <v>75000</v>
      </c>
      <c r="G15" s="312" t="s">
        <v>283</v>
      </c>
      <c r="I15" s="313"/>
      <c r="J15" s="313"/>
      <c r="K15" s="313">
        <f>+F15</f>
        <v>75000</v>
      </c>
      <c r="L15" s="313"/>
      <c r="M15" s="313"/>
      <c r="N15" s="538">
        <f t="shared" si="5"/>
        <v>75000</v>
      </c>
    </row>
    <row r="16" spans="1:15" s="312" customFormat="1" ht="66" customHeight="1" x14ac:dyDescent="0.2">
      <c r="B16" s="308" t="s">
        <v>288</v>
      </c>
      <c r="C16" s="309" t="s">
        <v>278</v>
      </c>
      <c r="D16" s="309">
        <v>5</v>
      </c>
      <c r="E16" s="310">
        <v>50000</v>
      </c>
      <c r="F16" s="311">
        <f>+D16*E16</f>
        <v>250000</v>
      </c>
      <c r="G16" s="312" t="s">
        <v>280</v>
      </c>
      <c r="H16" s="312" t="s">
        <v>289</v>
      </c>
      <c r="I16" s="313"/>
      <c r="J16" s="313"/>
      <c r="K16" s="313">
        <f>+F16*0.8</f>
        <v>200000</v>
      </c>
      <c r="L16" s="313">
        <f>+F16*0.2</f>
        <v>50000</v>
      </c>
      <c r="M16" s="313"/>
      <c r="N16" s="538">
        <f t="shared" si="5"/>
        <v>250000</v>
      </c>
    </row>
    <row r="17" spans="1:15" s="520" customFormat="1" ht="48.75" customHeight="1" x14ac:dyDescent="0.2">
      <c r="A17" s="520" t="s">
        <v>453</v>
      </c>
      <c r="B17" s="523" t="s">
        <v>290</v>
      </c>
      <c r="C17" s="294" t="s">
        <v>278</v>
      </c>
      <c r="D17" s="294">
        <v>5</v>
      </c>
      <c r="E17" s="295">
        <f>30000*3</f>
        <v>90000</v>
      </c>
      <c r="F17" s="316">
        <f>D17*E17</f>
        <v>450000</v>
      </c>
      <c r="I17" s="521"/>
      <c r="J17" s="521"/>
      <c r="K17" s="521">
        <f>+F17*0.8</f>
        <v>360000</v>
      </c>
      <c r="L17" s="521">
        <f>+F17*0.2</f>
        <v>90000</v>
      </c>
      <c r="M17" s="521"/>
      <c r="N17" s="298">
        <f t="shared" si="5"/>
        <v>450000</v>
      </c>
    </row>
    <row r="18" spans="1:15" s="520" customFormat="1" ht="38.25" customHeight="1" x14ac:dyDescent="0.2">
      <c r="A18" s="520" t="s">
        <v>514</v>
      </c>
      <c r="B18" s="523" t="s">
        <v>446</v>
      </c>
      <c r="C18" s="294" t="s">
        <v>278</v>
      </c>
      <c r="D18" s="294">
        <v>5</v>
      </c>
      <c r="E18" s="295">
        <v>20000</v>
      </c>
      <c r="F18" s="316">
        <f>D18*E18</f>
        <v>100000</v>
      </c>
      <c r="I18" s="521"/>
      <c r="J18" s="521"/>
      <c r="K18" s="521"/>
      <c r="L18" s="521">
        <v>50000</v>
      </c>
      <c r="M18" s="521">
        <v>50000</v>
      </c>
      <c r="N18" s="298">
        <f t="shared" si="5"/>
        <v>100000</v>
      </c>
    </row>
    <row r="19" spans="1:15" s="299" customFormat="1" ht="30" x14ac:dyDescent="0.2">
      <c r="A19" s="299" t="s">
        <v>454</v>
      </c>
      <c r="B19" s="299" t="s">
        <v>315</v>
      </c>
      <c r="C19" s="300"/>
      <c r="D19" s="300"/>
      <c r="E19" s="301"/>
      <c r="F19" s="302">
        <f>+F20+F21+F26+F27+F28</f>
        <v>1505000</v>
      </c>
      <c r="G19" s="302" t="e">
        <f t="shared" ref="G19:N19" si="9">+G20+G21+G26+G27+G28</f>
        <v>#VALUE!</v>
      </c>
      <c r="H19" s="302">
        <f t="shared" si="9"/>
        <v>0</v>
      </c>
      <c r="I19" s="302">
        <f t="shared" si="9"/>
        <v>55000</v>
      </c>
      <c r="J19" s="302">
        <f t="shared" si="9"/>
        <v>1221500</v>
      </c>
      <c r="K19" s="302">
        <f t="shared" si="9"/>
        <v>226500</v>
      </c>
      <c r="L19" s="302">
        <f t="shared" si="9"/>
        <v>2000</v>
      </c>
      <c r="M19" s="302">
        <f t="shared" si="9"/>
        <v>0</v>
      </c>
      <c r="N19" s="302">
        <f t="shared" si="9"/>
        <v>1505000</v>
      </c>
    </row>
    <row r="20" spans="1:15" s="520" customFormat="1" ht="30" x14ac:dyDescent="0.2">
      <c r="A20" s="520" t="s">
        <v>457</v>
      </c>
      <c r="B20" s="523" t="s">
        <v>460</v>
      </c>
      <c r="C20" s="294" t="s">
        <v>278</v>
      </c>
      <c r="D20" s="294">
        <v>5</v>
      </c>
      <c r="E20" s="295">
        <f>6*10000</f>
        <v>60000</v>
      </c>
      <c r="F20" s="316">
        <f t="shared" ref="F20:F26" si="10">D20*E20</f>
        <v>300000</v>
      </c>
      <c r="I20" s="521">
        <v>25000</v>
      </c>
      <c r="J20" s="521">
        <v>200000</v>
      </c>
      <c r="K20" s="521">
        <v>75000</v>
      </c>
      <c r="L20" s="521"/>
      <c r="M20" s="521"/>
      <c r="N20" s="298">
        <f t="shared" si="5"/>
        <v>300000</v>
      </c>
      <c r="O20" s="531" t="s">
        <v>461</v>
      </c>
    </row>
    <row r="21" spans="1:15" s="520" customFormat="1" ht="31.5" customHeight="1" x14ac:dyDescent="0.2">
      <c r="A21" s="520" t="s">
        <v>456</v>
      </c>
      <c r="B21" s="523" t="s">
        <v>455</v>
      </c>
      <c r="C21" s="294"/>
      <c r="D21" s="294"/>
      <c r="E21" s="295"/>
      <c r="F21" s="316">
        <f>SUM(F22:F25)</f>
        <v>555000</v>
      </c>
      <c r="G21" s="316">
        <f t="shared" ref="G21:N21" si="11">SUM(G22:G25)</f>
        <v>0</v>
      </c>
      <c r="H21" s="316">
        <f t="shared" si="11"/>
        <v>0</v>
      </c>
      <c r="I21" s="316">
        <f t="shared" si="11"/>
        <v>30000</v>
      </c>
      <c r="J21" s="316">
        <f t="shared" si="11"/>
        <v>521500</v>
      </c>
      <c r="K21" s="316">
        <f t="shared" si="11"/>
        <v>1500</v>
      </c>
      <c r="L21" s="316">
        <f t="shared" si="11"/>
        <v>2000</v>
      </c>
      <c r="M21" s="316">
        <f t="shared" si="11"/>
        <v>0</v>
      </c>
      <c r="N21" s="316">
        <f t="shared" si="11"/>
        <v>555000</v>
      </c>
    </row>
    <row r="22" spans="1:15" s="303" customFormat="1" ht="27.75" customHeight="1" x14ac:dyDescent="0.2">
      <c r="B22" s="314" t="s">
        <v>81</v>
      </c>
      <c r="C22" s="304" t="s">
        <v>41</v>
      </c>
      <c r="D22" s="304">
        <v>5</v>
      </c>
      <c r="E22" s="305">
        <v>80000</v>
      </c>
      <c r="F22" s="306">
        <f t="shared" si="10"/>
        <v>400000</v>
      </c>
      <c r="G22" s="303" t="s">
        <v>291</v>
      </c>
      <c r="I22" s="307"/>
      <c r="J22" s="307">
        <f>+F22</f>
        <v>400000</v>
      </c>
      <c r="K22" s="307"/>
      <c r="L22" s="307"/>
      <c r="M22" s="307"/>
      <c r="N22" s="522">
        <f t="shared" si="5"/>
        <v>400000</v>
      </c>
    </row>
    <row r="23" spans="1:15" s="303" customFormat="1" ht="36" customHeight="1" x14ac:dyDescent="0.2">
      <c r="B23" s="314" t="s">
        <v>82</v>
      </c>
      <c r="C23" s="304" t="s">
        <v>41</v>
      </c>
      <c r="D23" s="304">
        <v>5</v>
      </c>
      <c r="E23" s="305">
        <v>20000</v>
      </c>
      <c r="F23" s="306">
        <f t="shared" si="10"/>
        <v>100000</v>
      </c>
      <c r="G23" s="303" t="s">
        <v>285</v>
      </c>
      <c r="I23" s="307">
        <v>20000</v>
      </c>
      <c r="J23" s="307">
        <v>80000</v>
      </c>
      <c r="K23" s="307"/>
      <c r="L23" s="307"/>
      <c r="M23" s="307"/>
      <c r="N23" s="522">
        <f t="shared" si="5"/>
        <v>100000</v>
      </c>
    </row>
    <row r="24" spans="1:15" s="303" customFormat="1" ht="36" customHeight="1" x14ac:dyDescent="0.2">
      <c r="B24" s="314" t="s">
        <v>83</v>
      </c>
      <c r="C24" s="304" t="s">
        <v>41</v>
      </c>
      <c r="D24" s="304">
        <v>5</v>
      </c>
      <c r="E24" s="305">
        <v>10000</v>
      </c>
      <c r="F24" s="306">
        <f t="shared" si="10"/>
        <v>50000</v>
      </c>
      <c r="G24" s="303" t="s">
        <v>292</v>
      </c>
      <c r="I24" s="307">
        <v>10000</v>
      </c>
      <c r="J24" s="307">
        <v>40000</v>
      </c>
      <c r="K24" s="307"/>
      <c r="L24" s="307"/>
      <c r="M24" s="307"/>
      <c r="N24" s="522">
        <f t="shared" si="5"/>
        <v>50000</v>
      </c>
    </row>
    <row r="25" spans="1:15" s="303" customFormat="1" ht="36" customHeight="1" x14ac:dyDescent="0.2">
      <c r="B25" s="314" t="s">
        <v>84</v>
      </c>
      <c r="C25" s="304" t="s">
        <v>41</v>
      </c>
      <c r="D25" s="304">
        <v>5</v>
      </c>
      <c r="E25" s="305">
        <v>1000</v>
      </c>
      <c r="F25" s="306">
        <f t="shared" si="10"/>
        <v>5000</v>
      </c>
      <c r="G25" s="303" t="s">
        <v>293</v>
      </c>
      <c r="I25" s="307"/>
      <c r="J25" s="307">
        <v>1500</v>
      </c>
      <c r="K25" s="307">
        <v>1500</v>
      </c>
      <c r="L25" s="307">
        <v>2000</v>
      </c>
      <c r="M25" s="307"/>
      <c r="N25" s="522">
        <f t="shared" si="5"/>
        <v>5000</v>
      </c>
    </row>
    <row r="26" spans="1:15" s="520" customFormat="1" ht="31.5" customHeight="1" x14ac:dyDescent="0.2">
      <c r="A26" s="520" t="s">
        <v>458</v>
      </c>
      <c r="B26" s="523" t="s">
        <v>85</v>
      </c>
      <c r="C26" s="294" t="s">
        <v>41</v>
      </c>
      <c r="D26" s="294">
        <v>5</v>
      </c>
      <c r="E26" s="295">
        <v>80000</v>
      </c>
      <c r="F26" s="316">
        <f t="shared" si="10"/>
        <v>400000</v>
      </c>
      <c r="G26" s="316" t="s">
        <v>292</v>
      </c>
      <c r="H26" s="316"/>
      <c r="I26" s="316"/>
      <c r="J26" s="316">
        <f>+F26</f>
        <v>400000</v>
      </c>
      <c r="K26" s="316"/>
      <c r="L26" s="316"/>
      <c r="M26" s="316"/>
      <c r="N26" s="316">
        <f t="shared" si="5"/>
        <v>400000</v>
      </c>
    </row>
    <row r="27" spans="1:15" s="520" customFormat="1" ht="36" customHeight="1" x14ac:dyDescent="0.2">
      <c r="A27" s="520" t="s">
        <v>462</v>
      </c>
      <c r="B27" s="523" t="s">
        <v>86</v>
      </c>
      <c r="C27" s="294" t="s">
        <v>278</v>
      </c>
      <c r="D27" s="294">
        <v>5</v>
      </c>
      <c r="E27" s="295">
        <v>10000</v>
      </c>
      <c r="F27" s="316">
        <f>E27*D27</f>
        <v>50000</v>
      </c>
      <c r="G27" s="520" t="s">
        <v>293</v>
      </c>
      <c r="I27" s="521"/>
      <c r="J27" s="521"/>
      <c r="K27" s="521">
        <f>+F27</f>
        <v>50000</v>
      </c>
      <c r="L27" s="521"/>
      <c r="M27" s="521"/>
      <c r="N27" s="298">
        <f t="shared" si="5"/>
        <v>50000</v>
      </c>
    </row>
    <row r="28" spans="1:15" s="532" customFormat="1" ht="36" customHeight="1" x14ac:dyDescent="0.2">
      <c r="A28" s="532" t="s">
        <v>463</v>
      </c>
      <c r="B28" s="533" t="s">
        <v>459</v>
      </c>
      <c r="C28" s="534" t="s">
        <v>278</v>
      </c>
      <c r="D28" s="534">
        <v>5</v>
      </c>
      <c r="E28" s="535">
        <f>10000*4</f>
        <v>40000</v>
      </c>
      <c r="F28" s="536">
        <f>E28*D28</f>
        <v>200000</v>
      </c>
      <c r="G28" s="532" t="s">
        <v>294</v>
      </c>
      <c r="I28" s="537"/>
      <c r="J28" s="537">
        <f>+F28*0.5</f>
        <v>100000</v>
      </c>
      <c r="K28" s="537">
        <f>+F28*0.5</f>
        <v>100000</v>
      </c>
      <c r="L28" s="537"/>
      <c r="M28" s="537"/>
      <c r="N28" s="525">
        <f t="shared" si="5"/>
        <v>200000</v>
      </c>
    </row>
    <row r="29" spans="1:15" s="303" customFormat="1" x14ac:dyDescent="0.2">
      <c r="B29" s="315"/>
      <c r="C29" s="304"/>
      <c r="D29" s="304"/>
      <c r="E29" s="305"/>
      <c r="F29" s="316"/>
    </row>
    <row r="30" spans="1:15" s="319" customFormat="1" x14ac:dyDescent="0.2">
      <c r="B30" s="317"/>
      <c r="C30" s="318"/>
      <c r="D30" s="318"/>
      <c r="E30" s="295"/>
      <c r="F30" s="316"/>
    </row>
    <row r="31" spans="1:15" ht="18.75" x14ac:dyDescent="0.2">
      <c r="F31" s="320"/>
    </row>
    <row r="32" spans="1:15" x14ac:dyDescent="0.2">
      <c r="F32" s="284"/>
    </row>
    <row r="33" spans="6:6" x14ac:dyDescent="0.2">
      <c r="F33" s="284"/>
    </row>
    <row r="34" spans="6:6" x14ac:dyDescent="0.2">
      <c r="F34" s="284"/>
    </row>
  </sheetData>
  <pageMargins left="0.70000000000000007" right="0.70000000000000007" top="0.75000000000000011" bottom="0.75000000000000011" header="0.30000000000000004" footer="0.30000000000000004"/>
  <pageSetup paperSize="9" scale="18" orientation="portrait"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70" zoomScaleNormal="70" workbookViewId="0">
      <pane xSplit="2" ySplit="2" topLeftCell="C3" activePane="bottomRight" state="frozen"/>
      <selection activeCell="C20" sqref="C20:C21"/>
      <selection pane="topRight" activeCell="C20" sqref="C20:C21"/>
      <selection pane="bottomLeft" activeCell="C20" sqref="C20:C21"/>
      <selection pane="bottomRight" activeCell="C20" sqref="C20:C21"/>
    </sheetView>
  </sheetViews>
  <sheetFormatPr defaultColWidth="9.140625" defaultRowHeight="12.75" x14ac:dyDescent="0.2"/>
  <cols>
    <col min="1" max="1" width="7.42578125" style="208" customWidth="1"/>
    <col min="2" max="2" width="64.28515625" style="238" customWidth="1"/>
    <col min="3" max="3" width="15.28515625" style="197" customWidth="1"/>
    <col min="4" max="5" width="9.140625" style="197"/>
    <col min="6" max="6" width="11.28515625" style="197" customWidth="1"/>
    <col min="7" max="7" width="13.85546875" style="197" customWidth="1"/>
    <col min="8" max="8" width="13.5703125" style="197" customWidth="1"/>
    <col min="9" max="9" width="17" style="197" customWidth="1"/>
    <col min="10" max="10" width="19.42578125" style="197" customWidth="1"/>
    <col min="11" max="16384" width="9.140625" style="197"/>
  </cols>
  <sheetData>
    <row r="1" spans="1:10" ht="38.25" x14ac:dyDescent="0.2">
      <c r="B1" s="209"/>
      <c r="C1" s="210" t="s">
        <v>67</v>
      </c>
      <c r="D1" s="210" t="s">
        <v>68</v>
      </c>
      <c r="E1" s="210" t="s">
        <v>69</v>
      </c>
      <c r="F1" s="211" t="s">
        <v>70</v>
      </c>
      <c r="G1" s="211" t="s">
        <v>71</v>
      </c>
      <c r="H1" s="211" t="s">
        <v>71</v>
      </c>
      <c r="I1" s="210" t="s">
        <v>72</v>
      </c>
      <c r="J1" s="212" t="s">
        <v>197</v>
      </c>
    </row>
    <row r="2" spans="1:10" s="219" customFormat="1" ht="17.25" customHeight="1" x14ac:dyDescent="0.2">
      <c r="A2" s="213"/>
      <c r="B2" s="214" t="s">
        <v>228</v>
      </c>
      <c r="C2" s="215"/>
      <c r="D2" s="215"/>
      <c r="E2" s="215" t="s">
        <v>73</v>
      </c>
      <c r="F2" s="216"/>
      <c r="G2" s="217"/>
      <c r="H2" s="218"/>
      <c r="I2" s="215"/>
    </row>
    <row r="3" spans="1:10" ht="25.5" x14ac:dyDescent="0.2">
      <c r="B3" s="220" t="s">
        <v>229</v>
      </c>
      <c r="C3" s="221"/>
      <c r="D3" s="221"/>
      <c r="E3" s="221"/>
      <c r="F3" s="222"/>
      <c r="G3" s="223">
        <f>SUM(G4:G9)</f>
        <v>1100000</v>
      </c>
      <c r="H3" s="223">
        <f>SUM(H4:H9)</f>
        <v>1100000</v>
      </c>
      <c r="I3" s="283" t="s">
        <v>270</v>
      </c>
    </row>
    <row r="4" spans="1:10" ht="48" customHeight="1" x14ac:dyDescent="0.2">
      <c r="A4" s="208">
        <v>1</v>
      </c>
      <c r="B4" s="225" t="s">
        <v>233</v>
      </c>
      <c r="C4" s="226" t="s">
        <v>91</v>
      </c>
      <c r="D4" s="226">
        <v>5</v>
      </c>
      <c r="E4" s="226">
        <v>4</v>
      </c>
      <c r="F4" s="227">
        <v>5000</v>
      </c>
      <c r="G4" s="239">
        <f>+D4*E4*F4</f>
        <v>100000</v>
      </c>
      <c r="H4" s="228">
        <v>100000</v>
      </c>
      <c r="I4" s="229" t="s">
        <v>74</v>
      </c>
    </row>
    <row r="5" spans="1:10" ht="45.75" customHeight="1" x14ac:dyDescent="0.2">
      <c r="A5" s="208">
        <v>2</v>
      </c>
      <c r="B5" s="225" t="s">
        <v>75</v>
      </c>
      <c r="C5" s="226" t="s">
        <v>91</v>
      </c>
      <c r="D5" s="226">
        <v>5</v>
      </c>
      <c r="E5" s="226">
        <v>3</v>
      </c>
      <c r="F5" s="227">
        <v>8000</v>
      </c>
      <c r="G5" s="239">
        <f>+D5*E5*F5</f>
        <v>120000</v>
      </c>
      <c r="H5" s="228">
        <v>120000</v>
      </c>
      <c r="I5" s="230"/>
    </row>
    <row r="6" spans="1:10" ht="51" x14ac:dyDescent="0.2">
      <c r="A6" s="208">
        <v>3</v>
      </c>
      <c r="B6" s="225" t="s">
        <v>76</v>
      </c>
      <c r="C6" s="226" t="s">
        <v>91</v>
      </c>
      <c r="D6" s="226">
        <v>5</v>
      </c>
      <c r="E6" s="226">
        <v>4</v>
      </c>
      <c r="F6" s="227">
        <v>44000</v>
      </c>
      <c r="G6" s="239">
        <f t="shared" ref="G6" si="0">D6*F6</f>
        <v>220000</v>
      </c>
      <c r="H6" s="228">
        <v>220000</v>
      </c>
      <c r="I6" s="230"/>
    </row>
    <row r="7" spans="1:10" ht="38.25" x14ac:dyDescent="0.2">
      <c r="A7" s="208">
        <v>4</v>
      </c>
      <c r="B7" s="231" t="s">
        <v>77</v>
      </c>
      <c r="C7" s="232" t="s">
        <v>91</v>
      </c>
      <c r="D7" s="232">
        <v>5</v>
      </c>
      <c r="E7" s="232">
        <v>3</v>
      </c>
      <c r="F7" s="233">
        <v>30000</v>
      </c>
      <c r="G7" s="240">
        <f>+D7*E7*F7</f>
        <v>450000</v>
      </c>
      <c r="H7" s="234">
        <v>450000</v>
      </c>
      <c r="I7" s="235" t="s">
        <v>235</v>
      </c>
      <c r="J7" s="236" t="s">
        <v>232</v>
      </c>
    </row>
    <row r="8" spans="1:10" ht="23.25" customHeight="1" x14ac:dyDescent="0.2">
      <c r="A8" s="208">
        <v>5</v>
      </c>
      <c r="B8" s="225" t="s">
        <v>78</v>
      </c>
      <c r="C8" s="226" t="s">
        <v>91</v>
      </c>
      <c r="D8" s="226">
        <v>5</v>
      </c>
      <c r="E8" s="226">
        <v>3</v>
      </c>
      <c r="F8" s="227">
        <v>7000</v>
      </c>
      <c r="G8" s="239">
        <f>+D8*E8*F8</f>
        <v>105000</v>
      </c>
      <c r="H8" s="228">
        <v>105000</v>
      </c>
      <c r="I8" s="230"/>
    </row>
    <row r="9" spans="1:10" ht="34.5" customHeight="1" x14ac:dyDescent="0.2">
      <c r="A9" s="208">
        <v>6</v>
      </c>
      <c r="B9" s="225" t="s">
        <v>79</v>
      </c>
      <c r="C9" s="226" t="s">
        <v>91</v>
      </c>
      <c r="D9" s="226">
        <v>5</v>
      </c>
      <c r="E9" s="226">
        <v>3</v>
      </c>
      <c r="F9" s="227">
        <v>7000</v>
      </c>
      <c r="G9" s="239">
        <f>+D9*E9*F9</f>
        <v>105000</v>
      </c>
      <c r="H9" s="228">
        <v>105000</v>
      </c>
      <c r="I9" s="230"/>
    </row>
    <row r="10" spans="1:10" ht="22.5" customHeight="1" x14ac:dyDescent="0.2">
      <c r="B10" s="237" t="s">
        <v>230</v>
      </c>
      <c r="C10" s="221"/>
      <c r="D10" s="221"/>
      <c r="E10" s="221"/>
      <c r="F10" s="222"/>
      <c r="G10" s="223">
        <f>SUM(G11:G18)</f>
        <v>1520000</v>
      </c>
      <c r="H10" s="223">
        <f>SUM(H11:H18)</f>
        <v>1540000</v>
      </c>
      <c r="I10" s="224"/>
    </row>
    <row r="11" spans="1:10" ht="63.75" x14ac:dyDescent="0.2">
      <c r="A11" s="208">
        <v>1</v>
      </c>
      <c r="B11" s="225" t="s">
        <v>80</v>
      </c>
      <c r="C11" s="226" t="s">
        <v>91</v>
      </c>
      <c r="D11" s="226">
        <v>5</v>
      </c>
      <c r="E11" s="226">
        <v>6</v>
      </c>
      <c r="F11" s="227">
        <v>10000</v>
      </c>
      <c r="G11" s="239">
        <f>D11*F11*E11</f>
        <v>300000</v>
      </c>
      <c r="H11" s="228">
        <v>300000</v>
      </c>
      <c r="I11" s="230"/>
    </row>
    <row r="12" spans="1:10" ht="25.5" x14ac:dyDescent="0.2">
      <c r="A12" s="208">
        <v>2</v>
      </c>
      <c r="B12" s="225" t="s">
        <v>81</v>
      </c>
      <c r="C12" s="226" t="s">
        <v>41</v>
      </c>
      <c r="D12" s="226">
        <v>5</v>
      </c>
      <c r="E12" s="226"/>
      <c r="F12" s="227">
        <v>140000</v>
      </c>
      <c r="G12" s="239">
        <f>D12*F12</f>
        <v>700000</v>
      </c>
      <c r="H12" s="228">
        <v>700000</v>
      </c>
      <c r="I12" s="230"/>
    </row>
    <row r="13" spans="1:10" ht="15" customHeight="1" x14ac:dyDescent="0.2">
      <c r="A13" s="208">
        <v>3</v>
      </c>
      <c r="B13" s="225" t="s">
        <v>82</v>
      </c>
      <c r="C13" s="226" t="s">
        <v>41</v>
      </c>
      <c r="D13" s="226">
        <v>5</v>
      </c>
      <c r="E13" s="226"/>
      <c r="F13" s="227">
        <v>10000</v>
      </c>
      <c r="G13" s="239">
        <f>D13*F13</f>
        <v>50000</v>
      </c>
      <c r="H13" s="228">
        <v>50000</v>
      </c>
      <c r="I13" s="230"/>
    </row>
    <row r="14" spans="1:10" ht="15" customHeight="1" x14ac:dyDescent="0.2">
      <c r="A14" s="208">
        <v>4</v>
      </c>
      <c r="B14" s="225" t="s">
        <v>83</v>
      </c>
      <c r="C14" s="226" t="s">
        <v>41</v>
      </c>
      <c r="D14" s="226"/>
      <c r="E14" s="226"/>
      <c r="F14" s="227"/>
      <c r="G14" s="239">
        <v>33000</v>
      </c>
      <c r="H14" s="228">
        <v>33000</v>
      </c>
      <c r="I14" s="230"/>
    </row>
    <row r="15" spans="1:10" ht="15" customHeight="1" x14ac:dyDescent="0.2">
      <c r="A15" s="208">
        <v>5</v>
      </c>
      <c r="B15" s="225" t="s">
        <v>84</v>
      </c>
      <c r="C15" s="226" t="s">
        <v>41</v>
      </c>
      <c r="D15" s="226">
        <v>5</v>
      </c>
      <c r="E15" s="226"/>
      <c r="F15" s="227">
        <v>400</v>
      </c>
      <c r="G15" s="239">
        <f>D15*F15</f>
        <v>2000</v>
      </c>
      <c r="H15" s="228">
        <v>2000</v>
      </c>
      <c r="I15" s="230"/>
    </row>
    <row r="16" spans="1:10" ht="15" customHeight="1" x14ac:dyDescent="0.2">
      <c r="A16" s="208">
        <v>6</v>
      </c>
      <c r="B16" s="225" t="s">
        <v>85</v>
      </c>
      <c r="C16" s="226" t="s">
        <v>41</v>
      </c>
      <c r="D16" s="226">
        <v>5</v>
      </c>
      <c r="E16" s="226"/>
      <c r="F16" s="227">
        <v>70000</v>
      </c>
      <c r="G16" s="239">
        <f>D16*F16</f>
        <v>350000</v>
      </c>
      <c r="H16" s="228">
        <v>400000</v>
      </c>
    </row>
    <row r="17" spans="1:9" ht="15" customHeight="1" x14ac:dyDescent="0.2">
      <c r="A17" s="208">
        <v>7</v>
      </c>
      <c r="B17" s="225" t="s">
        <v>86</v>
      </c>
      <c r="C17" s="226" t="s">
        <v>91</v>
      </c>
      <c r="D17" s="226">
        <v>5</v>
      </c>
      <c r="E17" s="226"/>
      <c r="F17" s="227">
        <v>5000</v>
      </c>
      <c r="G17" s="239">
        <f>F17*D17</f>
        <v>25000</v>
      </c>
      <c r="H17" s="228">
        <v>25000</v>
      </c>
    </row>
    <row r="18" spans="1:9" ht="15" customHeight="1" x14ac:dyDescent="0.2">
      <c r="A18" s="208">
        <v>8</v>
      </c>
      <c r="B18" s="225" t="s">
        <v>87</v>
      </c>
      <c r="C18" s="226" t="s">
        <v>91</v>
      </c>
      <c r="D18" s="226">
        <v>5</v>
      </c>
      <c r="E18" s="226"/>
      <c r="F18" s="227"/>
      <c r="G18" s="239">
        <v>60000</v>
      </c>
      <c r="H18" s="228">
        <v>30000</v>
      </c>
    </row>
    <row r="19" spans="1:9" ht="20.25" customHeight="1" x14ac:dyDescent="0.2">
      <c r="B19" s="237" t="s">
        <v>234</v>
      </c>
      <c r="C19" s="221"/>
      <c r="D19" s="221"/>
      <c r="E19" s="221"/>
      <c r="F19" s="222"/>
      <c r="G19" s="223">
        <f>SUM(G20:G22)</f>
        <v>380000</v>
      </c>
      <c r="H19" s="223">
        <f>SUM(H20:H22)</f>
        <v>370000</v>
      </c>
      <c r="I19" s="197" t="s">
        <v>236</v>
      </c>
    </row>
    <row r="20" spans="1:9" ht="63" customHeight="1" x14ac:dyDescent="0.2">
      <c r="A20" s="208">
        <v>1</v>
      </c>
      <c r="B20" s="225" t="s">
        <v>237</v>
      </c>
      <c r="C20" s="226" t="s">
        <v>91</v>
      </c>
      <c r="D20" s="226">
        <v>5</v>
      </c>
      <c r="E20" s="226">
        <v>6</v>
      </c>
      <c r="F20" s="227">
        <v>8000</v>
      </c>
      <c r="G20" s="239">
        <f>D20*F20*E20</f>
        <v>240000</v>
      </c>
      <c r="H20" s="228">
        <v>240000</v>
      </c>
      <c r="I20" s="197" t="s">
        <v>238</v>
      </c>
    </row>
    <row r="21" spans="1:9" ht="25.5" x14ac:dyDescent="0.2">
      <c r="A21" s="208">
        <v>2</v>
      </c>
      <c r="B21" s="225" t="s">
        <v>88</v>
      </c>
      <c r="C21" s="226" t="s">
        <v>91</v>
      </c>
      <c r="D21" s="226"/>
      <c r="E21" s="226"/>
      <c r="F21" s="227"/>
      <c r="G21" s="241">
        <v>20000</v>
      </c>
      <c r="H21" s="228">
        <v>10000</v>
      </c>
      <c r="I21" s="197" t="s">
        <v>231</v>
      </c>
    </row>
    <row r="22" spans="1:9" ht="25.5" x14ac:dyDescent="0.2">
      <c r="A22" s="208">
        <v>3</v>
      </c>
      <c r="B22" s="225" t="s">
        <v>89</v>
      </c>
      <c r="C22" s="226" t="s">
        <v>91</v>
      </c>
      <c r="D22" s="226">
        <v>5</v>
      </c>
      <c r="E22" s="226">
        <v>12</v>
      </c>
      <c r="F22" s="227">
        <v>2000</v>
      </c>
      <c r="G22" s="239">
        <f>D22*F22*E22</f>
        <v>120000</v>
      </c>
      <c r="H22" s="228">
        <v>120000</v>
      </c>
    </row>
    <row r="23" spans="1:9" ht="20.25" customHeight="1" x14ac:dyDescent="0.2">
      <c r="B23" s="237" t="s">
        <v>43</v>
      </c>
      <c r="C23" s="221"/>
      <c r="D23" s="221"/>
      <c r="E23" s="221"/>
      <c r="F23" s="222" t="s">
        <v>90</v>
      </c>
      <c r="G23" s="223">
        <f>+G19+G10+G3</f>
        <v>3000000</v>
      </c>
      <c r="H23" s="223">
        <f>+H19+H10+H3</f>
        <v>3010000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pane xSplit="1" ySplit="4" topLeftCell="B5" activePane="bottomRight" state="frozen"/>
      <selection activeCell="C20" sqref="C20:C21"/>
      <selection pane="topRight" activeCell="C20" sqref="C20:C21"/>
      <selection pane="bottomLeft" activeCell="C20" sqref="C20:C21"/>
      <selection pane="bottomRight" activeCell="C20" sqref="C20:C21"/>
    </sheetView>
  </sheetViews>
  <sheetFormatPr defaultRowHeight="18.75" customHeight="1" x14ac:dyDescent="0.2"/>
  <cols>
    <col min="1" max="1" width="5.7109375" style="618" customWidth="1"/>
    <col min="2" max="2" width="55.7109375" style="17" customWidth="1"/>
    <col min="3" max="3" width="20.140625" style="17" customWidth="1"/>
    <col min="4" max="7" width="10" style="17" customWidth="1"/>
    <col min="8" max="8" width="10.7109375" style="17" customWidth="1"/>
    <col min="9" max="9" width="9.140625" style="17"/>
    <col min="10" max="10" width="29" style="17" customWidth="1"/>
    <col min="11" max="16384" width="9.140625" style="17"/>
  </cols>
  <sheetData>
    <row r="1" spans="1:11" ht="18.75" customHeight="1" x14ac:dyDescent="0.25">
      <c r="A1" s="600"/>
      <c r="B1" s="601" t="s">
        <v>484</v>
      </c>
      <c r="C1" s="602"/>
      <c r="D1" s="602"/>
      <c r="E1" s="602"/>
      <c r="F1" s="602"/>
      <c r="G1" s="602"/>
      <c r="H1" s="602"/>
      <c r="I1" s="602"/>
      <c r="J1" s="602"/>
      <c r="K1" s="602"/>
    </row>
    <row r="2" spans="1:11" ht="11.25" customHeight="1" x14ac:dyDescent="0.25">
      <c r="A2" s="600"/>
      <c r="B2" s="602"/>
      <c r="C2" s="602"/>
      <c r="D2" s="603"/>
      <c r="E2" s="603"/>
      <c r="F2" s="603"/>
      <c r="G2" s="602"/>
      <c r="H2" s="602"/>
      <c r="I2" s="602"/>
      <c r="J2" s="602"/>
      <c r="K2" s="602"/>
    </row>
    <row r="3" spans="1:11" ht="18.75" customHeight="1" x14ac:dyDescent="0.25">
      <c r="A3" s="604"/>
      <c r="B3" s="605" t="s">
        <v>485</v>
      </c>
      <c r="C3" s="605" t="s">
        <v>486</v>
      </c>
      <c r="D3" s="596">
        <v>2017</v>
      </c>
      <c r="E3" s="596">
        <v>2018</v>
      </c>
      <c r="F3" s="596">
        <v>2019</v>
      </c>
      <c r="G3" s="596">
        <v>2020</v>
      </c>
      <c r="H3" s="605" t="s">
        <v>10</v>
      </c>
      <c r="I3" s="602"/>
      <c r="J3" s="602"/>
      <c r="K3" s="602"/>
    </row>
    <row r="4" spans="1:11" ht="18.75" customHeight="1" x14ac:dyDescent="0.25">
      <c r="A4" s="600"/>
      <c r="B4" s="597" t="s">
        <v>487</v>
      </c>
      <c r="C4" s="597"/>
      <c r="D4" s="597"/>
      <c r="E4" s="597"/>
      <c r="F4" s="597"/>
      <c r="G4" s="597"/>
      <c r="H4" s="597"/>
      <c r="I4" s="602"/>
      <c r="J4" s="602"/>
      <c r="K4" s="602"/>
    </row>
    <row r="5" spans="1:11" ht="18.75" customHeight="1" x14ac:dyDescent="0.25">
      <c r="A5" s="600"/>
      <c r="B5" s="606"/>
      <c r="C5" s="593"/>
      <c r="D5" s="593"/>
      <c r="E5" s="593"/>
      <c r="F5" s="593"/>
      <c r="G5" s="602"/>
      <c r="H5" s="593"/>
      <c r="I5" s="602"/>
      <c r="J5" s="602"/>
      <c r="K5" s="602"/>
    </row>
    <row r="6" spans="1:11" ht="18.75" customHeight="1" x14ac:dyDescent="0.25">
      <c r="A6" s="607">
        <v>1</v>
      </c>
      <c r="B6" s="608" t="s">
        <v>501</v>
      </c>
      <c r="C6" s="594" t="s">
        <v>488</v>
      </c>
      <c r="D6" s="598"/>
      <c r="E6" s="598">
        <v>25000</v>
      </c>
      <c r="F6" s="598"/>
      <c r="G6" s="598"/>
      <c r="H6" s="609">
        <f>SUM(D6:G6)</f>
        <v>25000</v>
      </c>
      <c r="I6" s="602"/>
      <c r="J6" s="995" t="s">
        <v>507</v>
      </c>
      <c r="K6" s="602"/>
    </row>
    <row r="7" spans="1:11" ht="18.75" customHeight="1" x14ac:dyDescent="0.25">
      <c r="A7" s="607">
        <v>2</v>
      </c>
      <c r="B7" s="608" t="s">
        <v>502</v>
      </c>
      <c r="C7" s="594" t="s">
        <v>488</v>
      </c>
      <c r="D7" s="598"/>
      <c r="E7" s="598">
        <v>25000</v>
      </c>
      <c r="F7" s="598"/>
      <c r="G7" s="598"/>
      <c r="H7" s="609">
        <f t="shared" ref="H7:H11" si="0">SUM(D7:G7)</f>
        <v>25000</v>
      </c>
      <c r="I7" s="602"/>
      <c r="J7" s="995"/>
      <c r="K7" s="602"/>
    </row>
    <row r="8" spans="1:11" ht="18.75" customHeight="1" x14ac:dyDescent="0.25">
      <c r="A8" s="607">
        <v>3</v>
      </c>
      <c r="B8" s="608" t="s">
        <v>503</v>
      </c>
      <c r="C8" s="594" t="s">
        <v>488</v>
      </c>
      <c r="D8" s="598">
        <v>25000</v>
      </c>
      <c r="E8" s="598"/>
      <c r="F8" s="598"/>
      <c r="G8" s="598"/>
      <c r="H8" s="609">
        <f t="shared" si="0"/>
        <v>25000</v>
      </c>
      <c r="I8" s="602"/>
      <c r="J8" s="995"/>
      <c r="K8" s="602"/>
    </row>
    <row r="9" spans="1:11" ht="18.75" customHeight="1" x14ac:dyDescent="0.25">
      <c r="A9" s="607">
        <v>4</v>
      </c>
      <c r="B9" s="608" t="s">
        <v>504</v>
      </c>
      <c r="C9" s="594" t="s">
        <v>488</v>
      </c>
      <c r="D9" s="598">
        <v>8000</v>
      </c>
      <c r="E9" s="598"/>
      <c r="F9" s="598"/>
      <c r="G9" s="598"/>
      <c r="H9" s="609">
        <f t="shared" si="0"/>
        <v>8000</v>
      </c>
      <c r="I9" s="602"/>
      <c r="J9" s="995"/>
      <c r="K9" s="602"/>
    </row>
    <row r="10" spans="1:11" ht="18.75" customHeight="1" x14ac:dyDescent="0.25">
      <c r="A10" s="607">
        <v>5</v>
      </c>
      <c r="B10" s="608" t="s">
        <v>505</v>
      </c>
      <c r="C10" s="594" t="s">
        <v>489</v>
      </c>
      <c r="D10" s="598"/>
      <c r="E10" s="598">
        <v>15000</v>
      </c>
      <c r="F10" s="598"/>
      <c r="G10" s="598"/>
      <c r="H10" s="609">
        <f t="shared" si="0"/>
        <v>15000</v>
      </c>
      <c r="I10" s="602"/>
      <c r="J10" s="995"/>
      <c r="K10" s="602"/>
    </row>
    <row r="11" spans="1:11" ht="18.75" customHeight="1" x14ac:dyDescent="0.25">
      <c r="A11" s="607">
        <v>6</v>
      </c>
      <c r="B11" s="608" t="s">
        <v>506</v>
      </c>
      <c r="C11" s="594" t="s">
        <v>488</v>
      </c>
      <c r="D11" s="598">
        <v>10000</v>
      </c>
      <c r="E11" s="598"/>
      <c r="F11" s="598"/>
      <c r="G11" s="598"/>
      <c r="H11" s="609">
        <f t="shared" si="0"/>
        <v>10000</v>
      </c>
      <c r="I11" s="602"/>
      <c r="J11" s="995"/>
      <c r="K11" s="602"/>
    </row>
    <row r="13" spans="1:11" ht="18.75" customHeight="1" x14ac:dyDescent="0.25">
      <c r="A13" s="607"/>
      <c r="B13" s="606" t="s">
        <v>490</v>
      </c>
      <c r="C13" s="593"/>
      <c r="D13" s="599">
        <f>SUM(D6:D12)</f>
        <v>43000</v>
      </c>
      <c r="E13" s="599">
        <f t="shared" ref="E13:G13" si="1">SUM(E6:E12)</f>
        <v>65000</v>
      </c>
      <c r="F13" s="599">
        <f t="shared" si="1"/>
        <v>0</v>
      </c>
      <c r="G13" s="599">
        <f t="shared" si="1"/>
        <v>0</v>
      </c>
      <c r="H13" s="599">
        <f>SUM(D13:G13)</f>
        <v>108000</v>
      </c>
      <c r="I13" s="602"/>
      <c r="J13" s="602"/>
      <c r="K13" s="606"/>
    </row>
    <row r="14" spans="1:11" ht="18.75" customHeight="1" x14ac:dyDescent="0.25">
      <c r="A14" s="619" t="s">
        <v>510</v>
      </c>
      <c r="B14" s="608" t="s">
        <v>511</v>
      </c>
      <c r="C14" s="594" t="s">
        <v>488</v>
      </c>
      <c r="D14" s="598">
        <v>20000</v>
      </c>
      <c r="E14" s="598"/>
      <c r="F14" s="598"/>
      <c r="G14" s="598"/>
      <c r="H14" s="609">
        <f>SUM(D14:G14)</f>
        <v>20000</v>
      </c>
      <c r="I14" s="602"/>
      <c r="J14" s="604"/>
      <c r="K14" s="602"/>
    </row>
    <row r="15" spans="1:11" ht="12" customHeight="1" x14ac:dyDescent="0.25">
      <c r="A15" s="607"/>
      <c r="B15" s="593"/>
      <c r="C15" s="593"/>
      <c r="D15" s="593"/>
      <c r="E15" s="593"/>
      <c r="F15" s="593"/>
      <c r="G15" s="602"/>
      <c r="H15" s="593"/>
      <c r="I15" s="602"/>
      <c r="J15" s="602"/>
      <c r="K15" s="602"/>
    </row>
    <row r="16" spans="1:11" ht="18.75" customHeight="1" x14ac:dyDescent="0.25">
      <c r="A16" s="607"/>
      <c r="B16" s="597" t="s">
        <v>491</v>
      </c>
      <c r="C16" s="597"/>
      <c r="D16" s="597"/>
      <c r="E16" s="597"/>
      <c r="F16" s="597"/>
      <c r="G16" s="610"/>
      <c r="H16" s="597"/>
      <c r="I16" s="602"/>
      <c r="J16" s="602"/>
      <c r="K16" s="602"/>
    </row>
    <row r="17" spans="1:11" ht="29.25" customHeight="1" x14ac:dyDescent="0.25">
      <c r="A17" s="607">
        <v>1</v>
      </c>
      <c r="B17" s="608" t="s">
        <v>492</v>
      </c>
      <c r="C17" s="595" t="s">
        <v>493</v>
      </c>
      <c r="D17" s="598">
        <v>81000</v>
      </c>
      <c r="E17" s="598">
        <v>450000</v>
      </c>
      <c r="F17" s="598">
        <v>360000</v>
      </c>
      <c r="G17" s="598">
        <v>9000</v>
      </c>
      <c r="H17" s="609">
        <v>900000</v>
      </c>
      <c r="I17" s="602"/>
      <c r="J17" s="606"/>
      <c r="K17" s="602"/>
    </row>
    <row r="18" spans="1:11" ht="18.75" customHeight="1" x14ac:dyDescent="0.25">
      <c r="A18" s="607">
        <v>3</v>
      </c>
      <c r="B18" s="608" t="s">
        <v>495</v>
      </c>
      <c r="C18" s="595" t="s">
        <v>493</v>
      </c>
      <c r="D18" s="598">
        <v>13500</v>
      </c>
      <c r="E18" s="598">
        <v>75000</v>
      </c>
      <c r="F18" s="598">
        <v>60000</v>
      </c>
      <c r="G18" s="598">
        <v>1500</v>
      </c>
      <c r="H18" s="609">
        <v>150000</v>
      </c>
      <c r="I18" s="602"/>
      <c r="J18" s="606"/>
    </row>
    <row r="19" spans="1:11" ht="18.75" customHeight="1" x14ac:dyDescent="0.25">
      <c r="A19" s="607">
        <v>2</v>
      </c>
      <c r="B19" s="608" t="s">
        <v>494</v>
      </c>
      <c r="C19" s="595" t="s">
        <v>493</v>
      </c>
      <c r="D19" s="598">
        <v>20000</v>
      </c>
      <c r="E19" s="598">
        <v>170000</v>
      </c>
      <c r="F19" s="598">
        <v>120000</v>
      </c>
      <c r="G19" s="598">
        <v>12000</v>
      </c>
      <c r="H19" s="609">
        <f>SUM(D19:G19)</f>
        <v>322000</v>
      </c>
      <c r="I19" s="602"/>
      <c r="J19" s="602" t="s">
        <v>475</v>
      </c>
    </row>
    <row r="20" spans="1:11" ht="18.75" customHeight="1" x14ac:dyDescent="0.25">
      <c r="A20" s="600"/>
      <c r="B20" s="606" t="s">
        <v>496</v>
      </c>
      <c r="C20" s="593"/>
      <c r="D20" s="599">
        <v>125280</v>
      </c>
      <c r="E20" s="599">
        <v>696000</v>
      </c>
      <c r="F20" s="599">
        <v>556800</v>
      </c>
      <c r="G20" s="599">
        <v>13920</v>
      </c>
      <c r="H20" s="599">
        <v>1392000</v>
      </c>
      <c r="I20" s="602"/>
      <c r="J20" s="602"/>
    </row>
    <row r="21" spans="1:11" ht="18.75" customHeight="1" x14ac:dyDescent="0.25">
      <c r="A21" s="600"/>
      <c r="B21" s="606" t="s">
        <v>497</v>
      </c>
      <c r="C21" s="593"/>
      <c r="D21" s="599">
        <v>168280</v>
      </c>
      <c r="E21" s="599">
        <v>761000</v>
      </c>
      <c r="F21" s="599">
        <v>556800</v>
      </c>
      <c r="G21" s="599">
        <v>13920</v>
      </c>
      <c r="H21" s="611"/>
      <c r="I21" s="602"/>
      <c r="J21" s="602"/>
    </row>
    <row r="22" spans="1:11" ht="18.75" customHeight="1" x14ac:dyDescent="0.25">
      <c r="A22" s="600"/>
      <c r="B22" s="602"/>
      <c r="C22" s="602"/>
      <c r="D22" s="611"/>
      <c r="E22" s="611"/>
      <c r="F22" s="599">
        <v>1500000</v>
      </c>
      <c r="G22" s="602"/>
      <c r="H22" s="611"/>
      <c r="I22" s="602"/>
      <c r="J22" s="602"/>
    </row>
    <row r="23" spans="1:11" ht="18.75" customHeight="1" x14ac:dyDescent="0.25">
      <c r="A23" s="600"/>
      <c r="B23" s="606" t="s">
        <v>498</v>
      </c>
      <c r="C23" s="612">
        <v>1500000</v>
      </c>
      <c r="D23" s="602"/>
      <c r="E23" s="602"/>
      <c r="F23" s="602"/>
      <c r="G23" s="602"/>
      <c r="H23" s="602"/>
      <c r="I23" s="602"/>
      <c r="J23" s="602"/>
    </row>
    <row r="24" spans="1:11" ht="18.75" customHeight="1" x14ac:dyDescent="0.25">
      <c r="A24" s="600"/>
      <c r="B24" s="606" t="s">
        <v>499</v>
      </c>
      <c r="C24" s="613">
        <v>24000000</v>
      </c>
      <c r="D24" s="614" t="s">
        <v>500</v>
      </c>
      <c r="E24" s="615"/>
      <c r="F24" s="616">
        <v>0</v>
      </c>
      <c r="G24" s="617"/>
      <c r="H24" s="602"/>
      <c r="I24" s="602"/>
      <c r="J24" s="602"/>
    </row>
  </sheetData>
  <mergeCells count="1">
    <mergeCell ref="J6:J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0"/>
  <sheetViews>
    <sheetView topLeftCell="A21" workbookViewId="0">
      <selection activeCell="C20" sqref="C20:C21"/>
    </sheetView>
  </sheetViews>
  <sheetFormatPr defaultRowHeight="12.75" x14ac:dyDescent="0.2"/>
  <cols>
    <col min="1" max="1" width="64.85546875" style="197" customWidth="1"/>
    <col min="2" max="2" width="9.140625" style="197"/>
    <col min="3" max="3" width="12.5703125" style="197" customWidth="1"/>
    <col min="4" max="8" width="9.140625" style="197"/>
    <col min="9" max="9" width="29.5703125" style="197" customWidth="1"/>
    <col min="10" max="16384" width="9.140625" style="197"/>
  </cols>
  <sheetData>
    <row r="1" spans="1:9" ht="60" x14ac:dyDescent="0.2">
      <c r="A1" s="555" t="s">
        <v>167</v>
      </c>
      <c r="B1" s="555" t="s">
        <v>168</v>
      </c>
      <c r="C1" s="996" t="s">
        <v>169</v>
      </c>
      <c r="D1" s="996"/>
      <c r="E1" s="996"/>
      <c r="F1" s="996"/>
      <c r="G1" s="996"/>
      <c r="H1" s="996"/>
      <c r="I1" s="556" t="s">
        <v>197</v>
      </c>
    </row>
    <row r="2" spans="1:9" ht="15" x14ac:dyDescent="0.2">
      <c r="A2" s="997" t="s">
        <v>170</v>
      </c>
      <c r="B2" s="997"/>
      <c r="C2" s="997"/>
      <c r="D2" s="997"/>
      <c r="E2" s="997"/>
      <c r="F2" s="997"/>
      <c r="G2" s="997"/>
      <c r="H2" s="997"/>
      <c r="I2" s="548"/>
    </row>
    <row r="3" spans="1:9" ht="15" x14ac:dyDescent="0.2">
      <c r="A3" s="998" t="s">
        <v>171</v>
      </c>
      <c r="B3" s="998"/>
      <c r="C3" s="998"/>
      <c r="D3" s="998"/>
      <c r="E3" s="998"/>
      <c r="F3" s="998"/>
      <c r="G3" s="998"/>
      <c r="H3" s="998"/>
      <c r="I3" s="548"/>
    </row>
    <row r="4" spans="1:9" ht="15" hidden="1" x14ac:dyDescent="0.2">
      <c r="A4" s="998" t="s">
        <v>172</v>
      </c>
      <c r="B4" s="998"/>
      <c r="C4" s="998"/>
      <c r="D4" s="998"/>
      <c r="E4" s="998"/>
      <c r="F4" s="998"/>
      <c r="G4" s="998"/>
      <c r="H4" s="998"/>
      <c r="I4" s="548"/>
    </row>
    <row r="5" spans="1:9" ht="15" hidden="1" x14ac:dyDescent="0.2">
      <c r="A5" s="557" t="s">
        <v>173</v>
      </c>
      <c r="B5" s="547"/>
      <c r="C5" s="541" t="s">
        <v>174</v>
      </c>
      <c r="D5" s="558">
        <v>2017</v>
      </c>
      <c r="E5" s="558">
        <v>2018</v>
      </c>
      <c r="F5" s="558">
        <v>2019</v>
      </c>
      <c r="G5" s="558">
        <v>2020</v>
      </c>
      <c r="H5" s="559" t="s">
        <v>175</v>
      </c>
      <c r="I5" s="548"/>
    </row>
    <row r="6" spans="1:9" ht="15" hidden="1" x14ac:dyDescent="0.2">
      <c r="A6" s="557" t="s">
        <v>176</v>
      </c>
      <c r="B6" s="542">
        <v>700000</v>
      </c>
      <c r="C6" s="541" t="s">
        <v>174</v>
      </c>
      <c r="D6" s="547"/>
      <c r="E6" s="542">
        <v>700000</v>
      </c>
      <c r="F6" s="547"/>
      <c r="G6" s="547"/>
      <c r="H6" s="560">
        <v>700000</v>
      </c>
      <c r="I6" s="561" t="s">
        <v>177</v>
      </c>
    </row>
    <row r="7" spans="1:9" ht="15" hidden="1" x14ac:dyDescent="0.2">
      <c r="A7" s="557" t="s">
        <v>178</v>
      </c>
      <c r="B7" s="542">
        <v>120000</v>
      </c>
      <c r="C7" s="541" t="s">
        <v>174</v>
      </c>
      <c r="D7" s="562"/>
      <c r="E7" s="563">
        <v>120000</v>
      </c>
      <c r="F7" s="547"/>
      <c r="G7" s="547"/>
      <c r="H7" s="560">
        <v>120000</v>
      </c>
      <c r="I7" s="561" t="s">
        <v>177</v>
      </c>
    </row>
    <row r="8" spans="1:9" ht="15" hidden="1" x14ac:dyDescent="0.2">
      <c r="A8" s="557" t="s">
        <v>179</v>
      </c>
      <c r="B8" s="542">
        <v>210000</v>
      </c>
      <c r="C8" s="541" t="s">
        <v>174</v>
      </c>
      <c r="D8" s="562"/>
      <c r="E8" s="563">
        <v>210000</v>
      </c>
      <c r="F8" s="547"/>
      <c r="G8" s="547"/>
      <c r="H8" s="560">
        <v>210000</v>
      </c>
      <c r="I8" s="561" t="s">
        <v>177</v>
      </c>
    </row>
    <row r="9" spans="1:9" ht="30" hidden="1" x14ac:dyDescent="0.2">
      <c r="A9" s="564" t="s">
        <v>180</v>
      </c>
      <c r="B9" s="542">
        <v>320000</v>
      </c>
      <c r="C9" s="541" t="s">
        <v>174</v>
      </c>
      <c r="D9" s="547"/>
      <c r="E9" s="542">
        <v>320000</v>
      </c>
      <c r="F9" s="547"/>
      <c r="G9" s="547"/>
      <c r="H9" s="560">
        <v>320000</v>
      </c>
      <c r="I9" s="561" t="s">
        <v>177</v>
      </c>
    </row>
    <row r="10" spans="1:9" ht="30" hidden="1" x14ac:dyDescent="0.2">
      <c r="A10" s="557" t="s">
        <v>181</v>
      </c>
      <c r="B10" s="542">
        <v>50000</v>
      </c>
      <c r="C10" s="541" t="s">
        <v>174</v>
      </c>
      <c r="D10" s="565">
        <v>25000</v>
      </c>
      <c r="E10" s="565">
        <v>25000</v>
      </c>
      <c r="F10" s="547"/>
      <c r="G10" s="547"/>
      <c r="H10" s="560">
        <v>50000</v>
      </c>
      <c r="I10" s="561" t="s">
        <v>182</v>
      </c>
    </row>
    <row r="11" spans="1:9" ht="30" hidden="1" x14ac:dyDescent="0.2">
      <c r="A11" s="557" t="s">
        <v>183</v>
      </c>
      <c r="B11" s="542">
        <v>50000</v>
      </c>
      <c r="C11" s="541" t="s">
        <v>174</v>
      </c>
      <c r="D11" s="565">
        <v>25000</v>
      </c>
      <c r="E11" s="565">
        <v>25000</v>
      </c>
      <c r="F11" s="547"/>
      <c r="G11" s="547"/>
      <c r="H11" s="560">
        <v>50000</v>
      </c>
      <c r="I11" s="561" t="s">
        <v>182</v>
      </c>
    </row>
    <row r="12" spans="1:9" ht="15" hidden="1" x14ac:dyDescent="0.2">
      <c r="A12" s="557" t="s">
        <v>135</v>
      </c>
      <c r="B12" s="542">
        <v>60000</v>
      </c>
      <c r="C12" s="541" t="s">
        <v>174</v>
      </c>
      <c r="D12" s="565">
        <v>5400</v>
      </c>
      <c r="E12" s="565">
        <v>54600</v>
      </c>
      <c r="F12" s="547"/>
      <c r="G12" s="547"/>
      <c r="H12" s="560">
        <v>60000</v>
      </c>
      <c r="I12" s="548"/>
    </row>
    <row r="13" spans="1:9" ht="15" hidden="1" x14ac:dyDescent="0.2">
      <c r="A13" s="566" t="s">
        <v>184</v>
      </c>
      <c r="B13" s="567">
        <v>1510000</v>
      </c>
      <c r="C13" s="568" t="s">
        <v>174</v>
      </c>
      <c r="D13" s="567">
        <v>55400</v>
      </c>
      <c r="E13" s="567">
        <v>1454600</v>
      </c>
      <c r="F13" s="568">
        <v>0</v>
      </c>
      <c r="G13" s="568">
        <v>0</v>
      </c>
      <c r="H13" s="560">
        <v>1510000</v>
      </c>
      <c r="I13" s="548"/>
    </row>
    <row r="14" spans="1:9" ht="15" hidden="1" x14ac:dyDescent="0.2">
      <c r="A14" s="557" t="s">
        <v>185</v>
      </c>
      <c r="B14" s="547"/>
      <c r="C14" s="547"/>
      <c r="D14" s="547"/>
      <c r="E14" s="547"/>
      <c r="F14" s="547"/>
      <c r="G14" s="547"/>
      <c r="H14" s="569">
        <v>0</v>
      </c>
      <c r="I14" s="548"/>
    </row>
    <row r="15" spans="1:9" ht="15" hidden="1" x14ac:dyDescent="0.2">
      <c r="A15" s="557" t="s">
        <v>176</v>
      </c>
      <c r="B15" s="542">
        <v>700000</v>
      </c>
      <c r="C15" s="541" t="s">
        <v>186</v>
      </c>
      <c r="D15" s="547"/>
      <c r="E15" s="547"/>
      <c r="F15" s="542">
        <v>700000</v>
      </c>
      <c r="G15" s="547"/>
      <c r="H15" s="560">
        <v>700000</v>
      </c>
      <c r="I15" s="548"/>
    </row>
    <row r="16" spans="1:9" ht="15" hidden="1" x14ac:dyDescent="0.2">
      <c r="A16" s="557" t="s">
        <v>178</v>
      </c>
      <c r="B16" s="542">
        <v>120000</v>
      </c>
      <c r="C16" s="541" t="s">
        <v>186</v>
      </c>
      <c r="D16" s="547"/>
      <c r="E16" s="562"/>
      <c r="F16" s="563">
        <v>120000</v>
      </c>
      <c r="G16" s="547"/>
      <c r="H16" s="560">
        <v>120000</v>
      </c>
      <c r="I16" s="548"/>
    </row>
    <row r="17" spans="1:9" ht="15" hidden="1" x14ac:dyDescent="0.2">
      <c r="A17" s="557" t="s">
        <v>179</v>
      </c>
      <c r="B17" s="542">
        <v>210000</v>
      </c>
      <c r="C17" s="541" t="s">
        <v>186</v>
      </c>
      <c r="D17" s="547"/>
      <c r="E17" s="562"/>
      <c r="F17" s="563">
        <v>210000</v>
      </c>
      <c r="G17" s="547"/>
      <c r="H17" s="560">
        <v>210000</v>
      </c>
      <c r="I17" s="548"/>
    </row>
    <row r="18" spans="1:9" ht="15" hidden="1" x14ac:dyDescent="0.2">
      <c r="A18" s="557" t="s">
        <v>135</v>
      </c>
      <c r="B18" s="542">
        <v>60000</v>
      </c>
      <c r="C18" s="541" t="s">
        <v>186</v>
      </c>
      <c r="D18" s="547"/>
      <c r="E18" s="565">
        <v>5400</v>
      </c>
      <c r="F18" s="563">
        <v>54600</v>
      </c>
      <c r="G18" s="547"/>
      <c r="H18" s="560">
        <v>60000</v>
      </c>
      <c r="I18" s="548"/>
    </row>
    <row r="19" spans="1:9" ht="15" hidden="1" x14ac:dyDescent="0.2">
      <c r="A19" s="557" t="s">
        <v>187</v>
      </c>
      <c r="B19" s="567">
        <v>1090000</v>
      </c>
      <c r="C19" s="568" t="s">
        <v>186</v>
      </c>
      <c r="D19" s="568">
        <v>0</v>
      </c>
      <c r="E19" s="567">
        <v>5400</v>
      </c>
      <c r="F19" s="567">
        <v>1084600</v>
      </c>
      <c r="G19" s="568">
        <v>0</v>
      </c>
      <c r="H19" s="560">
        <v>1090000</v>
      </c>
      <c r="I19" s="548"/>
    </row>
    <row r="20" spans="1:9" ht="15" hidden="1" x14ac:dyDescent="0.2">
      <c r="A20" s="570" t="s">
        <v>188</v>
      </c>
      <c r="B20" s="544">
        <v>2600000</v>
      </c>
      <c r="C20" s="545" t="s">
        <v>189</v>
      </c>
      <c r="D20" s="544">
        <v>55400</v>
      </c>
      <c r="E20" s="544">
        <v>1460000</v>
      </c>
      <c r="F20" s="544">
        <v>1084600</v>
      </c>
      <c r="G20" s="545">
        <v>0</v>
      </c>
      <c r="H20" s="546">
        <v>2600000</v>
      </c>
      <c r="I20" s="548"/>
    </row>
    <row r="21" spans="1:9" s="571" customFormat="1" ht="30" x14ac:dyDescent="0.2">
      <c r="A21" s="549" t="s">
        <v>190</v>
      </c>
      <c r="B21" s="550"/>
      <c r="C21" s="550"/>
      <c r="D21" s="550">
        <v>2017</v>
      </c>
      <c r="E21" s="550">
        <v>2018</v>
      </c>
      <c r="F21" s="550">
        <v>2019</v>
      </c>
      <c r="G21" s="550">
        <v>2020</v>
      </c>
      <c r="H21" s="550"/>
      <c r="I21" s="550"/>
    </row>
    <row r="22" spans="1:9" ht="45" x14ac:dyDescent="0.2">
      <c r="A22" s="540" t="s">
        <v>473</v>
      </c>
      <c r="B22" s="572">
        <v>580000</v>
      </c>
      <c r="C22" s="573" t="s">
        <v>191</v>
      </c>
      <c r="D22" s="543">
        <v>0</v>
      </c>
      <c r="E22" s="543">
        <v>400000</v>
      </c>
      <c r="F22" s="543">
        <v>180000</v>
      </c>
      <c r="G22" s="543">
        <v>0</v>
      </c>
      <c r="H22" s="543">
        <f>SUM(D22:G22)</f>
        <v>580000</v>
      </c>
      <c r="I22" s="548" t="s">
        <v>472</v>
      </c>
    </row>
    <row r="23" spans="1:9" ht="45" x14ac:dyDescent="0.2">
      <c r="A23" s="540" t="s">
        <v>192</v>
      </c>
      <c r="B23" s="572">
        <v>300000</v>
      </c>
      <c r="C23" s="573" t="s">
        <v>193</v>
      </c>
      <c r="D23" s="543">
        <v>50000</v>
      </c>
      <c r="E23" s="543">
        <v>200000</v>
      </c>
      <c r="F23" s="543">
        <v>50000</v>
      </c>
      <c r="G23" s="543">
        <v>0</v>
      </c>
      <c r="H23" s="543">
        <f>SUM(D23:G23)</f>
        <v>300000</v>
      </c>
      <c r="I23" s="548" t="s">
        <v>471</v>
      </c>
    </row>
    <row r="24" spans="1:9" ht="30" x14ac:dyDescent="0.2">
      <c r="A24" s="540" t="s">
        <v>194</v>
      </c>
      <c r="B24" s="543">
        <v>200000</v>
      </c>
      <c r="C24" s="573" t="s">
        <v>193</v>
      </c>
      <c r="D24" s="543">
        <v>25000</v>
      </c>
      <c r="E24" s="543">
        <v>75000</v>
      </c>
      <c r="F24" s="543">
        <v>0</v>
      </c>
      <c r="G24" s="543">
        <v>0</v>
      </c>
      <c r="H24" s="543">
        <f t="shared" ref="H24:H25" si="0">SUM(D24:G24)</f>
        <v>100000</v>
      </c>
      <c r="I24" s="548" t="s">
        <v>471</v>
      </c>
    </row>
    <row r="25" spans="1:9" ht="15" x14ac:dyDescent="0.2">
      <c r="A25" s="540" t="s">
        <v>195</v>
      </c>
      <c r="B25" s="543">
        <v>220000</v>
      </c>
      <c r="C25" s="573" t="s">
        <v>193</v>
      </c>
      <c r="D25" s="543"/>
      <c r="E25" s="543">
        <v>160000</v>
      </c>
      <c r="F25" s="543">
        <v>160000</v>
      </c>
      <c r="G25" s="543"/>
      <c r="H25" s="543">
        <f t="shared" si="0"/>
        <v>320000</v>
      </c>
      <c r="I25" s="548" t="s">
        <v>471</v>
      </c>
    </row>
    <row r="26" spans="1:9" s="571" customFormat="1" ht="15" x14ac:dyDescent="0.2">
      <c r="A26" s="551" t="s">
        <v>196</v>
      </c>
      <c r="B26" s="552">
        <v>1300000</v>
      </c>
      <c r="C26" s="553" t="s">
        <v>193</v>
      </c>
      <c r="D26" s="554">
        <f>SUM(D22:D25)</f>
        <v>75000</v>
      </c>
      <c r="E26" s="554">
        <f t="shared" ref="E26:G26" si="1">SUM(E22:E25)</f>
        <v>835000</v>
      </c>
      <c r="F26" s="554">
        <f t="shared" si="1"/>
        <v>390000</v>
      </c>
      <c r="G26" s="554">
        <f t="shared" si="1"/>
        <v>0</v>
      </c>
      <c r="H26" s="554">
        <f>SUM(D26:G26)</f>
        <v>1300000</v>
      </c>
      <c r="I26" s="550"/>
    </row>
    <row r="29" spans="1:9" x14ac:dyDescent="0.2">
      <c r="D29" s="197">
        <v>16200</v>
      </c>
      <c r="E29" s="197">
        <v>90000</v>
      </c>
      <c r="F29" s="197">
        <v>72000</v>
      </c>
      <c r="G29" s="197">
        <v>1800</v>
      </c>
      <c r="H29" s="197">
        <v>180000</v>
      </c>
    </row>
    <row r="30" spans="1:9" x14ac:dyDescent="0.2">
      <c r="D30" s="197">
        <f>+D23/$H$23</f>
        <v>0.16666666666666666</v>
      </c>
      <c r="E30" s="197">
        <f t="shared" ref="E30:G30" si="2">+E23/$H$23</f>
        <v>0.66666666666666663</v>
      </c>
      <c r="F30" s="197">
        <f t="shared" si="2"/>
        <v>0.16666666666666666</v>
      </c>
      <c r="G30" s="197">
        <f t="shared" si="2"/>
        <v>0</v>
      </c>
    </row>
  </sheetData>
  <mergeCells count="4">
    <mergeCell ref="C1:H1"/>
    <mergeCell ref="A2:H2"/>
    <mergeCell ref="A3:H3"/>
    <mergeCell ref="A4:H4"/>
  </mergeCells>
  <pageMargins left="0.7" right="0.7" top="0.75" bottom="0.75" header="0.3" footer="0.3"/>
  <pageSetup paperSize="9" orientation="portrait" verticalDpi="0"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120" zoomScaleNormal="120" workbookViewId="0">
      <selection activeCell="C20" sqref="C20:C21"/>
    </sheetView>
  </sheetViews>
  <sheetFormatPr defaultRowHeight="12.75" x14ac:dyDescent="0.2"/>
  <cols>
    <col min="1" max="1" width="65.42578125" style="141" customWidth="1"/>
    <col min="2" max="2" width="13.7109375" style="141" customWidth="1"/>
    <col min="3" max="6" width="9.140625" style="141"/>
    <col min="7" max="7" width="11.7109375" style="141" customWidth="1"/>
    <col min="8" max="8" width="13.140625" style="141" customWidth="1"/>
    <col min="9" max="16384" width="9.140625" style="141"/>
  </cols>
  <sheetData>
    <row r="1" spans="1:9" ht="15.75" thickBot="1" x14ac:dyDescent="0.25">
      <c r="A1" s="138"/>
      <c r="B1" s="139" t="s">
        <v>10</v>
      </c>
      <c r="C1" s="140">
        <v>2017</v>
      </c>
      <c r="D1" s="140">
        <v>2018</v>
      </c>
      <c r="E1" s="140">
        <v>2019</v>
      </c>
      <c r="F1" s="140">
        <v>2020</v>
      </c>
      <c r="G1" s="138"/>
      <c r="H1" s="138"/>
    </row>
    <row r="2" spans="1:9" ht="15.75" thickBot="1" x14ac:dyDescent="0.25">
      <c r="A2" s="142"/>
      <c r="B2" s="143">
        <v>800000</v>
      </c>
      <c r="C2" s="144">
        <v>72000</v>
      </c>
      <c r="D2" s="144">
        <v>400000</v>
      </c>
      <c r="E2" s="144">
        <v>320000</v>
      </c>
      <c r="F2" s="140">
        <v>8000</v>
      </c>
      <c r="G2" s="138"/>
      <c r="H2" s="138"/>
    </row>
    <row r="3" spans="1:9" ht="16.5" thickTop="1" thickBot="1" x14ac:dyDescent="0.25">
      <c r="A3" s="999" t="s">
        <v>156</v>
      </c>
      <c r="B3" s="1000"/>
      <c r="C3" s="1000"/>
      <c r="D3" s="1000"/>
      <c r="E3" s="1001"/>
      <c r="F3" s="138"/>
      <c r="G3" s="138"/>
      <c r="H3" s="138"/>
    </row>
    <row r="4" spans="1:9" ht="16.5" thickTop="1" thickBot="1" x14ac:dyDescent="0.25">
      <c r="A4" s="1002"/>
      <c r="B4" s="1003"/>
      <c r="C4" s="1003"/>
      <c r="D4" s="1003"/>
      <c r="E4" s="1004"/>
      <c r="F4" s="138"/>
      <c r="G4" s="138"/>
      <c r="H4" s="138"/>
    </row>
    <row r="5" spans="1:9" ht="16.5" thickTop="1" thickBot="1" x14ac:dyDescent="0.25">
      <c r="A5" s="145"/>
      <c r="B5" s="145"/>
      <c r="C5" s="140">
        <v>2017</v>
      </c>
      <c r="D5" s="140">
        <v>2018</v>
      </c>
      <c r="E5" s="140">
        <v>2019</v>
      </c>
      <c r="F5" s="140">
        <v>2020</v>
      </c>
      <c r="G5" s="138"/>
      <c r="H5" s="138"/>
    </row>
    <row r="6" spans="1:9" ht="15.75" thickBot="1" x14ac:dyDescent="0.25">
      <c r="A6" s="139" t="s">
        <v>165</v>
      </c>
      <c r="B6" s="146">
        <v>25000</v>
      </c>
      <c r="C6" s="147">
        <v>25000</v>
      </c>
      <c r="D6" s="148"/>
      <c r="E6" s="148"/>
      <c r="F6" s="148"/>
      <c r="G6" s="146">
        <v>25000</v>
      </c>
      <c r="H6" s="1005">
        <f>SUM(G6:G9)</f>
        <v>230000</v>
      </c>
      <c r="I6" s="1008" t="s">
        <v>162</v>
      </c>
    </row>
    <row r="7" spans="1:9" ht="15.75" thickBot="1" x14ac:dyDescent="0.25">
      <c r="A7" s="139" t="s">
        <v>157</v>
      </c>
      <c r="B7" s="146">
        <v>25000</v>
      </c>
      <c r="C7" s="147">
        <v>25000</v>
      </c>
      <c r="D7" s="148"/>
      <c r="E7" s="148"/>
      <c r="F7" s="148"/>
      <c r="G7" s="146">
        <v>25000</v>
      </c>
      <c r="H7" s="1006"/>
      <c r="I7" s="1008"/>
    </row>
    <row r="8" spans="1:9" ht="15.75" thickBot="1" x14ac:dyDescent="0.25">
      <c r="A8" s="139" t="s">
        <v>158</v>
      </c>
      <c r="B8" s="146">
        <v>60000</v>
      </c>
      <c r="C8" s="147">
        <v>30000</v>
      </c>
      <c r="D8" s="147">
        <v>30000</v>
      </c>
      <c r="E8" s="148"/>
      <c r="F8" s="148"/>
      <c r="G8" s="146">
        <v>60000</v>
      </c>
      <c r="H8" s="1006"/>
      <c r="I8" s="1008"/>
    </row>
    <row r="9" spans="1:9" ht="15.75" thickBot="1" x14ac:dyDescent="0.25">
      <c r="A9" s="139" t="s">
        <v>159</v>
      </c>
      <c r="B9" s="146">
        <v>120000</v>
      </c>
      <c r="C9" s="147">
        <v>20000</v>
      </c>
      <c r="D9" s="147">
        <v>100000</v>
      </c>
      <c r="E9" s="148"/>
      <c r="F9" s="148"/>
      <c r="G9" s="146">
        <v>120000</v>
      </c>
      <c r="H9" s="1007"/>
      <c r="I9" s="1008"/>
    </row>
    <row r="10" spans="1:9" ht="15.75" thickBot="1" x14ac:dyDescent="0.25">
      <c r="A10" s="139" t="s">
        <v>160</v>
      </c>
      <c r="B10" s="146">
        <v>100000</v>
      </c>
      <c r="C10" s="149"/>
      <c r="D10" s="150">
        <v>50000</v>
      </c>
      <c r="E10" s="150">
        <v>150000</v>
      </c>
      <c r="F10" s="149"/>
      <c r="G10" s="146">
        <v>200000</v>
      </c>
      <c r="H10" s="1005">
        <f>SUM(G10:G11)</f>
        <v>970000</v>
      </c>
      <c r="I10" s="1008" t="s">
        <v>163</v>
      </c>
    </row>
    <row r="11" spans="1:9" ht="15.75" thickBot="1" x14ac:dyDescent="0.25">
      <c r="A11" s="139" t="s">
        <v>161</v>
      </c>
      <c r="B11" s="146">
        <v>870000</v>
      </c>
      <c r="C11" s="149"/>
      <c r="D11" s="150">
        <v>500000</v>
      </c>
      <c r="E11" s="150">
        <v>270000</v>
      </c>
      <c r="F11" s="150"/>
      <c r="G11" s="146">
        <v>770000</v>
      </c>
      <c r="H11" s="1007"/>
      <c r="I11" s="1008"/>
    </row>
    <row r="12" spans="1:9" ht="15.75" thickBot="1" x14ac:dyDescent="0.25">
      <c r="A12" s="138"/>
      <c r="B12" s="146">
        <v>1200000</v>
      </c>
      <c r="C12" s="146">
        <f>SUM(C6:C11)</f>
        <v>100000</v>
      </c>
      <c r="D12" s="146">
        <f t="shared" ref="D12:F12" si="0">SUM(D6:D11)</f>
        <v>680000</v>
      </c>
      <c r="E12" s="146">
        <f t="shared" si="0"/>
        <v>420000</v>
      </c>
      <c r="F12" s="146">
        <f t="shared" si="0"/>
        <v>0</v>
      </c>
      <c r="G12" s="146">
        <v>1200000</v>
      </c>
      <c r="H12" s="146">
        <v>1200000</v>
      </c>
    </row>
    <row r="13" spans="1:9" ht="15.75" thickBot="1" x14ac:dyDescent="0.25">
      <c r="A13" s="138"/>
      <c r="B13" s="138"/>
      <c r="C13" s="138"/>
      <c r="D13" s="138"/>
      <c r="E13" s="138"/>
      <c r="F13" s="138"/>
      <c r="G13" s="138"/>
      <c r="H13" s="138"/>
    </row>
    <row r="14" spans="1:9" ht="15.75" thickBot="1" x14ac:dyDescent="0.25">
      <c r="A14" s="138"/>
      <c r="B14" s="138"/>
      <c r="C14" s="138"/>
      <c r="D14" s="138"/>
      <c r="E14" s="138"/>
      <c r="F14" s="138"/>
      <c r="G14" s="138"/>
      <c r="H14" s="138"/>
    </row>
  </sheetData>
  <mergeCells count="6">
    <mergeCell ref="A3:E3"/>
    <mergeCell ref="A4:E4"/>
    <mergeCell ref="H6:H9"/>
    <mergeCell ref="H10:H11"/>
    <mergeCell ref="I6:I9"/>
    <mergeCell ref="I10:I1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pane xSplit="2" ySplit="1" topLeftCell="C17" activePane="bottomRight" state="frozen"/>
      <selection activeCell="C20" sqref="C20:C21"/>
      <selection pane="topRight" activeCell="C20" sqref="C20:C21"/>
      <selection pane="bottomLeft" activeCell="C20" sqref="C20:C21"/>
      <selection pane="bottomRight" activeCell="C20" sqref="C20:C21"/>
    </sheetView>
  </sheetViews>
  <sheetFormatPr defaultRowHeight="12.75" x14ac:dyDescent="0.2"/>
  <cols>
    <col min="1" max="1" width="9.140625" style="141"/>
    <col min="2" max="2" width="56.5703125" style="141" customWidth="1"/>
    <col min="3" max="4" width="9.140625" style="141"/>
    <col min="5" max="5" width="9.140625" style="196"/>
    <col min="6" max="9" width="9.140625" style="197"/>
    <col min="10" max="16384" width="9.140625" style="141"/>
  </cols>
  <sheetData>
    <row r="1" spans="1:11" ht="30.75" thickBot="1" x14ac:dyDescent="0.25">
      <c r="B1" s="138"/>
      <c r="C1" s="151" t="s">
        <v>199</v>
      </c>
      <c r="D1" s="158" t="s">
        <v>200</v>
      </c>
      <c r="E1" s="159">
        <v>2017</v>
      </c>
      <c r="F1" s="160">
        <v>2018</v>
      </c>
      <c r="G1" s="160">
        <v>2019</v>
      </c>
      <c r="H1" s="160">
        <v>2020</v>
      </c>
      <c r="I1" s="880">
        <v>2021</v>
      </c>
      <c r="J1" s="161" t="s">
        <v>10</v>
      </c>
    </row>
    <row r="2" spans="1:11" ht="15.75" thickBot="1" x14ac:dyDescent="0.25">
      <c r="B2" s="138"/>
      <c r="C2" s="138"/>
      <c r="D2" s="183"/>
      <c r="E2" s="166">
        <v>202500</v>
      </c>
      <c r="F2" s="167">
        <v>1125000</v>
      </c>
      <c r="G2" s="167">
        <v>900000</v>
      </c>
      <c r="H2" s="167">
        <v>22500</v>
      </c>
      <c r="I2" s="173"/>
      <c r="J2" s="168">
        <v>2250000</v>
      </c>
    </row>
    <row r="3" spans="1:11" ht="30.75" thickBot="1" x14ac:dyDescent="0.25">
      <c r="B3" s="151" t="s">
        <v>201</v>
      </c>
      <c r="C3" s="138"/>
      <c r="D3" s="183"/>
      <c r="E3" s="184"/>
      <c r="F3" s="185"/>
      <c r="G3" s="185"/>
      <c r="H3" s="185"/>
      <c r="I3" s="186"/>
      <c r="J3" s="186"/>
    </row>
    <row r="4" spans="1:11" ht="30.75" thickBot="1" x14ac:dyDescent="0.25">
      <c r="B4" s="151" t="s">
        <v>202</v>
      </c>
      <c r="C4" s="138"/>
      <c r="D4" s="183"/>
      <c r="E4" s="184"/>
      <c r="F4" s="185"/>
      <c r="G4" s="185"/>
      <c r="H4" s="185"/>
      <c r="I4" s="186"/>
      <c r="J4" s="186"/>
    </row>
    <row r="5" spans="1:11" ht="15.75" thickBot="1" x14ac:dyDescent="0.25">
      <c r="B5" s="154" t="s">
        <v>167</v>
      </c>
      <c r="C5" s="187"/>
      <c r="D5" s="188"/>
      <c r="E5" s="189"/>
      <c r="F5" s="190"/>
      <c r="G5" s="190"/>
      <c r="H5" s="190"/>
      <c r="I5" s="191"/>
      <c r="J5" s="191"/>
    </row>
    <row r="6" spans="1:11" s="500" customFormat="1" ht="15.75" thickBot="1" x14ac:dyDescent="0.25">
      <c r="A6" s="493" t="s">
        <v>220</v>
      </c>
      <c r="B6" s="494" t="s">
        <v>203</v>
      </c>
      <c r="C6" s="495"/>
      <c r="D6" s="496"/>
      <c r="E6" s="497"/>
      <c r="F6" s="498"/>
      <c r="G6" s="498"/>
      <c r="H6" s="498"/>
      <c r="I6" s="499"/>
      <c r="J6" s="499"/>
    </row>
    <row r="7" spans="1:11" s="197" customFormat="1" ht="15.75" thickBot="1" x14ac:dyDescent="0.25">
      <c r="A7" s="196"/>
      <c r="B7" s="151" t="s">
        <v>204</v>
      </c>
      <c r="C7" s="152">
        <v>15000</v>
      </c>
      <c r="D7" s="183"/>
      <c r="E7" s="166">
        <v>15000</v>
      </c>
      <c r="F7" s="185"/>
      <c r="G7" s="185"/>
      <c r="H7" s="185"/>
      <c r="I7" s="186"/>
      <c r="J7" s="169">
        <f>SUM(E7:H7)</f>
        <v>15000</v>
      </c>
    </row>
    <row r="8" spans="1:11" s="197" customFormat="1" ht="15.75" thickBot="1" x14ac:dyDescent="0.25">
      <c r="A8" s="196"/>
      <c r="B8" s="151" t="s">
        <v>205</v>
      </c>
      <c r="C8" s="152">
        <v>15000</v>
      </c>
      <c r="D8" s="183"/>
      <c r="E8" s="166">
        <v>10000</v>
      </c>
      <c r="F8" s="167">
        <v>5000</v>
      </c>
      <c r="G8" s="185"/>
      <c r="H8" s="185"/>
      <c r="I8" s="186"/>
      <c r="J8" s="169">
        <f t="shared" ref="J8:J33" si="0">SUM(E8:H8)</f>
        <v>15000</v>
      </c>
    </row>
    <row r="9" spans="1:11" s="197" customFormat="1" ht="15.75" thickBot="1" x14ac:dyDescent="0.25">
      <c r="A9" s="196"/>
      <c r="B9" s="151" t="s">
        <v>206</v>
      </c>
      <c r="C9" s="152">
        <v>80000</v>
      </c>
      <c r="D9" s="183"/>
      <c r="E9" s="166">
        <v>20000</v>
      </c>
      <c r="F9" s="167">
        <v>50000</v>
      </c>
      <c r="G9" s="167">
        <v>30000</v>
      </c>
      <c r="H9" s="185"/>
      <c r="I9" s="186"/>
      <c r="J9" s="169">
        <f t="shared" si="0"/>
        <v>100000</v>
      </c>
      <c r="K9" s="197" t="s">
        <v>475</v>
      </c>
    </row>
    <row r="10" spans="1:11" s="197" customFormat="1" ht="15.75" thickBot="1" x14ac:dyDescent="0.25">
      <c r="A10" s="196"/>
      <c r="B10" s="151" t="s">
        <v>207</v>
      </c>
      <c r="C10" s="152">
        <v>100000</v>
      </c>
      <c r="D10" s="183"/>
      <c r="E10" s="184"/>
      <c r="F10" s="167">
        <v>60000</v>
      </c>
      <c r="G10" s="167">
        <v>40000</v>
      </c>
      <c r="H10" s="185"/>
      <c r="I10" s="186"/>
      <c r="J10" s="169">
        <f t="shared" si="0"/>
        <v>100000</v>
      </c>
    </row>
    <row r="11" spans="1:11" s="200" customFormat="1" ht="15.75" thickBot="1" x14ac:dyDescent="0.25">
      <c r="A11" s="198"/>
      <c r="B11" s="162" t="s">
        <v>208</v>
      </c>
      <c r="C11" s="163">
        <v>210000</v>
      </c>
      <c r="D11" s="170">
        <v>210000</v>
      </c>
      <c r="E11" s="199">
        <f t="shared" ref="E11:H11" si="1">SUM(E7:E10)</f>
        <v>45000</v>
      </c>
      <c r="F11" s="199">
        <f t="shared" si="1"/>
        <v>115000</v>
      </c>
      <c r="G11" s="199">
        <f t="shared" si="1"/>
        <v>70000</v>
      </c>
      <c r="H11" s="199">
        <f t="shared" si="1"/>
        <v>0</v>
      </c>
      <c r="I11" s="199"/>
      <c r="J11" s="199">
        <f t="shared" si="0"/>
        <v>230000</v>
      </c>
    </row>
    <row r="12" spans="1:11" s="500" customFormat="1" ht="30.75" thickBot="1" x14ac:dyDescent="0.25">
      <c r="A12" s="493" t="s">
        <v>219</v>
      </c>
      <c r="B12" s="494" t="s">
        <v>209</v>
      </c>
      <c r="C12" s="495"/>
      <c r="D12" s="496"/>
      <c r="E12" s="497"/>
      <c r="F12" s="498"/>
      <c r="G12" s="498"/>
      <c r="H12" s="498"/>
      <c r="I12" s="499"/>
      <c r="J12" s="499">
        <f t="shared" si="0"/>
        <v>0</v>
      </c>
    </row>
    <row r="13" spans="1:11" s="197" customFormat="1" ht="15.75" thickBot="1" x14ac:dyDescent="0.25">
      <c r="A13" s="196" t="s">
        <v>224</v>
      </c>
      <c r="B13" s="151" t="s">
        <v>427</v>
      </c>
      <c r="C13" s="152">
        <v>30000</v>
      </c>
      <c r="D13" s="183"/>
      <c r="E13" s="166">
        <v>25000</v>
      </c>
      <c r="F13" s="167">
        <v>15000</v>
      </c>
      <c r="G13" s="185"/>
      <c r="H13" s="185"/>
      <c r="I13" s="186"/>
      <c r="J13" s="169">
        <f t="shared" si="0"/>
        <v>40000</v>
      </c>
    </row>
    <row r="14" spans="1:11" s="197" customFormat="1" ht="15.75" thickBot="1" x14ac:dyDescent="0.25">
      <c r="A14" s="196"/>
      <c r="B14" s="151" t="s">
        <v>210</v>
      </c>
      <c r="C14" s="152">
        <v>350000</v>
      </c>
      <c r="D14" s="183"/>
      <c r="E14" s="166"/>
      <c r="F14" s="167">
        <v>200000</v>
      </c>
      <c r="G14" s="167">
        <v>150000</v>
      </c>
      <c r="H14" s="185"/>
      <c r="I14" s="186"/>
      <c r="J14" s="169">
        <f t="shared" si="0"/>
        <v>350000</v>
      </c>
      <c r="K14" s="197" t="s">
        <v>475</v>
      </c>
    </row>
    <row r="15" spans="1:11" s="197" customFormat="1" ht="15.75" thickBot="1" x14ac:dyDescent="0.25">
      <c r="A15" s="196"/>
      <c r="B15" s="151" t="s">
        <v>599</v>
      </c>
      <c r="C15" s="152">
        <v>80000</v>
      </c>
      <c r="D15" s="183"/>
      <c r="E15" s="189"/>
      <c r="F15" s="171">
        <v>20000</v>
      </c>
      <c r="G15" s="171">
        <v>40000</v>
      </c>
      <c r="H15" s="171">
        <v>20000</v>
      </c>
      <c r="I15" s="172"/>
      <c r="J15" s="172">
        <f t="shared" si="0"/>
        <v>80000</v>
      </c>
    </row>
    <row r="16" spans="1:11" s="200" customFormat="1" ht="15.75" thickBot="1" x14ac:dyDescent="0.25">
      <c r="A16" s="198"/>
      <c r="B16" s="162" t="s">
        <v>208</v>
      </c>
      <c r="C16" s="163">
        <v>460000</v>
      </c>
      <c r="D16" s="170">
        <v>460000</v>
      </c>
      <c r="E16" s="587">
        <f>SUM(E13:E15)</f>
        <v>25000</v>
      </c>
      <c r="F16" s="587">
        <f t="shared" ref="F16:H16" si="2">SUM(F13:F15)</f>
        <v>235000</v>
      </c>
      <c r="G16" s="587">
        <f t="shared" si="2"/>
        <v>190000</v>
      </c>
      <c r="H16" s="587">
        <f t="shared" si="2"/>
        <v>20000</v>
      </c>
      <c r="I16" s="587"/>
      <c r="J16" s="587">
        <f t="shared" si="0"/>
        <v>470000</v>
      </c>
    </row>
    <row r="17" spans="1:11" s="586" customFormat="1" ht="15.75" thickBot="1" x14ac:dyDescent="0.25">
      <c r="A17" s="582" t="s">
        <v>221</v>
      </c>
      <c r="B17" s="583" t="s">
        <v>211</v>
      </c>
      <c r="C17" s="584"/>
      <c r="D17" s="585"/>
      <c r="E17" s="501"/>
      <c r="F17" s="502"/>
      <c r="G17" s="502"/>
      <c r="H17" s="502"/>
      <c r="I17" s="503"/>
      <c r="J17" s="503">
        <f t="shared" si="0"/>
        <v>0</v>
      </c>
    </row>
    <row r="18" spans="1:11" s="197" customFormat="1" ht="15.75" thickBot="1" x14ac:dyDescent="0.25">
      <c r="A18" s="196"/>
      <c r="B18" s="151" t="s">
        <v>212</v>
      </c>
      <c r="C18" s="152">
        <v>35000</v>
      </c>
      <c r="D18" s="183"/>
      <c r="E18" s="166">
        <v>35000</v>
      </c>
      <c r="F18" s="185"/>
      <c r="G18" s="185"/>
      <c r="H18" s="185"/>
      <c r="I18" s="186"/>
      <c r="J18" s="169">
        <f t="shared" si="0"/>
        <v>35000</v>
      </c>
    </row>
    <row r="19" spans="1:11" s="197" customFormat="1" ht="30.75" thickBot="1" x14ac:dyDescent="0.25">
      <c r="A19" s="196"/>
      <c r="B19" s="151" t="s">
        <v>213</v>
      </c>
      <c r="C19" s="580">
        <v>1400000</v>
      </c>
      <c r="D19" s="581"/>
      <c r="E19" s="579"/>
      <c r="F19" s="577">
        <v>600000</v>
      </c>
      <c r="G19" s="577">
        <v>400000</v>
      </c>
      <c r="H19" s="577"/>
      <c r="I19" s="182"/>
      <c r="J19" s="169">
        <f t="shared" si="0"/>
        <v>1000000</v>
      </c>
      <c r="K19" s="197" t="s">
        <v>227</v>
      </c>
    </row>
    <row r="20" spans="1:11" s="197" customFormat="1" ht="15.75" thickBot="1" x14ac:dyDescent="0.25">
      <c r="A20" s="196"/>
      <c r="B20" s="151" t="s">
        <v>599</v>
      </c>
      <c r="C20" s="152">
        <v>150000</v>
      </c>
      <c r="D20" s="183"/>
      <c r="E20" s="184"/>
      <c r="F20" s="167">
        <v>50000</v>
      </c>
      <c r="G20" s="167">
        <v>50000</v>
      </c>
      <c r="H20" s="167">
        <v>30000</v>
      </c>
      <c r="I20" s="169">
        <v>20000</v>
      </c>
      <c r="J20" s="182">
        <f>SUM(E20:I20)</f>
        <v>150000</v>
      </c>
    </row>
    <row r="21" spans="1:11" s="200" customFormat="1" ht="15.75" thickBot="1" x14ac:dyDescent="0.25">
      <c r="A21" s="198"/>
      <c r="B21" s="162" t="s">
        <v>208</v>
      </c>
      <c r="C21" s="163">
        <v>1585000</v>
      </c>
      <c r="D21" s="170">
        <v>1585000</v>
      </c>
      <c r="E21" s="201">
        <f>SUM(E18:E20)</f>
        <v>35000</v>
      </c>
      <c r="F21" s="201">
        <f t="shared" ref="F21:H21" si="3">SUM(F18:F20)</f>
        <v>650000</v>
      </c>
      <c r="G21" s="201">
        <f t="shared" si="3"/>
        <v>450000</v>
      </c>
      <c r="H21" s="201">
        <f t="shared" si="3"/>
        <v>30000</v>
      </c>
      <c r="I21" s="201"/>
      <c r="J21" s="201">
        <f t="shared" si="0"/>
        <v>1165000</v>
      </c>
    </row>
    <row r="22" spans="1:11" s="195" customFormat="1" ht="15.75" thickBot="1" x14ac:dyDescent="0.25">
      <c r="A22" s="196" t="s">
        <v>222</v>
      </c>
      <c r="B22" s="156" t="s">
        <v>214</v>
      </c>
      <c r="C22" s="192"/>
      <c r="D22" s="193"/>
      <c r="E22" s="574"/>
      <c r="F22" s="575"/>
      <c r="G22" s="575"/>
      <c r="H22" s="575"/>
      <c r="I22" s="881"/>
      <c r="J22" s="194">
        <f t="shared" si="0"/>
        <v>0</v>
      </c>
    </row>
    <row r="23" spans="1:11" s="197" customFormat="1" ht="30.75" thickBot="1" x14ac:dyDescent="0.25">
      <c r="A23" s="196"/>
      <c r="B23" s="151" t="s">
        <v>215</v>
      </c>
      <c r="C23" s="152">
        <v>90000</v>
      </c>
      <c r="D23" s="183"/>
      <c r="E23" s="576">
        <v>20000</v>
      </c>
      <c r="F23" s="577">
        <v>70000</v>
      </c>
      <c r="G23" s="577"/>
      <c r="H23" s="578"/>
      <c r="I23" s="882"/>
      <c r="J23" s="169">
        <f t="shared" si="0"/>
        <v>90000</v>
      </c>
    </row>
    <row r="24" spans="1:11" s="197" customFormat="1" ht="15.75" thickBot="1" x14ac:dyDescent="0.25">
      <c r="A24" s="196"/>
      <c r="B24" s="151" t="s">
        <v>428</v>
      </c>
      <c r="C24" s="152">
        <v>10000</v>
      </c>
      <c r="D24" s="183"/>
      <c r="E24" s="579"/>
      <c r="F24" s="577">
        <v>5000</v>
      </c>
      <c r="G24" s="577">
        <v>5000</v>
      </c>
      <c r="H24" s="578"/>
      <c r="I24" s="882"/>
      <c r="J24" s="169">
        <f t="shared" si="0"/>
        <v>10000</v>
      </c>
    </row>
    <row r="25" spans="1:11" s="197" customFormat="1" ht="15.75" thickBot="1" x14ac:dyDescent="0.25">
      <c r="A25" s="196"/>
      <c r="B25" s="151" t="s">
        <v>208</v>
      </c>
      <c r="C25" s="152">
        <v>100000</v>
      </c>
      <c r="D25" s="173">
        <v>100000</v>
      </c>
      <c r="E25" s="579"/>
      <c r="F25" s="578"/>
      <c r="G25" s="578"/>
      <c r="H25" s="578"/>
      <c r="I25" s="882"/>
      <c r="J25" s="186">
        <f t="shared" si="0"/>
        <v>0</v>
      </c>
    </row>
    <row r="26" spans="1:11" s="197" customFormat="1" ht="15.75" thickBot="1" x14ac:dyDescent="0.25">
      <c r="A26" s="196" t="s">
        <v>222</v>
      </c>
      <c r="B26" s="151" t="s">
        <v>216</v>
      </c>
      <c r="C26" s="138"/>
      <c r="D26" s="183"/>
      <c r="E26" s="579"/>
      <c r="F26" s="578"/>
      <c r="G26" s="578"/>
      <c r="H26" s="578"/>
      <c r="I26" s="882"/>
      <c r="J26" s="186">
        <f t="shared" si="0"/>
        <v>0</v>
      </c>
    </row>
    <row r="27" spans="1:11" s="197" customFormat="1" ht="15.75" thickBot="1" x14ac:dyDescent="0.25">
      <c r="A27" s="196"/>
      <c r="B27" s="151" t="s">
        <v>217</v>
      </c>
      <c r="C27" s="152">
        <v>15000</v>
      </c>
      <c r="D27" s="183"/>
      <c r="E27" s="576">
        <v>15000</v>
      </c>
      <c r="F27" s="578"/>
      <c r="G27" s="578"/>
      <c r="H27" s="578"/>
      <c r="I27" s="882"/>
      <c r="J27" s="169">
        <f t="shared" si="0"/>
        <v>15000</v>
      </c>
    </row>
    <row r="28" spans="1:11" s="197" customFormat="1" ht="15.75" thickBot="1" x14ac:dyDescent="0.25">
      <c r="A28" s="196"/>
      <c r="B28" s="151" t="s">
        <v>430</v>
      </c>
      <c r="C28" s="152">
        <v>20000</v>
      </c>
      <c r="D28" s="183"/>
      <c r="E28" s="579"/>
      <c r="F28" s="577">
        <v>20000</v>
      </c>
      <c r="G28" s="577"/>
      <c r="H28" s="578"/>
      <c r="I28" s="882"/>
      <c r="J28" s="169">
        <f t="shared" si="0"/>
        <v>20000</v>
      </c>
    </row>
    <row r="29" spans="1:11" s="197" customFormat="1" ht="15.75" thickBot="1" x14ac:dyDescent="0.25">
      <c r="A29" s="196"/>
      <c r="B29" s="151" t="s">
        <v>431</v>
      </c>
      <c r="C29" s="152">
        <v>10000</v>
      </c>
      <c r="D29" s="183"/>
      <c r="E29" s="579"/>
      <c r="F29" s="577">
        <v>5000</v>
      </c>
      <c r="G29" s="577">
        <v>5000</v>
      </c>
      <c r="H29" s="578"/>
      <c r="I29" s="882"/>
      <c r="J29" s="169">
        <f t="shared" si="0"/>
        <v>10000</v>
      </c>
    </row>
    <row r="30" spans="1:11" s="200" customFormat="1" ht="15.75" thickBot="1" x14ac:dyDescent="0.25">
      <c r="A30" s="198"/>
      <c r="B30" s="162" t="s">
        <v>208</v>
      </c>
      <c r="C30" s="163">
        <v>45000</v>
      </c>
      <c r="D30" s="170">
        <v>45000</v>
      </c>
      <c r="E30" s="509"/>
      <c r="F30" s="510"/>
      <c r="G30" s="510"/>
      <c r="H30" s="510"/>
      <c r="I30" s="511"/>
      <c r="J30" s="511">
        <f>SUM(J22:J29)</f>
        <v>145000</v>
      </c>
    </row>
    <row r="31" spans="1:11" ht="15.75" thickBot="1" x14ac:dyDescent="0.25">
      <c r="B31" s="155" t="s">
        <v>218</v>
      </c>
      <c r="C31" s="157">
        <v>250000</v>
      </c>
      <c r="D31" s="174">
        <v>250000</v>
      </c>
      <c r="E31" s="202"/>
      <c r="F31" s="175">
        <v>80000</v>
      </c>
      <c r="G31" s="175">
        <v>80000</v>
      </c>
      <c r="H31" s="175">
        <v>20000</v>
      </c>
      <c r="I31" s="883">
        <v>20000</v>
      </c>
      <c r="J31" s="176">
        <f>SUM(E31:I31)</f>
        <v>200000</v>
      </c>
    </row>
    <row r="32" spans="1:11" s="203" customFormat="1" ht="15.75" thickBot="1" x14ac:dyDescent="0.25">
      <c r="B32" s="164" t="s">
        <v>223</v>
      </c>
      <c r="C32" s="165"/>
      <c r="D32" s="177"/>
      <c r="E32" s="204">
        <f>SUM(E22:E31)</f>
        <v>35000</v>
      </c>
      <c r="F32" s="204">
        <f t="shared" ref="F32:H32" si="4">SUM(F22:F31)</f>
        <v>180000</v>
      </c>
      <c r="G32" s="204">
        <f t="shared" si="4"/>
        <v>90000</v>
      </c>
      <c r="H32" s="204">
        <f t="shared" si="4"/>
        <v>20000</v>
      </c>
      <c r="I32" s="204"/>
      <c r="J32" s="204">
        <f t="shared" si="0"/>
        <v>325000</v>
      </c>
    </row>
    <row r="33" spans="2:10" ht="15.75" thickBot="1" x14ac:dyDescent="0.25">
      <c r="B33" s="153" t="s">
        <v>10</v>
      </c>
      <c r="C33" s="138" t="s">
        <v>225</v>
      </c>
      <c r="D33" s="178">
        <v>2650000</v>
      </c>
      <c r="E33" s="179">
        <v>238500</v>
      </c>
      <c r="F33" s="180">
        <v>1240000</v>
      </c>
      <c r="G33" s="180">
        <v>751500</v>
      </c>
      <c r="H33" s="180">
        <v>170000</v>
      </c>
      <c r="I33" s="884"/>
      <c r="J33" s="181">
        <f t="shared" si="0"/>
        <v>2400000</v>
      </c>
    </row>
    <row r="34" spans="2:10" ht="45.75" thickBot="1" x14ac:dyDescent="0.25">
      <c r="B34" s="138"/>
      <c r="C34" s="138" t="s">
        <v>226</v>
      </c>
      <c r="D34" s="205"/>
      <c r="E34" s="206"/>
      <c r="F34" s="138"/>
      <c r="G34" s="138"/>
      <c r="H34" s="138"/>
      <c r="I34" s="885"/>
      <c r="J34" s="508">
        <f>+J31+J30+J21+J16+J11</f>
        <v>2210000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140" zoomScaleNormal="140" workbookViewId="0">
      <selection activeCell="C20" sqref="C20:C21"/>
    </sheetView>
  </sheetViews>
  <sheetFormatPr defaultRowHeight="12.75" x14ac:dyDescent="0.2"/>
  <cols>
    <col min="1" max="1" width="71" style="590" customWidth="1"/>
    <col min="2" max="4" width="14.28515625" style="588" customWidth="1"/>
    <col min="5" max="16384" width="9.140625" style="590"/>
  </cols>
  <sheetData>
    <row r="1" spans="1:4" ht="38.25" customHeight="1" x14ac:dyDescent="0.2">
      <c r="A1" s="1009" t="s">
        <v>512</v>
      </c>
      <c r="B1" s="1009"/>
      <c r="C1" s="1009"/>
      <c r="D1" s="1009"/>
    </row>
    <row r="2" spans="1:4" x14ac:dyDescent="0.2">
      <c r="A2" s="591" t="s">
        <v>132</v>
      </c>
      <c r="B2" s="592" t="s">
        <v>10</v>
      </c>
      <c r="C2" s="592">
        <v>2018</v>
      </c>
      <c r="D2" s="592">
        <v>2019</v>
      </c>
    </row>
    <row r="3" spans="1:4" x14ac:dyDescent="0.2">
      <c r="A3" s="126" t="s">
        <v>40</v>
      </c>
      <c r="B3" s="130">
        <f>SUM(C3:D3)</f>
        <v>1400000</v>
      </c>
      <c r="C3" s="589">
        <v>700000</v>
      </c>
      <c r="D3" s="589">
        <v>700000</v>
      </c>
    </row>
    <row r="4" spans="1:4" x14ac:dyDescent="0.2">
      <c r="A4" s="127" t="s">
        <v>133</v>
      </c>
      <c r="B4" s="130">
        <f>SUM(C4:D4)</f>
        <v>240000</v>
      </c>
      <c r="C4" s="589">
        <v>120000</v>
      </c>
      <c r="D4" s="589">
        <v>120000</v>
      </c>
    </row>
    <row r="5" spans="1:4" x14ac:dyDescent="0.2">
      <c r="A5" s="127" t="s">
        <v>134</v>
      </c>
      <c r="B5" s="130">
        <f>SUM(C5:D5)</f>
        <v>420000</v>
      </c>
      <c r="C5" s="589">
        <v>210000</v>
      </c>
      <c r="D5" s="589">
        <v>210000</v>
      </c>
    </row>
    <row r="6" spans="1:4" x14ac:dyDescent="0.2">
      <c r="A6" s="128" t="s">
        <v>42</v>
      </c>
      <c r="B6" s="131">
        <v>320000</v>
      </c>
      <c r="C6" s="589">
        <f>+B6</f>
        <v>320000</v>
      </c>
      <c r="D6" s="589"/>
    </row>
    <row r="7" spans="1:4" x14ac:dyDescent="0.2">
      <c r="A7" s="132" t="s">
        <v>135</v>
      </c>
      <c r="B7" s="589"/>
      <c r="C7" s="589"/>
      <c r="D7" s="589"/>
    </row>
    <row r="8" spans="1:4" x14ac:dyDescent="0.2">
      <c r="B8" s="589">
        <f>SUM(B3:B7)</f>
        <v>2380000</v>
      </c>
      <c r="C8" s="589">
        <f>SUM(C3:C7)</f>
        <v>1350000</v>
      </c>
      <c r="D8" s="589">
        <f>SUM(D3:D7)</f>
        <v>1030000</v>
      </c>
    </row>
    <row r="9" spans="1:4" x14ac:dyDescent="0.2">
      <c r="B9" s="589"/>
      <c r="C9" s="589"/>
      <c r="D9" s="589"/>
    </row>
    <row r="10" spans="1:4" x14ac:dyDescent="0.2">
      <c r="B10" s="589"/>
      <c r="C10" s="589"/>
      <c r="D10" s="589"/>
    </row>
    <row r="11" spans="1:4" x14ac:dyDescent="0.2">
      <c r="D11" s="589"/>
    </row>
  </sheetData>
  <mergeCells count="1">
    <mergeCell ref="A1:D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2"/>
  <sheetViews>
    <sheetView zoomScale="130" zoomScaleNormal="130" workbookViewId="0">
      <selection activeCell="C20" sqref="C20:C21"/>
    </sheetView>
  </sheetViews>
  <sheetFormatPr defaultColWidth="58.7109375" defaultRowHeight="12.75" x14ac:dyDescent="0.2"/>
  <cols>
    <col min="1" max="9" width="36.140625" style="34" customWidth="1"/>
    <col min="10" max="16384" width="58.7109375" style="34"/>
  </cols>
  <sheetData>
    <row r="2" spans="1:8" ht="13.5" thickBot="1" x14ac:dyDescent="0.25">
      <c r="A2" s="512" t="s">
        <v>136</v>
      </c>
      <c r="B2" s="512"/>
      <c r="C2" s="512"/>
      <c r="D2" s="512"/>
      <c r="E2" s="512"/>
      <c r="F2" s="512"/>
      <c r="G2" s="512"/>
      <c r="H2" s="512"/>
    </row>
    <row r="3" spans="1:8" ht="13.5" thickBot="1" x14ac:dyDescent="0.25">
      <c r="A3" s="1010" t="s">
        <v>137</v>
      </c>
      <c r="B3" s="1011"/>
      <c r="C3" s="1012"/>
    </row>
    <row r="4" spans="1:8" x14ac:dyDescent="0.2">
      <c r="A4" s="1013" t="s">
        <v>139</v>
      </c>
      <c r="B4" s="1013" t="s">
        <v>140</v>
      </c>
      <c r="C4" s="1013" t="s">
        <v>141</v>
      </c>
    </row>
    <row r="5" spans="1:8" ht="13.5" thickBot="1" x14ac:dyDescent="0.25">
      <c r="A5" s="1014"/>
      <c r="B5" s="1014"/>
      <c r="C5" s="1014"/>
    </row>
    <row r="6" spans="1:8" x14ac:dyDescent="0.2">
      <c r="A6" s="1015" t="s">
        <v>145</v>
      </c>
      <c r="B6" s="135" t="s">
        <v>146</v>
      </c>
      <c r="C6" s="1015" t="s">
        <v>147</v>
      </c>
    </row>
    <row r="7" spans="1:8" ht="13.5" thickBot="1" x14ac:dyDescent="0.25">
      <c r="A7" s="1016"/>
      <c r="B7" s="136" t="s">
        <v>153</v>
      </c>
      <c r="C7" s="1016"/>
    </row>
    <row r="8" spans="1:8" ht="15.75" x14ac:dyDescent="0.2">
      <c r="A8" s="137"/>
      <c r="B8"/>
      <c r="C8" t="s">
        <v>439</v>
      </c>
      <c r="D8"/>
      <c r="E8"/>
      <c r="F8"/>
      <c r="G8"/>
      <c r="H8"/>
    </row>
    <row r="9" spans="1:8" ht="13.5" thickBot="1" x14ac:dyDescent="0.25">
      <c r="A9" s="35"/>
    </row>
    <row r="10" spans="1:8" ht="13.5" thickBot="1" x14ac:dyDescent="0.25">
      <c r="A10" s="1010" t="s">
        <v>131</v>
      </c>
      <c r="B10" s="1012"/>
    </row>
    <row r="11" spans="1:8" x14ac:dyDescent="0.2">
      <c r="A11" s="1013" t="s">
        <v>142</v>
      </c>
      <c r="B11" s="133" t="s">
        <v>143</v>
      </c>
    </row>
    <row r="12" spans="1:8" ht="13.5" thickBot="1" x14ac:dyDescent="0.25">
      <c r="A12" s="1014"/>
      <c r="B12" s="134" t="s">
        <v>144</v>
      </c>
    </row>
    <row r="13" spans="1:8" x14ac:dyDescent="0.2">
      <c r="A13" s="1017" t="s">
        <v>151</v>
      </c>
      <c r="B13" s="1015" t="s">
        <v>152</v>
      </c>
    </row>
    <row r="14" spans="1:8" ht="13.5" thickBot="1" x14ac:dyDescent="0.25">
      <c r="A14" s="1018"/>
      <c r="B14" s="1016"/>
    </row>
    <row r="16" spans="1:8" ht="13.5" thickBot="1" x14ac:dyDescent="0.25"/>
    <row r="17" spans="1:3" ht="13.5" thickBot="1" x14ac:dyDescent="0.25">
      <c r="A17" s="1010" t="s">
        <v>138</v>
      </c>
      <c r="B17" s="1011"/>
      <c r="C17" s="1012"/>
    </row>
    <row r="18" spans="1:3" x14ac:dyDescent="0.2">
      <c r="A18" s="1013" t="s">
        <v>139</v>
      </c>
      <c r="B18" s="1013" t="s">
        <v>140</v>
      </c>
      <c r="C18" s="1013" t="s">
        <v>141</v>
      </c>
    </row>
    <row r="19" spans="1:3" ht="13.5" thickBot="1" x14ac:dyDescent="0.25">
      <c r="A19" s="1014"/>
      <c r="B19" s="1014"/>
      <c r="C19" s="1014"/>
    </row>
    <row r="20" spans="1:3" x14ac:dyDescent="0.2">
      <c r="A20" s="1015" t="s">
        <v>148</v>
      </c>
      <c r="B20" s="135" t="s">
        <v>149</v>
      </c>
      <c r="C20" s="1017" t="s">
        <v>150</v>
      </c>
    </row>
    <row r="21" spans="1:3" ht="13.5" thickBot="1" x14ac:dyDescent="0.25">
      <c r="A21" s="1016"/>
      <c r="B21" s="136" t="s">
        <v>154</v>
      </c>
      <c r="C21" s="1018"/>
    </row>
    <row r="22" spans="1:3" x14ac:dyDescent="0.2">
      <c r="C22" s="34" t="s">
        <v>440</v>
      </c>
    </row>
  </sheetData>
  <mergeCells count="16">
    <mergeCell ref="A20:A21"/>
    <mergeCell ref="C20:C21"/>
    <mergeCell ref="A13:A14"/>
    <mergeCell ref="A18:A19"/>
    <mergeCell ref="B18:B19"/>
    <mergeCell ref="C18:C19"/>
    <mergeCell ref="A3:C3"/>
    <mergeCell ref="A17:C17"/>
    <mergeCell ref="A10:B10"/>
    <mergeCell ref="A4:A5"/>
    <mergeCell ref="B4:B5"/>
    <mergeCell ref="C4:C5"/>
    <mergeCell ref="B13:B14"/>
    <mergeCell ref="A11:A12"/>
    <mergeCell ref="A6:A7"/>
    <mergeCell ref="C6:C7"/>
  </mergeCells>
  <pageMargins left="0.70866141732283472" right="0.70866141732283472"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C20" sqref="C20:C21"/>
    </sheetView>
  </sheetViews>
  <sheetFormatPr defaultColWidth="9.140625" defaultRowHeight="12.75" x14ac:dyDescent="0.2"/>
  <cols>
    <col min="1" max="1" width="15.28515625" style="26" customWidth="1"/>
    <col min="2" max="16384" width="9.140625" style="26"/>
  </cols>
  <sheetData>
    <row r="1" spans="1:2" s="29" customFormat="1" x14ac:dyDescent="0.2">
      <c r="A1" s="29" t="s">
        <v>23</v>
      </c>
    </row>
    <row r="2" spans="1:2" s="30" customFormat="1" x14ac:dyDescent="0.2">
      <c r="A2" s="30" t="s">
        <v>32</v>
      </c>
      <c r="B2" s="31" t="s">
        <v>25</v>
      </c>
    </row>
    <row r="3" spans="1:2" x14ac:dyDescent="0.2">
      <c r="A3" s="27" t="s">
        <v>27</v>
      </c>
      <c r="B3" s="28" t="s">
        <v>26</v>
      </c>
    </row>
    <row r="4" spans="1:2" x14ac:dyDescent="0.2">
      <c r="A4" s="27" t="s">
        <v>24</v>
      </c>
      <c r="B4" s="28" t="s">
        <v>28</v>
      </c>
    </row>
    <row r="5" spans="1:2" x14ac:dyDescent="0.2">
      <c r="B5" s="28" t="s">
        <v>29</v>
      </c>
    </row>
    <row r="8" spans="1:2" s="30" customFormat="1" x14ac:dyDescent="0.2">
      <c r="A8" s="30" t="s">
        <v>36</v>
      </c>
    </row>
    <row r="9" spans="1:2" x14ac:dyDescent="0.2">
      <c r="A9" s="27" t="s">
        <v>30</v>
      </c>
      <c r="B9" s="27" t="s">
        <v>33</v>
      </c>
    </row>
    <row r="10" spans="1:2" x14ac:dyDescent="0.2">
      <c r="A10" s="27" t="s">
        <v>31</v>
      </c>
      <c r="B10" s="27" t="s">
        <v>34</v>
      </c>
    </row>
    <row r="11" spans="1:2" x14ac:dyDescent="0.2">
      <c r="B11" s="27" t="s">
        <v>35</v>
      </c>
    </row>
    <row r="14" spans="1:2" x14ac:dyDescent="0.2">
      <c r="A14" s="27"/>
    </row>
    <row r="15" spans="1:2" x14ac:dyDescent="0.2">
      <c r="A15" s="27"/>
    </row>
  </sheetData>
  <pageMargins left="0.7" right="0.7" top="0.75" bottom="0.75" header="0.3" footer="0.3"/>
  <pageSetup paperSize="9" orientation="portrait" horizontalDpi="4294967294"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X120"/>
  <sheetViews>
    <sheetView workbookViewId="0">
      <selection activeCell="C20" sqref="C20:C21"/>
    </sheetView>
  </sheetViews>
  <sheetFormatPr defaultRowHeight="12.75" x14ac:dyDescent="0.2"/>
  <cols>
    <col min="1" max="1" width="2" style="63" customWidth="1"/>
    <col min="2" max="2" width="26.85546875" style="63" customWidth="1"/>
    <col min="3" max="10" width="7.7109375" style="63" customWidth="1"/>
    <col min="11" max="11" width="9.140625" style="63"/>
    <col min="12" max="13" width="12" style="124" customWidth="1"/>
    <col min="14" max="14" width="13.7109375" style="124" customWidth="1"/>
    <col min="15" max="24" width="9.140625" style="62"/>
    <col min="25" max="16384" width="9.140625" style="63"/>
  </cols>
  <sheetData>
    <row r="1" spans="1:24" x14ac:dyDescent="0.2">
      <c r="A1" s="61"/>
      <c r="B1" s="61"/>
      <c r="C1" s="61"/>
      <c r="D1" s="61"/>
      <c r="E1" s="61"/>
      <c r="F1" s="61"/>
      <c r="G1" s="61"/>
      <c r="H1" s="61"/>
      <c r="I1" s="61"/>
      <c r="J1" s="61"/>
      <c r="K1" s="61"/>
      <c r="L1" s="61"/>
      <c r="M1" s="61"/>
      <c r="N1" s="61"/>
    </row>
    <row r="2" spans="1:24" x14ac:dyDescent="0.2">
      <c r="A2" s="61"/>
      <c r="B2" s="61"/>
      <c r="C2" s="61"/>
      <c r="D2" s="61"/>
      <c r="E2" s="61"/>
      <c r="F2" s="61"/>
      <c r="G2" s="61"/>
      <c r="H2" s="61"/>
      <c r="I2" s="61"/>
      <c r="J2" s="61"/>
      <c r="K2" s="61"/>
      <c r="L2" s="61"/>
      <c r="M2" s="61"/>
      <c r="N2" s="61"/>
    </row>
    <row r="3" spans="1:24" x14ac:dyDescent="0.2">
      <c r="A3" s="61"/>
      <c r="B3" s="61"/>
      <c r="C3" s="61"/>
      <c r="D3" s="61"/>
      <c r="E3" s="61"/>
      <c r="F3" s="61"/>
      <c r="G3" s="61"/>
      <c r="H3" s="61"/>
      <c r="I3" s="61"/>
      <c r="J3" s="61"/>
      <c r="K3" s="61"/>
      <c r="L3" s="61"/>
      <c r="M3" s="61"/>
      <c r="N3" s="61"/>
    </row>
    <row r="4" spans="1:24" x14ac:dyDescent="0.2">
      <c r="A4" s="61"/>
      <c r="B4" s="61"/>
      <c r="C4" s="61"/>
      <c r="D4" s="61"/>
      <c r="E4" s="61"/>
      <c r="F4" s="61"/>
      <c r="G4" s="61"/>
      <c r="H4" s="61"/>
      <c r="I4" s="61"/>
      <c r="J4" s="61"/>
      <c r="K4" s="61"/>
      <c r="L4" s="61"/>
      <c r="M4" s="61"/>
      <c r="N4" s="61"/>
    </row>
    <row r="5" spans="1:24" x14ac:dyDescent="0.2">
      <c r="A5" s="61"/>
      <c r="B5" s="61"/>
      <c r="C5" s="61"/>
      <c r="D5" s="61"/>
      <c r="E5" s="61"/>
      <c r="F5" s="61"/>
      <c r="G5" s="61"/>
      <c r="H5" s="61"/>
      <c r="I5" s="61"/>
      <c r="J5" s="61"/>
      <c r="K5" s="61"/>
      <c r="L5" s="61"/>
      <c r="M5" s="61"/>
      <c r="N5" s="61"/>
    </row>
    <row r="6" spans="1:24" x14ac:dyDescent="0.2">
      <c r="A6" s="61"/>
      <c r="B6" s="64" t="s">
        <v>98</v>
      </c>
      <c r="C6" s="61"/>
      <c r="D6" s="61"/>
      <c r="E6" s="61"/>
      <c r="F6" s="61"/>
      <c r="G6" s="61"/>
      <c r="H6" s="61"/>
      <c r="I6" s="61"/>
      <c r="J6" s="61"/>
      <c r="K6" s="61"/>
      <c r="L6" s="61"/>
      <c r="M6" s="61"/>
      <c r="N6" s="61"/>
    </row>
    <row r="7" spans="1:24" x14ac:dyDescent="0.2">
      <c r="A7" s="61"/>
      <c r="B7" s="64" t="s">
        <v>128</v>
      </c>
      <c r="C7" s="61"/>
      <c r="D7" s="61"/>
      <c r="E7" s="61"/>
      <c r="F7" s="61"/>
      <c r="G7" s="61"/>
      <c r="H7" s="61"/>
      <c r="I7" s="61"/>
      <c r="J7" s="61"/>
      <c r="K7" s="61"/>
      <c r="L7" s="61"/>
      <c r="M7" s="61"/>
      <c r="N7" s="61"/>
    </row>
    <row r="8" spans="1:24" x14ac:dyDescent="0.2">
      <c r="A8" s="61"/>
      <c r="B8" s="64" t="s">
        <v>99</v>
      </c>
      <c r="C8" s="61"/>
      <c r="D8" s="61"/>
      <c r="E8" s="61"/>
      <c r="F8" s="61"/>
      <c r="G8" s="61"/>
      <c r="H8" s="61"/>
      <c r="I8" s="61"/>
      <c r="J8" s="61"/>
      <c r="K8" s="61"/>
      <c r="L8" s="61"/>
      <c r="M8" s="61"/>
      <c r="N8" s="61"/>
    </row>
    <row r="9" spans="1:24" x14ac:dyDescent="0.2">
      <c r="A9" s="61"/>
      <c r="B9" s="64" t="s">
        <v>100</v>
      </c>
      <c r="C9" s="61"/>
      <c r="D9" s="61"/>
      <c r="E9" s="61"/>
      <c r="F9" s="61"/>
      <c r="G9" s="61"/>
      <c r="H9" s="61"/>
      <c r="I9" s="61"/>
      <c r="J9" s="61"/>
      <c r="K9" s="61"/>
      <c r="L9" s="61"/>
      <c r="M9" s="61"/>
      <c r="N9" s="61"/>
    </row>
    <row r="10" spans="1:24" s="67" customFormat="1" ht="21.75" x14ac:dyDescent="0.3">
      <c r="A10" s="65"/>
      <c r="B10" s="1021" t="s">
        <v>101</v>
      </c>
      <c r="C10" s="1021"/>
      <c r="D10" s="1021"/>
      <c r="E10" s="1021"/>
      <c r="F10" s="1021"/>
      <c r="G10" s="1021"/>
      <c r="H10" s="1021"/>
      <c r="I10" s="1021"/>
      <c r="J10" s="1021"/>
      <c r="K10" s="1021"/>
      <c r="L10" s="1021"/>
      <c r="M10" s="1021"/>
      <c r="N10" s="1021"/>
      <c r="O10" s="66"/>
      <c r="P10" s="66"/>
      <c r="Q10" s="66"/>
      <c r="R10" s="125" t="s">
        <v>130</v>
      </c>
      <c r="S10" s="66"/>
      <c r="T10" s="66"/>
      <c r="U10" s="66"/>
      <c r="V10" s="66"/>
      <c r="W10" s="66"/>
      <c r="X10" s="66"/>
    </row>
    <row r="11" spans="1:24" x14ac:dyDescent="0.2">
      <c r="A11" s="61"/>
      <c r="B11" s="1022" t="s">
        <v>102</v>
      </c>
      <c r="C11" s="1022"/>
      <c r="D11" s="1022"/>
      <c r="E11" s="1022"/>
      <c r="F11" s="1022"/>
      <c r="G11" s="1022"/>
      <c r="H11" s="1022"/>
      <c r="I11" s="1022"/>
      <c r="J11" s="1022"/>
      <c r="K11" s="1022"/>
      <c r="L11" s="1022"/>
      <c r="M11" s="1022"/>
      <c r="N11" s="1022"/>
    </row>
    <row r="12" spans="1:24" x14ac:dyDescent="0.2">
      <c r="A12" s="61"/>
      <c r="B12" s="61"/>
      <c r="C12" s="61"/>
      <c r="D12" s="61"/>
      <c r="E12" s="61"/>
      <c r="F12" s="61"/>
      <c r="G12" s="61"/>
      <c r="H12" s="61"/>
      <c r="I12" s="61"/>
      <c r="J12" s="61"/>
      <c r="K12" s="61"/>
      <c r="L12" s="61"/>
      <c r="M12" s="61"/>
      <c r="N12" s="61"/>
    </row>
    <row r="13" spans="1:24" ht="18" customHeight="1" x14ac:dyDescent="0.25">
      <c r="A13" s="61"/>
      <c r="B13" s="1023" t="s">
        <v>103</v>
      </c>
      <c r="C13" s="1025" t="s">
        <v>104</v>
      </c>
      <c r="D13" s="1026"/>
      <c r="E13" s="1026"/>
      <c r="F13" s="1026"/>
      <c r="G13" s="1026"/>
      <c r="H13" s="1026"/>
      <c r="I13" s="1026"/>
      <c r="J13" s="1026"/>
      <c r="K13" s="1027"/>
      <c r="L13" s="1028" t="s">
        <v>105</v>
      </c>
      <c r="M13" s="1028" t="s">
        <v>106</v>
      </c>
      <c r="N13" s="1028" t="s">
        <v>107</v>
      </c>
    </row>
    <row r="14" spans="1:24" ht="34.5" customHeight="1" x14ac:dyDescent="0.2">
      <c r="A14" s="61"/>
      <c r="B14" s="1024"/>
      <c r="C14" s="68" t="s">
        <v>16</v>
      </c>
      <c r="D14" s="69" t="s">
        <v>17</v>
      </c>
      <c r="E14" s="69" t="s">
        <v>18</v>
      </c>
      <c r="F14" s="69" t="s">
        <v>19</v>
      </c>
      <c r="G14" s="69" t="s">
        <v>20</v>
      </c>
      <c r="H14" s="69" t="s">
        <v>108</v>
      </c>
      <c r="I14" s="69" t="s">
        <v>109</v>
      </c>
      <c r="J14" s="70" t="s">
        <v>110</v>
      </c>
      <c r="K14" s="70" t="s">
        <v>111</v>
      </c>
      <c r="L14" s="1029"/>
      <c r="M14" s="1029"/>
      <c r="N14" s="1029"/>
    </row>
    <row r="15" spans="1:24" ht="20.100000000000001" customHeight="1" x14ac:dyDescent="0.25">
      <c r="A15" s="61"/>
      <c r="B15" s="71" t="s">
        <v>112</v>
      </c>
      <c r="C15" s="72"/>
      <c r="D15" s="72"/>
      <c r="E15" s="72"/>
      <c r="F15" s="72"/>
      <c r="G15" s="72"/>
      <c r="H15" s="72"/>
      <c r="I15" s="72"/>
      <c r="J15" s="73"/>
      <c r="K15" s="74">
        <f t="shared" ref="K15:K26" si="0">SUM(C15:J15)</f>
        <v>0</v>
      </c>
      <c r="L15" s="75"/>
      <c r="M15" s="75"/>
      <c r="N15" s="75">
        <f t="shared" ref="N15:N26" si="1">SUM(K15:M15)</f>
        <v>0</v>
      </c>
    </row>
    <row r="16" spans="1:24" ht="20.100000000000001" customHeight="1" x14ac:dyDescent="0.25">
      <c r="A16" s="61"/>
      <c r="B16" s="76" t="s">
        <v>113</v>
      </c>
      <c r="C16" s="77"/>
      <c r="D16" s="77"/>
      <c r="E16" s="77"/>
      <c r="F16" s="77"/>
      <c r="G16" s="77"/>
      <c r="H16" s="77"/>
      <c r="I16" s="77"/>
      <c r="J16" s="78"/>
      <c r="K16" s="74">
        <f t="shared" si="0"/>
        <v>0</v>
      </c>
      <c r="L16" s="74"/>
      <c r="M16" s="74"/>
      <c r="N16" s="74">
        <f t="shared" si="1"/>
        <v>0</v>
      </c>
    </row>
    <row r="17" spans="1:14" ht="20.100000000000001" customHeight="1" x14ac:dyDescent="0.25">
      <c r="A17" s="61"/>
      <c r="B17" s="76" t="s">
        <v>114</v>
      </c>
      <c r="C17" s="77"/>
      <c r="D17" s="77"/>
      <c r="E17" s="77"/>
      <c r="F17" s="77"/>
      <c r="G17" s="77"/>
      <c r="H17" s="77"/>
      <c r="I17" s="77"/>
      <c r="J17" s="78"/>
      <c r="K17" s="74">
        <f t="shared" si="0"/>
        <v>0</v>
      </c>
      <c r="L17" s="74"/>
      <c r="M17" s="74"/>
      <c r="N17" s="74">
        <f t="shared" si="1"/>
        <v>0</v>
      </c>
    </row>
    <row r="18" spans="1:14" ht="20.100000000000001" customHeight="1" x14ac:dyDescent="0.25">
      <c r="A18" s="61"/>
      <c r="B18" s="76" t="s">
        <v>115</v>
      </c>
      <c r="C18" s="77"/>
      <c r="D18" s="77"/>
      <c r="E18" s="77"/>
      <c r="F18" s="77"/>
      <c r="G18" s="77"/>
      <c r="H18" s="77"/>
      <c r="I18" s="77"/>
      <c r="J18" s="78"/>
      <c r="K18" s="74">
        <f t="shared" si="0"/>
        <v>0</v>
      </c>
      <c r="L18" s="74"/>
      <c r="M18" s="74"/>
      <c r="N18" s="74">
        <f t="shared" si="1"/>
        <v>0</v>
      </c>
    </row>
    <row r="19" spans="1:14" ht="20.100000000000001" customHeight="1" x14ac:dyDescent="0.25">
      <c r="A19" s="61"/>
      <c r="B19" s="79" t="s">
        <v>116</v>
      </c>
      <c r="C19" s="72"/>
      <c r="D19" s="72"/>
      <c r="E19" s="72"/>
      <c r="F19" s="72"/>
      <c r="G19" s="72"/>
      <c r="H19" s="72"/>
      <c r="I19" s="72"/>
      <c r="J19" s="73"/>
      <c r="K19" s="74">
        <f t="shared" si="0"/>
        <v>0</v>
      </c>
      <c r="L19" s="74"/>
      <c r="M19" s="74"/>
      <c r="N19" s="74">
        <f t="shared" si="1"/>
        <v>0</v>
      </c>
    </row>
    <row r="20" spans="1:14" ht="20.100000000000001" customHeight="1" x14ac:dyDescent="0.25">
      <c r="A20" s="61"/>
      <c r="B20" s="76" t="s">
        <v>113</v>
      </c>
      <c r="C20" s="77"/>
      <c r="D20" s="77"/>
      <c r="E20" s="77"/>
      <c r="F20" s="77"/>
      <c r="G20" s="77"/>
      <c r="H20" s="77"/>
      <c r="I20" s="77"/>
      <c r="J20" s="78"/>
      <c r="K20" s="74">
        <f t="shared" si="0"/>
        <v>0</v>
      </c>
      <c r="L20" s="74"/>
      <c r="M20" s="74"/>
      <c r="N20" s="74">
        <f t="shared" si="1"/>
        <v>0</v>
      </c>
    </row>
    <row r="21" spans="1:14" ht="20.100000000000001" customHeight="1" x14ac:dyDescent="0.25">
      <c r="A21" s="61"/>
      <c r="B21" s="76" t="s">
        <v>114</v>
      </c>
      <c r="C21" s="77"/>
      <c r="D21" s="77"/>
      <c r="E21" s="77"/>
      <c r="F21" s="77"/>
      <c r="G21" s="77"/>
      <c r="H21" s="77"/>
      <c r="I21" s="77"/>
      <c r="J21" s="78"/>
      <c r="K21" s="74">
        <f t="shared" si="0"/>
        <v>0</v>
      </c>
      <c r="L21" s="74"/>
      <c r="M21" s="74"/>
      <c r="N21" s="74">
        <f t="shared" si="1"/>
        <v>0</v>
      </c>
    </row>
    <row r="22" spans="1:14" ht="20.100000000000001" customHeight="1" x14ac:dyDescent="0.25">
      <c r="A22" s="61"/>
      <c r="B22" s="76" t="s">
        <v>115</v>
      </c>
      <c r="C22" s="77"/>
      <c r="D22" s="77"/>
      <c r="E22" s="77"/>
      <c r="F22" s="77"/>
      <c r="G22" s="77"/>
      <c r="H22" s="77"/>
      <c r="I22" s="77"/>
      <c r="J22" s="78"/>
      <c r="K22" s="74">
        <f t="shared" si="0"/>
        <v>0</v>
      </c>
      <c r="L22" s="74"/>
      <c r="M22" s="74"/>
      <c r="N22" s="74">
        <f t="shared" si="1"/>
        <v>0</v>
      </c>
    </row>
    <row r="23" spans="1:14" ht="20.100000000000001" customHeight="1" x14ac:dyDescent="0.25">
      <c r="A23" s="61"/>
      <c r="B23" s="79" t="s">
        <v>117</v>
      </c>
      <c r="C23" s="72"/>
      <c r="D23" s="72"/>
      <c r="E23" s="72"/>
      <c r="F23" s="72"/>
      <c r="G23" s="72"/>
      <c r="H23" s="72"/>
      <c r="I23" s="72"/>
      <c r="J23" s="73"/>
      <c r="K23" s="74">
        <f t="shared" si="0"/>
        <v>0</v>
      </c>
      <c r="L23" s="74"/>
      <c r="M23" s="74"/>
      <c r="N23" s="74">
        <f t="shared" si="1"/>
        <v>0</v>
      </c>
    </row>
    <row r="24" spans="1:14" ht="20.100000000000001" customHeight="1" x14ac:dyDescent="0.25">
      <c r="A24" s="61"/>
      <c r="B24" s="76" t="s">
        <v>113</v>
      </c>
      <c r="C24" s="77"/>
      <c r="D24" s="77"/>
      <c r="E24" s="77"/>
      <c r="F24" s="77"/>
      <c r="G24" s="77"/>
      <c r="H24" s="77"/>
      <c r="I24" s="77"/>
      <c r="J24" s="78"/>
      <c r="K24" s="74">
        <f t="shared" si="0"/>
        <v>0</v>
      </c>
      <c r="L24" s="74"/>
      <c r="M24" s="74"/>
      <c r="N24" s="74">
        <f t="shared" si="1"/>
        <v>0</v>
      </c>
    </row>
    <row r="25" spans="1:14" ht="20.100000000000001" customHeight="1" x14ac:dyDescent="0.25">
      <c r="A25" s="61"/>
      <c r="B25" s="76" t="s">
        <v>114</v>
      </c>
      <c r="C25" s="77"/>
      <c r="D25" s="77"/>
      <c r="E25" s="77"/>
      <c r="F25" s="77"/>
      <c r="G25" s="77"/>
      <c r="H25" s="77"/>
      <c r="I25" s="77"/>
      <c r="J25" s="78"/>
      <c r="K25" s="74">
        <f t="shared" si="0"/>
        <v>0</v>
      </c>
      <c r="L25" s="74"/>
      <c r="M25" s="74"/>
      <c r="N25" s="74">
        <f t="shared" si="1"/>
        <v>0</v>
      </c>
    </row>
    <row r="26" spans="1:14" ht="20.100000000000001" customHeight="1" x14ac:dyDescent="0.25">
      <c r="A26" s="61"/>
      <c r="B26" s="80" t="s">
        <v>115</v>
      </c>
      <c r="C26" s="81"/>
      <c r="D26" s="81"/>
      <c r="E26" s="81"/>
      <c r="F26" s="81"/>
      <c r="G26" s="81"/>
      <c r="H26" s="81"/>
      <c r="I26" s="81"/>
      <c r="J26" s="82"/>
      <c r="K26" s="83">
        <f t="shared" si="0"/>
        <v>0</v>
      </c>
      <c r="L26" s="83"/>
      <c r="M26" s="83"/>
      <c r="N26" s="74">
        <f t="shared" si="1"/>
        <v>0</v>
      </c>
    </row>
    <row r="27" spans="1:14" ht="15" customHeight="1" x14ac:dyDescent="0.25">
      <c r="A27" s="61"/>
      <c r="B27" s="84" t="s">
        <v>118</v>
      </c>
      <c r="C27" s="85">
        <f t="shared" ref="C27:N27" si="2">SUM(C15:C26)</f>
        <v>0</v>
      </c>
      <c r="D27" s="85">
        <f t="shared" si="2"/>
        <v>0</v>
      </c>
      <c r="E27" s="85">
        <f t="shared" si="2"/>
        <v>0</v>
      </c>
      <c r="F27" s="85">
        <f t="shared" si="2"/>
        <v>0</v>
      </c>
      <c r="G27" s="85">
        <f t="shared" si="2"/>
        <v>0</v>
      </c>
      <c r="H27" s="85">
        <f t="shared" si="2"/>
        <v>0</v>
      </c>
      <c r="I27" s="85">
        <f t="shared" si="2"/>
        <v>0</v>
      </c>
      <c r="J27" s="86">
        <f t="shared" si="2"/>
        <v>0</v>
      </c>
      <c r="K27" s="87">
        <f t="shared" si="2"/>
        <v>0</v>
      </c>
      <c r="L27" s="87">
        <f t="shared" si="2"/>
        <v>0</v>
      </c>
      <c r="M27" s="87">
        <f t="shared" si="2"/>
        <v>0</v>
      </c>
      <c r="N27" s="87">
        <f t="shared" si="2"/>
        <v>0</v>
      </c>
    </row>
    <row r="28" spans="1:14" ht="15" customHeight="1" x14ac:dyDescent="0.25">
      <c r="A28" s="88"/>
      <c r="B28" s="89"/>
      <c r="C28" s="90"/>
      <c r="D28" s="90"/>
      <c r="E28" s="90"/>
      <c r="F28" s="90"/>
      <c r="G28" s="90"/>
      <c r="H28" s="90"/>
      <c r="I28" s="90"/>
      <c r="J28" s="91"/>
      <c r="K28" s="92"/>
      <c r="L28" s="93"/>
      <c r="M28" s="65"/>
      <c r="N28" s="61"/>
    </row>
    <row r="29" spans="1:14" ht="15" customHeight="1" x14ac:dyDescent="0.3">
      <c r="A29" s="88"/>
      <c r="B29" s="94" t="s">
        <v>119</v>
      </c>
      <c r="C29" s="95"/>
      <c r="D29" s="95"/>
      <c r="E29" s="95"/>
      <c r="F29" s="95"/>
      <c r="G29" s="95"/>
      <c r="H29" s="95"/>
      <c r="I29" s="96"/>
      <c r="J29" s="97"/>
      <c r="K29" s="98"/>
      <c r="L29" s="93"/>
      <c r="M29" s="65"/>
      <c r="N29" s="61"/>
    </row>
    <row r="30" spans="1:14" ht="15" customHeight="1" x14ac:dyDescent="0.3">
      <c r="A30" s="88"/>
      <c r="B30" s="99" t="s">
        <v>120</v>
      </c>
      <c r="C30" s="95"/>
      <c r="D30" s="95"/>
      <c r="E30" s="95"/>
      <c r="F30" s="95"/>
      <c r="G30" s="95"/>
      <c r="H30" s="95"/>
      <c r="I30" s="96"/>
      <c r="J30" s="97"/>
      <c r="K30" s="100">
        <v>0</v>
      </c>
      <c r="L30" s="93"/>
      <c r="M30" s="65"/>
      <c r="N30" s="61"/>
    </row>
    <row r="31" spans="1:14" ht="15" customHeight="1" x14ac:dyDescent="0.3">
      <c r="A31" s="88"/>
      <c r="B31" s="99" t="s">
        <v>121</v>
      </c>
      <c r="C31" s="101"/>
      <c r="D31" s="101"/>
      <c r="E31" s="101"/>
      <c r="F31" s="101"/>
      <c r="G31" s="101"/>
      <c r="H31" s="101"/>
      <c r="I31" s="102"/>
      <c r="J31" s="103"/>
      <c r="K31" s="104">
        <v>0</v>
      </c>
      <c r="L31" s="93"/>
      <c r="M31" s="65"/>
      <c r="N31" s="61"/>
    </row>
    <row r="32" spans="1:14" ht="15" customHeight="1" x14ac:dyDescent="0.3">
      <c r="A32" s="88"/>
      <c r="B32" s="99" t="s">
        <v>122</v>
      </c>
      <c r="C32" s="101"/>
      <c r="D32" s="101"/>
      <c r="E32" s="101"/>
      <c r="F32" s="101"/>
      <c r="G32" s="101"/>
      <c r="H32" s="101"/>
      <c r="I32" s="102"/>
      <c r="J32" s="103"/>
      <c r="K32" s="104">
        <v>0</v>
      </c>
      <c r="L32" s="93"/>
      <c r="M32" s="65"/>
      <c r="N32" s="61"/>
    </row>
    <row r="33" spans="1:14" ht="15" customHeight="1" x14ac:dyDescent="0.3">
      <c r="A33" s="88"/>
      <c r="B33" s="99" t="s">
        <v>123</v>
      </c>
      <c r="C33" s="101"/>
      <c r="D33" s="101"/>
      <c r="E33" s="101"/>
      <c r="F33" s="101"/>
      <c r="G33" s="101"/>
      <c r="H33" s="101"/>
      <c r="I33" s="102"/>
      <c r="J33" s="103"/>
      <c r="K33" s="104">
        <v>0</v>
      </c>
      <c r="L33" s="93"/>
      <c r="M33" s="65"/>
      <c r="N33" s="61"/>
    </row>
    <row r="34" spans="1:14" ht="5.25" customHeight="1" x14ac:dyDescent="0.25">
      <c r="A34" s="88"/>
      <c r="B34" s="105"/>
      <c r="C34" s="106"/>
      <c r="D34" s="106"/>
      <c r="E34" s="106"/>
      <c r="F34" s="106"/>
      <c r="G34" s="106"/>
      <c r="H34" s="106"/>
      <c r="I34" s="107"/>
      <c r="J34" s="108"/>
      <c r="K34" s="109"/>
      <c r="L34" s="93"/>
      <c r="M34" s="1019" t="s">
        <v>124</v>
      </c>
      <c r="N34" s="1019"/>
    </row>
    <row r="35" spans="1:14" ht="15" customHeight="1" x14ac:dyDescent="0.25">
      <c r="A35" s="88"/>
      <c r="B35" s="110" t="s">
        <v>125</v>
      </c>
      <c r="C35" s="111"/>
      <c r="D35" s="111"/>
      <c r="E35" s="111"/>
      <c r="F35" s="111"/>
      <c r="G35" s="111"/>
      <c r="H35" s="111"/>
      <c r="I35" s="111"/>
      <c r="J35" s="112"/>
      <c r="K35" s="113">
        <f>K27+K30+K31+K32+K33</f>
        <v>0</v>
      </c>
      <c r="L35" s="114"/>
      <c r="M35" s="1019"/>
      <c r="N35" s="1019"/>
    </row>
    <row r="36" spans="1:14" ht="13.5" customHeight="1" x14ac:dyDescent="0.25">
      <c r="A36" s="88"/>
      <c r="B36" s="115"/>
      <c r="C36" s="116"/>
      <c r="D36" s="116"/>
      <c r="E36" s="116"/>
      <c r="F36" s="116"/>
      <c r="G36" s="116"/>
      <c r="H36" s="116"/>
      <c r="I36" s="116"/>
      <c r="J36" s="116"/>
      <c r="K36" s="117"/>
      <c r="L36" s="114"/>
      <c r="M36" s="1019"/>
      <c r="N36" s="1019"/>
    </row>
    <row r="37" spans="1:14" s="122" customFormat="1" ht="8.25" customHeight="1" x14ac:dyDescent="0.25">
      <c r="A37" s="118"/>
      <c r="B37" s="115"/>
      <c r="C37" s="116"/>
      <c r="D37" s="116"/>
      <c r="E37" s="116"/>
      <c r="F37" s="116"/>
      <c r="G37" s="116"/>
      <c r="H37" s="116"/>
      <c r="I37" s="116"/>
      <c r="J37" s="116"/>
      <c r="K37" s="117"/>
      <c r="L37" s="119"/>
      <c r="M37" s="120"/>
      <c r="N37" s="121"/>
    </row>
    <row r="38" spans="1:14" ht="16.5" customHeight="1" x14ac:dyDescent="0.2">
      <c r="A38" s="61"/>
      <c r="B38" s="1020" t="s">
        <v>126</v>
      </c>
      <c r="C38" s="1020"/>
      <c r="D38" s="1020"/>
      <c r="E38" s="1020"/>
      <c r="F38" s="1020"/>
      <c r="G38" s="1020"/>
      <c r="H38" s="1020"/>
      <c r="I38" s="1020"/>
      <c r="J38" s="1020"/>
      <c r="K38" s="1020"/>
      <c r="L38" s="1020"/>
      <c r="M38" s="1020"/>
      <c r="N38" s="1020"/>
    </row>
    <row r="39" spans="1:14" ht="15" customHeight="1" x14ac:dyDescent="0.2">
      <c r="A39" s="61"/>
      <c r="B39" s="1020"/>
      <c r="C39" s="1020"/>
      <c r="D39" s="1020"/>
      <c r="E39" s="1020"/>
      <c r="F39" s="1020"/>
      <c r="G39" s="1020"/>
      <c r="H39" s="1020"/>
      <c r="I39" s="1020"/>
      <c r="J39" s="1020"/>
      <c r="K39" s="1020"/>
      <c r="L39" s="1020"/>
      <c r="M39" s="1020"/>
      <c r="N39" s="1020"/>
    </row>
    <row r="40" spans="1:14" ht="6" customHeight="1" x14ac:dyDescent="0.25">
      <c r="A40" s="61"/>
      <c r="B40" s="123"/>
      <c r="C40" s="123"/>
      <c r="D40" s="123"/>
      <c r="E40" s="123"/>
      <c r="F40" s="123"/>
      <c r="G40" s="123"/>
      <c r="H40" s="123"/>
      <c r="I40" s="123"/>
      <c r="J40" s="123"/>
      <c r="K40" s="123"/>
      <c r="L40" s="123"/>
      <c r="M40" s="123"/>
      <c r="N40" s="123"/>
    </row>
    <row r="41" spans="1:14" ht="18" customHeight="1" x14ac:dyDescent="0.2">
      <c r="A41" s="61"/>
      <c r="B41" s="1020" t="s">
        <v>127</v>
      </c>
      <c r="C41" s="1020"/>
      <c r="D41" s="1020"/>
      <c r="E41" s="1020"/>
      <c r="F41" s="1020"/>
      <c r="G41" s="1020"/>
      <c r="H41" s="1020"/>
      <c r="I41" s="1020"/>
      <c r="J41" s="1020"/>
      <c r="K41" s="1020"/>
      <c r="L41" s="1020"/>
      <c r="M41" s="1020"/>
      <c r="N41" s="1020"/>
    </row>
    <row r="42" spans="1:14" x14ac:dyDescent="0.2">
      <c r="A42" s="62"/>
      <c r="B42" s="1020"/>
      <c r="C42" s="1020"/>
      <c r="D42" s="1020"/>
      <c r="E42" s="1020"/>
      <c r="F42" s="1020"/>
      <c r="G42" s="1020"/>
      <c r="H42" s="1020"/>
      <c r="I42" s="1020"/>
      <c r="J42" s="1020"/>
      <c r="K42" s="1020"/>
      <c r="L42" s="1020"/>
      <c r="M42" s="1020"/>
      <c r="N42" s="1020"/>
    </row>
    <row r="43" spans="1:14" x14ac:dyDescent="0.2">
      <c r="A43" s="62"/>
      <c r="B43" s="62"/>
      <c r="C43" s="62"/>
      <c r="D43" s="62"/>
      <c r="E43" s="62"/>
      <c r="F43" s="62"/>
      <c r="G43" s="62"/>
      <c r="H43" s="62"/>
      <c r="I43" s="62"/>
      <c r="J43" s="62"/>
      <c r="K43" s="62"/>
      <c r="L43" s="61"/>
      <c r="M43" s="61"/>
      <c r="N43" s="61"/>
    </row>
    <row r="44" spans="1:14" x14ac:dyDescent="0.2">
      <c r="A44" s="62"/>
    </row>
    <row r="45" spans="1:14" x14ac:dyDescent="0.2">
      <c r="A45" s="62"/>
    </row>
    <row r="46" spans="1:14" x14ac:dyDescent="0.2">
      <c r="A46" s="62"/>
      <c r="C46" s="62"/>
      <c r="D46" s="62"/>
      <c r="E46" s="62"/>
      <c r="F46" s="62"/>
      <c r="G46" s="62"/>
      <c r="H46" s="62"/>
      <c r="I46" s="62"/>
      <c r="J46" s="62"/>
      <c r="K46" s="62"/>
      <c r="L46" s="61"/>
      <c r="M46" s="61"/>
      <c r="N46" s="61"/>
    </row>
    <row r="47" spans="1:14" x14ac:dyDescent="0.2">
      <c r="A47" s="62"/>
      <c r="B47" s="62"/>
      <c r="C47" s="62"/>
      <c r="D47" s="62"/>
      <c r="E47" s="62"/>
      <c r="F47" s="62"/>
      <c r="G47" s="62"/>
      <c r="H47" s="62"/>
      <c r="I47" s="62"/>
      <c r="J47" s="62"/>
      <c r="K47" s="62"/>
      <c r="L47" s="61"/>
      <c r="M47" s="61"/>
      <c r="N47" s="61"/>
    </row>
    <row r="48" spans="1:14" x14ac:dyDescent="0.2">
      <c r="A48" s="62"/>
      <c r="B48" s="62"/>
      <c r="C48" s="62"/>
      <c r="D48" s="62"/>
      <c r="E48" s="62"/>
      <c r="F48" s="62"/>
      <c r="G48" s="62"/>
      <c r="H48" s="62"/>
      <c r="I48" s="62"/>
      <c r="J48" s="62"/>
      <c r="K48" s="62"/>
      <c r="L48" s="61"/>
      <c r="M48" s="61"/>
      <c r="N48" s="61"/>
    </row>
    <row r="49" spans="1:14" x14ac:dyDescent="0.2">
      <c r="A49" s="62"/>
      <c r="B49" s="62"/>
      <c r="C49" s="62"/>
      <c r="D49" s="62"/>
      <c r="E49" s="62"/>
      <c r="F49" s="62"/>
      <c r="G49" s="62"/>
      <c r="H49" s="62"/>
      <c r="I49" s="62"/>
      <c r="J49" s="62"/>
      <c r="K49" s="62"/>
      <c r="L49" s="61"/>
      <c r="M49" s="61"/>
      <c r="N49" s="61"/>
    </row>
    <row r="50" spans="1:14" x14ac:dyDescent="0.2">
      <c r="A50" s="62"/>
      <c r="B50" s="62"/>
      <c r="C50" s="62"/>
      <c r="D50" s="62"/>
      <c r="E50" s="62"/>
      <c r="F50" s="62"/>
      <c r="G50" s="62"/>
      <c r="H50" s="62"/>
      <c r="I50" s="62"/>
      <c r="J50" s="62"/>
      <c r="K50" s="62"/>
      <c r="L50" s="61"/>
      <c r="M50" s="61"/>
      <c r="N50" s="61"/>
    </row>
    <row r="51" spans="1:14" x14ac:dyDescent="0.2">
      <c r="A51" s="62"/>
      <c r="B51" s="62"/>
      <c r="C51" s="62"/>
      <c r="D51" s="62"/>
      <c r="E51" s="62"/>
      <c r="F51" s="62"/>
      <c r="G51" s="62"/>
      <c r="H51" s="62"/>
      <c r="I51" s="62"/>
      <c r="J51" s="62"/>
      <c r="K51" s="62"/>
      <c r="L51" s="61"/>
      <c r="M51" s="61"/>
      <c r="N51" s="61"/>
    </row>
    <row r="52" spans="1:14" x14ac:dyDescent="0.2">
      <c r="A52" s="62"/>
      <c r="B52" s="62"/>
      <c r="C52" s="62"/>
      <c r="D52" s="62"/>
      <c r="E52" s="62"/>
      <c r="F52" s="62"/>
      <c r="G52" s="62"/>
      <c r="H52" s="62"/>
      <c r="I52" s="62"/>
      <c r="J52" s="62"/>
      <c r="K52" s="62"/>
      <c r="L52" s="61"/>
      <c r="M52" s="61"/>
      <c r="N52" s="61"/>
    </row>
    <row r="53" spans="1:14" x14ac:dyDescent="0.2">
      <c r="A53" s="62"/>
      <c r="B53" s="62"/>
      <c r="C53" s="62"/>
      <c r="D53" s="62"/>
      <c r="E53" s="62"/>
      <c r="F53" s="62"/>
      <c r="G53" s="62"/>
      <c r="H53" s="62"/>
      <c r="I53" s="62"/>
      <c r="J53" s="62"/>
      <c r="K53" s="62"/>
      <c r="L53" s="61"/>
      <c r="M53" s="61"/>
      <c r="N53" s="61"/>
    </row>
    <row r="54" spans="1:14" x14ac:dyDescent="0.2">
      <c r="A54" s="62"/>
      <c r="B54" s="62"/>
      <c r="C54" s="62"/>
      <c r="D54" s="62"/>
      <c r="E54" s="62"/>
      <c r="F54" s="62"/>
      <c r="G54" s="62"/>
      <c r="H54" s="62"/>
      <c r="I54" s="62"/>
      <c r="J54" s="62"/>
      <c r="K54" s="62"/>
      <c r="L54" s="61"/>
      <c r="M54" s="61"/>
      <c r="N54" s="61"/>
    </row>
    <row r="55" spans="1:14" x14ac:dyDescent="0.2">
      <c r="A55" s="62"/>
      <c r="B55" s="62"/>
      <c r="C55" s="62"/>
      <c r="D55" s="62"/>
      <c r="E55" s="62"/>
      <c r="F55" s="62"/>
      <c r="G55" s="62"/>
      <c r="H55" s="62"/>
      <c r="I55" s="62"/>
      <c r="J55" s="62"/>
      <c r="K55" s="62"/>
      <c r="L55" s="61"/>
      <c r="M55" s="61"/>
      <c r="N55" s="61"/>
    </row>
    <row r="56" spans="1:14" x14ac:dyDescent="0.2">
      <c r="A56" s="62"/>
      <c r="B56" s="62"/>
      <c r="C56" s="62"/>
      <c r="D56" s="62"/>
      <c r="E56" s="62"/>
      <c r="F56" s="62"/>
      <c r="G56" s="488"/>
      <c r="H56" s="37"/>
      <c r="I56" s="37"/>
      <c r="J56" s="37"/>
      <c r="K56" s="489"/>
      <c r="L56" s="61"/>
      <c r="M56" s="61"/>
      <c r="N56" s="61"/>
    </row>
    <row r="57" spans="1:14" x14ac:dyDescent="0.2">
      <c r="A57" s="62"/>
      <c r="B57" s="62"/>
      <c r="C57" s="62"/>
      <c r="D57" s="62"/>
      <c r="E57" s="62"/>
      <c r="F57" s="62"/>
      <c r="G57" s="62"/>
      <c r="H57" s="62"/>
      <c r="I57" s="62"/>
      <c r="J57" s="62"/>
      <c r="K57" s="513"/>
      <c r="L57" s="61"/>
      <c r="M57" s="61"/>
      <c r="N57" s="61"/>
    </row>
    <row r="58" spans="1:14" x14ac:dyDescent="0.2">
      <c r="A58" s="62"/>
      <c r="B58" s="62"/>
      <c r="C58" s="62"/>
      <c r="D58" s="62"/>
      <c r="E58" s="62"/>
      <c r="F58" s="62"/>
      <c r="G58" s="62"/>
      <c r="H58" s="62"/>
      <c r="I58" s="62"/>
      <c r="J58" s="62"/>
      <c r="K58" s="513"/>
      <c r="L58" s="61"/>
      <c r="M58" s="61"/>
      <c r="N58" s="61"/>
    </row>
    <row r="59" spans="1:14" x14ac:dyDescent="0.2">
      <c r="A59" s="62"/>
      <c r="B59" s="62"/>
      <c r="C59" s="62"/>
      <c r="D59" s="62"/>
      <c r="E59" s="62"/>
      <c r="F59" s="62"/>
      <c r="G59" s="62"/>
      <c r="H59" s="62"/>
      <c r="I59" s="62"/>
      <c r="J59" s="62"/>
      <c r="K59" s="62"/>
      <c r="L59" s="61"/>
      <c r="M59" s="61"/>
      <c r="N59" s="61"/>
    </row>
    <row r="60" spans="1:14" x14ac:dyDescent="0.2">
      <c r="A60" s="62"/>
      <c r="B60" s="62"/>
      <c r="C60" s="62"/>
      <c r="D60" s="62"/>
      <c r="E60" s="62"/>
      <c r="F60" s="62"/>
      <c r="G60" s="62"/>
      <c r="H60" s="62"/>
      <c r="I60" s="62"/>
      <c r="J60" s="62"/>
      <c r="K60" s="62"/>
      <c r="L60" s="61"/>
      <c r="M60" s="61"/>
      <c r="N60" s="61"/>
    </row>
    <row r="61" spans="1:14" x14ac:dyDescent="0.2">
      <c r="A61" s="62"/>
      <c r="B61" s="62"/>
      <c r="C61" s="62"/>
      <c r="D61" s="62"/>
      <c r="E61" s="62"/>
      <c r="F61" s="62"/>
      <c r="G61" s="62"/>
      <c r="H61" s="62"/>
      <c r="I61" s="62"/>
      <c r="J61" s="62"/>
      <c r="K61" s="62"/>
      <c r="L61" s="61"/>
      <c r="M61" s="61"/>
      <c r="N61" s="61"/>
    </row>
    <row r="62" spans="1:14" x14ac:dyDescent="0.2">
      <c r="A62" s="62"/>
      <c r="B62" s="62"/>
      <c r="C62" s="62"/>
      <c r="D62" s="62"/>
      <c r="E62" s="62"/>
      <c r="F62" s="62"/>
      <c r="G62" s="62"/>
      <c r="H62" s="62"/>
      <c r="I62" s="62"/>
      <c r="J62" s="62"/>
      <c r="K62" s="62"/>
      <c r="L62" s="61"/>
      <c r="M62" s="61"/>
      <c r="N62" s="61"/>
    </row>
    <row r="63" spans="1:14" x14ac:dyDescent="0.2">
      <c r="A63" s="62"/>
      <c r="B63" s="62"/>
      <c r="C63" s="62"/>
      <c r="D63" s="62"/>
      <c r="E63" s="62"/>
      <c r="F63" s="62"/>
      <c r="G63" s="62"/>
      <c r="H63" s="62"/>
      <c r="I63" s="62"/>
      <c r="J63" s="62"/>
      <c r="K63" s="62"/>
      <c r="L63" s="61"/>
      <c r="M63" s="61"/>
      <c r="N63" s="61"/>
    </row>
    <row r="64" spans="1:14" x14ac:dyDescent="0.2">
      <c r="A64" s="62"/>
      <c r="B64" s="62"/>
      <c r="C64" s="62"/>
      <c r="D64" s="62"/>
      <c r="E64" s="62"/>
      <c r="F64" s="62"/>
      <c r="G64" s="62"/>
      <c r="H64" s="62"/>
      <c r="I64" s="62"/>
      <c r="J64" s="62"/>
      <c r="K64" s="62"/>
      <c r="L64" s="61"/>
      <c r="M64" s="61"/>
      <c r="N64" s="61"/>
    </row>
    <row r="65" spans="1:14" x14ac:dyDescent="0.2">
      <c r="A65" s="62"/>
      <c r="B65" s="62"/>
      <c r="C65" s="62"/>
      <c r="D65" s="62"/>
      <c r="E65" s="62"/>
      <c r="F65" s="62"/>
      <c r="G65" s="62"/>
      <c r="H65" s="62"/>
      <c r="I65" s="62"/>
      <c r="J65" s="62"/>
      <c r="K65" s="62"/>
      <c r="L65" s="61"/>
      <c r="M65" s="61"/>
      <c r="N65" s="61"/>
    </row>
    <row r="66" spans="1:14" x14ac:dyDescent="0.2">
      <c r="A66" s="62"/>
      <c r="B66" s="62"/>
      <c r="C66" s="62"/>
      <c r="D66" s="62"/>
      <c r="E66" s="62"/>
      <c r="F66" s="62"/>
      <c r="G66" s="62"/>
      <c r="H66" s="62"/>
      <c r="I66" s="62"/>
      <c r="J66" s="62"/>
      <c r="K66" s="62"/>
      <c r="L66" s="61"/>
      <c r="M66" s="61"/>
      <c r="N66" s="61"/>
    </row>
    <row r="67" spans="1:14" x14ac:dyDescent="0.2">
      <c r="A67" s="62"/>
      <c r="B67" s="62"/>
      <c r="C67" s="62"/>
      <c r="D67" s="62"/>
      <c r="E67" s="62"/>
      <c r="F67" s="62"/>
      <c r="G67" s="62"/>
      <c r="H67" s="62"/>
      <c r="I67" s="62"/>
      <c r="J67" s="62"/>
      <c r="K67" s="62"/>
      <c r="L67" s="61"/>
      <c r="M67" s="61"/>
      <c r="N67" s="61"/>
    </row>
    <row r="68" spans="1:14" x14ac:dyDescent="0.2">
      <c r="A68" s="62"/>
      <c r="B68" s="62"/>
      <c r="C68" s="62"/>
      <c r="D68" s="62"/>
      <c r="E68" s="62"/>
      <c r="F68" s="62"/>
      <c r="G68" s="62"/>
      <c r="H68" s="62"/>
      <c r="I68" s="62"/>
      <c r="J68" s="62"/>
      <c r="K68" s="62"/>
      <c r="L68" s="61"/>
      <c r="M68" s="61"/>
      <c r="N68" s="61"/>
    </row>
    <row r="69" spans="1:14" x14ac:dyDescent="0.2">
      <c r="A69" s="62"/>
      <c r="B69" s="62"/>
      <c r="C69" s="62"/>
      <c r="D69" s="62"/>
      <c r="E69" s="62"/>
      <c r="F69" s="62"/>
      <c r="G69" s="62"/>
      <c r="H69" s="62"/>
      <c r="I69" s="62"/>
      <c r="J69" s="62"/>
      <c r="K69" s="62"/>
      <c r="L69" s="61"/>
      <c r="M69" s="61"/>
      <c r="N69" s="61"/>
    </row>
    <row r="70" spans="1:14" x14ac:dyDescent="0.2">
      <c r="A70" s="62"/>
      <c r="B70" s="62"/>
      <c r="C70" s="62"/>
      <c r="D70" s="62"/>
      <c r="E70" s="62"/>
      <c r="F70" s="62"/>
      <c r="G70" s="62"/>
      <c r="H70" s="62"/>
      <c r="I70" s="62"/>
      <c r="J70" s="62"/>
      <c r="K70" s="62"/>
      <c r="L70" s="61"/>
      <c r="M70" s="61"/>
      <c r="N70" s="61"/>
    </row>
    <row r="71" spans="1:14" x14ac:dyDescent="0.2">
      <c r="A71" s="62"/>
      <c r="B71" s="62"/>
      <c r="C71" s="62"/>
      <c r="D71" s="62"/>
      <c r="E71" s="62"/>
      <c r="F71" s="62"/>
      <c r="G71" s="62"/>
      <c r="H71" s="62"/>
      <c r="I71" s="62"/>
      <c r="J71" s="62"/>
      <c r="K71" s="62"/>
      <c r="L71" s="61"/>
      <c r="M71" s="61"/>
      <c r="N71" s="61"/>
    </row>
    <row r="72" spans="1:14" x14ac:dyDescent="0.2">
      <c r="A72" s="62"/>
      <c r="B72" s="62"/>
      <c r="C72" s="62"/>
      <c r="D72" s="62"/>
      <c r="E72" s="62"/>
      <c r="F72" s="62"/>
      <c r="G72" s="62"/>
      <c r="H72" s="62"/>
      <c r="I72" s="62"/>
      <c r="J72" s="62"/>
      <c r="K72" s="62"/>
      <c r="L72" s="61"/>
      <c r="M72" s="61"/>
      <c r="N72" s="61"/>
    </row>
    <row r="73" spans="1:14" x14ac:dyDescent="0.2">
      <c r="A73" s="62"/>
      <c r="B73" s="62"/>
      <c r="C73" s="62"/>
      <c r="D73" s="62"/>
      <c r="E73" s="62"/>
      <c r="F73" s="62"/>
      <c r="G73" s="62"/>
      <c r="H73" s="62"/>
      <c r="I73" s="62"/>
      <c r="J73" s="62"/>
      <c r="K73" s="62"/>
      <c r="L73" s="61"/>
      <c r="M73" s="61"/>
      <c r="N73" s="61"/>
    </row>
    <row r="74" spans="1:14" x14ac:dyDescent="0.2">
      <c r="A74" s="62"/>
      <c r="B74" s="62"/>
      <c r="C74" s="62"/>
      <c r="D74" s="62"/>
      <c r="E74" s="62"/>
      <c r="F74" s="62"/>
      <c r="G74" s="62"/>
      <c r="H74" s="62"/>
      <c r="I74" s="62"/>
      <c r="J74" s="62"/>
      <c r="K74" s="62"/>
      <c r="L74" s="61"/>
      <c r="M74" s="61"/>
      <c r="N74" s="61"/>
    </row>
    <row r="75" spans="1:14" x14ac:dyDescent="0.2">
      <c r="A75" s="62"/>
      <c r="B75" s="62"/>
      <c r="C75" s="62"/>
      <c r="D75" s="62"/>
      <c r="E75" s="62"/>
      <c r="F75" s="62"/>
      <c r="G75" s="62"/>
      <c r="H75" s="62"/>
      <c r="I75" s="62"/>
      <c r="J75" s="62"/>
      <c r="K75" s="62"/>
      <c r="L75" s="61"/>
      <c r="M75" s="61"/>
      <c r="N75" s="61"/>
    </row>
    <row r="76" spans="1:14" x14ac:dyDescent="0.2">
      <c r="A76" s="62"/>
      <c r="B76" s="62"/>
      <c r="C76" s="62"/>
      <c r="D76" s="62"/>
      <c r="E76" s="62"/>
      <c r="F76" s="62"/>
      <c r="G76" s="62"/>
      <c r="H76" s="62"/>
      <c r="I76" s="62"/>
      <c r="J76" s="62"/>
      <c r="K76" s="62"/>
      <c r="L76" s="61"/>
      <c r="M76" s="61"/>
      <c r="N76" s="61"/>
    </row>
    <row r="77" spans="1:14" x14ac:dyDescent="0.2">
      <c r="A77" s="62"/>
      <c r="B77" s="62"/>
      <c r="C77" s="62"/>
      <c r="D77" s="62"/>
      <c r="E77" s="62"/>
      <c r="F77" s="62"/>
      <c r="G77" s="62"/>
      <c r="H77" s="62"/>
      <c r="I77" s="62"/>
      <c r="J77" s="62"/>
      <c r="K77" s="62"/>
      <c r="L77" s="61"/>
      <c r="M77" s="61"/>
      <c r="N77" s="61"/>
    </row>
    <row r="78" spans="1:14" x14ac:dyDescent="0.2">
      <c r="A78" s="62"/>
      <c r="B78" s="62"/>
      <c r="C78" s="62"/>
      <c r="D78" s="62"/>
      <c r="E78" s="62"/>
      <c r="F78" s="62"/>
      <c r="G78" s="62"/>
      <c r="H78" s="62"/>
      <c r="I78" s="62"/>
      <c r="J78" s="62"/>
      <c r="K78" s="62"/>
      <c r="L78" s="61"/>
      <c r="M78" s="61"/>
      <c r="N78" s="61"/>
    </row>
    <row r="79" spans="1:14" x14ac:dyDescent="0.2">
      <c r="A79" s="62"/>
      <c r="B79" s="62"/>
      <c r="C79" s="62"/>
      <c r="D79" s="62"/>
      <c r="E79" s="62"/>
      <c r="F79" s="62"/>
      <c r="G79" s="62"/>
      <c r="H79" s="62"/>
      <c r="I79" s="62"/>
      <c r="J79" s="62"/>
      <c r="K79" s="62"/>
      <c r="L79" s="61"/>
      <c r="M79" s="61"/>
      <c r="N79" s="61"/>
    </row>
    <row r="80" spans="1:14" x14ac:dyDescent="0.2">
      <c r="A80" s="62"/>
      <c r="B80" s="62"/>
      <c r="C80" s="62"/>
      <c r="D80" s="62"/>
      <c r="E80" s="62"/>
      <c r="F80" s="62"/>
      <c r="G80" s="62"/>
      <c r="H80" s="62"/>
      <c r="I80" s="62"/>
      <c r="J80" s="62"/>
      <c r="K80" s="62"/>
      <c r="L80" s="61"/>
      <c r="M80" s="61"/>
      <c r="N80" s="61"/>
    </row>
    <row r="81" spans="1:14" x14ac:dyDescent="0.2">
      <c r="A81" s="62"/>
      <c r="B81" s="62"/>
      <c r="C81" s="62"/>
      <c r="D81" s="62"/>
      <c r="E81" s="62"/>
      <c r="F81" s="62"/>
      <c r="G81" s="62"/>
      <c r="H81" s="62"/>
      <c r="I81" s="62"/>
      <c r="J81" s="62"/>
      <c r="K81" s="62"/>
      <c r="L81" s="61"/>
      <c r="M81" s="61"/>
      <c r="N81" s="61"/>
    </row>
    <row r="82" spans="1:14" x14ac:dyDescent="0.2">
      <c r="A82" s="62"/>
      <c r="B82" s="62"/>
      <c r="C82" s="62"/>
      <c r="D82" s="62"/>
      <c r="E82" s="62"/>
      <c r="F82" s="62"/>
      <c r="G82" s="62"/>
      <c r="H82" s="62"/>
      <c r="I82" s="62"/>
      <c r="J82" s="62"/>
      <c r="K82" s="62"/>
      <c r="L82" s="61"/>
      <c r="M82" s="61"/>
      <c r="N82" s="61"/>
    </row>
    <row r="83" spans="1:14" x14ac:dyDescent="0.2">
      <c r="A83" s="62"/>
      <c r="B83" s="62"/>
      <c r="C83" s="62"/>
      <c r="D83" s="62"/>
      <c r="E83" s="62"/>
      <c r="F83" s="62"/>
      <c r="G83" s="62"/>
      <c r="H83" s="62"/>
      <c r="I83" s="62"/>
      <c r="J83" s="62"/>
      <c r="K83" s="62"/>
      <c r="L83" s="61"/>
      <c r="M83" s="61"/>
      <c r="N83" s="61"/>
    </row>
    <row r="84" spans="1:14" x14ac:dyDescent="0.2">
      <c r="A84" s="62"/>
      <c r="B84" s="62"/>
      <c r="C84" s="62"/>
      <c r="D84" s="62"/>
      <c r="E84" s="62"/>
      <c r="F84" s="62"/>
      <c r="G84" s="62"/>
      <c r="H84" s="62"/>
      <c r="I84" s="62"/>
      <c r="J84" s="62"/>
      <c r="K84" s="62"/>
      <c r="L84" s="61"/>
      <c r="M84" s="61"/>
      <c r="N84" s="61"/>
    </row>
    <row r="85" spans="1:14" x14ac:dyDescent="0.2">
      <c r="A85" s="62"/>
      <c r="B85" s="62"/>
      <c r="C85" s="62"/>
      <c r="D85" s="62"/>
      <c r="E85" s="62"/>
      <c r="F85" s="62"/>
      <c r="G85" s="62"/>
      <c r="H85" s="62"/>
      <c r="I85" s="62"/>
      <c r="J85" s="62"/>
      <c r="K85" s="62"/>
      <c r="L85" s="61"/>
      <c r="M85" s="61"/>
      <c r="N85" s="61"/>
    </row>
    <row r="86" spans="1:14" x14ac:dyDescent="0.2">
      <c r="A86" s="62"/>
      <c r="B86" s="62"/>
      <c r="C86" s="62"/>
      <c r="D86" s="62"/>
      <c r="E86" s="62"/>
      <c r="F86" s="62"/>
      <c r="G86" s="62"/>
      <c r="H86" s="62"/>
      <c r="I86" s="62"/>
      <c r="J86" s="62"/>
      <c r="K86" s="62"/>
      <c r="L86" s="61"/>
      <c r="M86" s="61"/>
      <c r="N86" s="61"/>
    </row>
    <row r="87" spans="1:14" x14ac:dyDescent="0.2">
      <c r="A87" s="62"/>
      <c r="B87" s="62"/>
      <c r="C87" s="62"/>
      <c r="D87" s="62"/>
      <c r="E87" s="62"/>
      <c r="F87" s="62"/>
      <c r="G87" s="62"/>
      <c r="H87" s="62"/>
      <c r="I87" s="62"/>
      <c r="J87" s="62"/>
      <c r="K87" s="62"/>
      <c r="L87" s="61"/>
      <c r="M87" s="61"/>
      <c r="N87" s="61"/>
    </row>
    <row r="88" spans="1:14" x14ac:dyDescent="0.2">
      <c r="A88" s="62"/>
      <c r="B88" s="62"/>
      <c r="C88" s="62"/>
      <c r="D88" s="62"/>
      <c r="E88" s="62"/>
      <c r="F88" s="62"/>
      <c r="G88" s="62"/>
      <c r="H88" s="62"/>
      <c r="I88" s="62"/>
      <c r="J88" s="62"/>
      <c r="K88" s="62"/>
      <c r="L88" s="61"/>
      <c r="M88" s="61"/>
      <c r="N88" s="61"/>
    </row>
    <row r="89" spans="1:14" x14ac:dyDescent="0.2">
      <c r="A89" s="62"/>
      <c r="B89" s="62"/>
      <c r="C89" s="62"/>
      <c r="D89" s="62"/>
      <c r="E89" s="62"/>
      <c r="F89" s="62"/>
      <c r="G89" s="62"/>
      <c r="H89" s="62"/>
      <c r="I89" s="62"/>
      <c r="J89" s="62"/>
      <c r="K89" s="62"/>
      <c r="L89" s="61"/>
      <c r="M89" s="61"/>
      <c r="N89" s="61"/>
    </row>
    <row r="90" spans="1:14" x14ac:dyDescent="0.2">
      <c r="A90" s="62"/>
      <c r="B90" s="62"/>
      <c r="C90" s="62"/>
      <c r="D90" s="62"/>
      <c r="E90" s="62"/>
      <c r="F90" s="62"/>
      <c r="G90" s="62"/>
      <c r="H90" s="62"/>
      <c r="I90" s="62"/>
      <c r="J90" s="62"/>
      <c r="K90" s="62"/>
      <c r="L90" s="61"/>
      <c r="M90" s="61"/>
      <c r="N90" s="61"/>
    </row>
    <row r="91" spans="1:14" x14ac:dyDescent="0.2">
      <c r="A91" s="62"/>
      <c r="B91" s="62"/>
      <c r="C91" s="62"/>
      <c r="D91" s="62"/>
      <c r="E91" s="62"/>
      <c r="F91" s="62"/>
      <c r="G91" s="62"/>
      <c r="H91" s="62"/>
      <c r="I91" s="62"/>
      <c r="J91" s="62"/>
      <c r="K91" s="62"/>
      <c r="L91" s="61"/>
      <c r="M91" s="61"/>
      <c r="N91" s="61"/>
    </row>
    <row r="92" spans="1:14" x14ac:dyDescent="0.2">
      <c r="A92" s="62"/>
      <c r="B92" s="62"/>
      <c r="C92" s="62"/>
      <c r="D92" s="62"/>
      <c r="E92" s="62"/>
      <c r="F92" s="62"/>
      <c r="G92" s="62"/>
      <c r="H92" s="62"/>
      <c r="I92" s="62"/>
      <c r="J92" s="62"/>
      <c r="K92" s="62"/>
      <c r="L92" s="61"/>
      <c r="M92" s="61"/>
      <c r="N92" s="61"/>
    </row>
    <row r="93" spans="1:14" x14ac:dyDescent="0.2">
      <c r="A93" s="62"/>
      <c r="B93" s="62"/>
      <c r="C93" s="62"/>
      <c r="D93" s="62"/>
      <c r="E93" s="62"/>
      <c r="F93" s="62"/>
      <c r="G93" s="62"/>
      <c r="H93" s="62"/>
      <c r="I93" s="62"/>
      <c r="J93" s="62"/>
      <c r="K93" s="62"/>
      <c r="L93" s="61"/>
      <c r="M93" s="61"/>
      <c r="N93" s="61"/>
    </row>
    <row r="94" spans="1:14" x14ac:dyDescent="0.2">
      <c r="A94" s="62"/>
      <c r="B94" s="62"/>
      <c r="C94" s="62"/>
      <c r="D94" s="62"/>
      <c r="E94" s="62"/>
      <c r="F94" s="62"/>
      <c r="G94" s="62"/>
      <c r="H94" s="62"/>
      <c r="I94" s="62"/>
      <c r="J94" s="62"/>
      <c r="K94" s="62"/>
      <c r="L94" s="61"/>
      <c r="M94" s="61"/>
      <c r="N94" s="61"/>
    </row>
    <row r="95" spans="1:14" x14ac:dyDescent="0.2">
      <c r="A95" s="62"/>
      <c r="B95" s="62"/>
      <c r="C95" s="62"/>
      <c r="D95" s="62"/>
      <c r="E95" s="62"/>
      <c r="F95" s="62"/>
      <c r="G95" s="62"/>
      <c r="H95" s="62"/>
      <c r="I95" s="62"/>
      <c r="J95" s="62"/>
      <c r="K95" s="62"/>
      <c r="L95" s="61"/>
      <c r="M95" s="61"/>
      <c r="N95" s="61"/>
    </row>
    <row r="96" spans="1:14" x14ac:dyDescent="0.2">
      <c r="A96" s="62"/>
      <c r="B96" s="62"/>
      <c r="C96" s="62"/>
      <c r="D96" s="62"/>
      <c r="E96" s="62"/>
      <c r="F96" s="62"/>
      <c r="G96" s="62"/>
      <c r="H96" s="62"/>
      <c r="I96" s="62"/>
      <c r="J96" s="62"/>
      <c r="K96" s="62"/>
      <c r="L96" s="61"/>
      <c r="M96" s="61"/>
      <c r="N96" s="61"/>
    </row>
    <row r="97" spans="1:14" x14ac:dyDescent="0.2">
      <c r="A97" s="62"/>
      <c r="B97" s="62"/>
      <c r="C97" s="62"/>
      <c r="D97" s="62"/>
      <c r="E97" s="62"/>
      <c r="F97" s="62"/>
      <c r="G97" s="62"/>
      <c r="H97" s="62"/>
      <c r="I97" s="62"/>
      <c r="J97" s="62"/>
      <c r="K97" s="62"/>
      <c r="L97" s="61"/>
      <c r="M97" s="61"/>
      <c r="N97" s="61"/>
    </row>
    <row r="98" spans="1:14" x14ac:dyDescent="0.2">
      <c r="A98" s="62"/>
      <c r="B98" s="62"/>
      <c r="C98" s="62"/>
      <c r="D98" s="62"/>
      <c r="E98" s="62"/>
      <c r="F98" s="62"/>
      <c r="G98" s="62"/>
      <c r="H98" s="62"/>
      <c r="I98" s="62"/>
      <c r="J98" s="62"/>
      <c r="K98" s="62"/>
      <c r="L98" s="61"/>
      <c r="M98" s="61"/>
      <c r="N98" s="61"/>
    </row>
    <row r="99" spans="1:14" x14ac:dyDescent="0.2">
      <c r="A99" s="62"/>
      <c r="B99" s="62"/>
      <c r="C99" s="62"/>
      <c r="D99" s="62"/>
      <c r="E99" s="62"/>
      <c r="F99" s="62"/>
      <c r="G99" s="62"/>
      <c r="H99" s="62"/>
      <c r="I99" s="62"/>
      <c r="J99" s="62"/>
      <c r="K99" s="62"/>
      <c r="L99" s="61"/>
      <c r="M99" s="61"/>
      <c r="N99" s="61"/>
    </row>
    <row r="100" spans="1:14" x14ac:dyDescent="0.2">
      <c r="A100" s="62"/>
      <c r="B100" s="62"/>
      <c r="C100" s="62"/>
      <c r="D100" s="62"/>
      <c r="E100" s="62"/>
      <c r="F100" s="62"/>
      <c r="G100" s="62"/>
      <c r="H100" s="62"/>
      <c r="I100" s="62"/>
      <c r="J100" s="62"/>
      <c r="K100" s="62"/>
      <c r="L100" s="61"/>
      <c r="M100" s="61"/>
      <c r="N100" s="61"/>
    </row>
    <row r="101" spans="1:14" x14ac:dyDescent="0.2">
      <c r="A101" s="62"/>
      <c r="B101" s="62"/>
      <c r="C101" s="62"/>
      <c r="D101" s="62"/>
      <c r="E101" s="62"/>
      <c r="F101" s="62"/>
      <c r="G101" s="62"/>
      <c r="H101" s="62"/>
      <c r="I101" s="62"/>
      <c r="J101" s="62"/>
      <c r="K101" s="62"/>
      <c r="L101" s="61"/>
      <c r="M101" s="61"/>
      <c r="N101" s="61"/>
    </row>
    <row r="102" spans="1:14" x14ac:dyDescent="0.2">
      <c r="A102" s="62"/>
      <c r="B102" s="62"/>
      <c r="C102" s="62"/>
      <c r="D102" s="62"/>
      <c r="E102" s="62"/>
      <c r="F102" s="62"/>
      <c r="G102" s="62"/>
      <c r="H102" s="62"/>
      <c r="I102" s="62"/>
      <c r="J102" s="62"/>
      <c r="K102" s="62"/>
      <c r="L102" s="61"/>
      <c r="M102" s="61"/>
      <c r="N102" s="61"/>
    </row>
    <row r="103" spans="1:14" x14ac:dyDescent="0.2">
      <c r="A103" s="62"/>
      <c r="B103" s="62"/>
      <c r="C103" s="62"/>
      <c r="D103" s="62"/>
      <c r="E103" s="62"/>
      <c r="F103" s="62"/>
      <c r="G103" s="62"/>
      <c r="H103" s="62"/>
      <c r="I103" s="62"/>
      <c r="J103" s="62"/>
      <c r="K103" s="62"/>
      <c r="L103" s="61"/>
      <c r="M103" s="61"/>
      <c r="N103" s="61"/>
    </row>
    <row r="104" spans="1:14" x14ac:dyDescent="0.2">
      <c r="A104" s="62"/>
      <c r="B104" s="62"/>
      <c r="C104" s="62"/>
      <c r="D104" s="62"/>
      <c r="E104" s="62"/>
      <c r="F104" s="62"/>
      <c r="G104" s="62"/>
      <c r="H104" s="62"/>
      <c r="I104" s="62"/>
      <c r="J104" s="62"/>
      <c r="K104" s="62"/>
      <c r="L104" s="61"/>
      <c r="M104" s="61"/>
      <c r="N104" s="61"/>
    </row>
    <row r="105" spans="1:14" x14ac:dyDescent="0.2">
      <c r="A105" s="62"/>
      <c r="B105" s="62"/>
      <c r="C105" s="62"/>
      <c r="D105" s="62"/>
      <c r="E105" s="62"/>
      <c r="F105" s="62"/>
      <c r="G105" s="62"/>
      <c r="H105" s="62"/>
      <c r="I105" s="62"/>
      <c r="J105" s="62"/>
      <c r="K105" s="62"/>
      <c r="L105" s="61"/>
      <c r="M105" s="61"/>
      <c r="N105" s="61"/>
    </row>
    <row r="106" spans="1:14" x14ac:dyDescent="0.2">
      <c r="A106" s="62"/>
      <c r="B106" s="62"/>
      <c r="C106" s="62"/>
      <c r="D106" s="62"/>
      <c r="E106" s="62"/>
      <c r="F106" s="62"/>
      <c r="G106" s="62"/>
      <c r="H106" s="62"/>
      <c r="I106" s="62"/>
      <c r="J106" s="62"/>
      <c r="K106" s="62"/>
      <c r="L106" s="61"/>
      <c r="M106" s="61"/>
      <c r="N106" s="61"/>
    </row>
    <row r="107" spans="1:14" x14ac:dyDescent="0.2">
      <c r="A107" s="62"/>
      <c r="B107" s="62"/>
      <c r="C107" s="62"/>
      <c r="D107" s="62"/>
      <c r="E107" s="62"/>
      <c r="F107" s="62"/>
      <c r="G107" s="62"/>
      <c r="H107" s="62"/>
      <c r="I107" s="62"/>
      <c r="J107" s="62"/>
      <c r="K107" s="62"/>
      <c r="L107" s="61"/>
      <c r="M107" s="61"/>
      <c r="N107" s="61"/>
    </row>
    <row r="108" spans="1:14" x14ac:dyDescent="0.2">
      <c r="A108" s="62"/>
      <c r="B108" s="62"/>
      <c r="C108" s="62"/>
      <c r="D108" s="62"/>
      <c r="E108" s="62"/>
      <c r="F108" s="62"/>
      <c r="G108" s="62"/>
      <c r="H108" s="62"/>
      <c r="I108" s="62"/>
      <c r="J108" s="62"/>
      <c r="K108" s="62"/>
      <c r="L108" s="61"/>
      <c r="M108" s="61"/>
      <c r="N108" s="61"/>
    </row>
    <row r="109" spans="1:14" x14ac:dyDescent="0.2">
      <c r="A109" s="62"/>
      <c r="B109" s="62"/>
      <c r="C109" s="62"/>
      <c r="D109" s="62"/>
      <c r="E109" s="62"/>
      <c r="F109" s="62"/>
      <c r="G109" s="62"/>
      <c r="H109" s="62"/>
      <c r="I109" s="62"/>
      <c r="J109" s="62"/>
      <c r="K109" s="62"/>
      <c r="L109" s="61"/>
      <c r="M109" s="61"/>
      <c r="N109" s="61"/>
    </row>
    <row r="110" spans="1:14" x14ac:dyDescent="0.2">
      <c r="A110" s="62"/>
      <c r="B110" s="62"/>
      <c r="C110" s="62"/>
      <c r="D110" s="62"/>
      <c r="E110" s="62"/>
      <c r="F110" s="62"/>
      <c r="G110" s="62"/>
      <c r="H110" s="62"/>
      <c r="I110" s="62"/>
      <c r="J110" s="62"/>
      <c r="K110" s="62"/>
      <c r="L110" s="61"/>
      <c r="M110" s="61"/>
      <c r="N110" s="61"/>
    </row>
    <row r="111" spans="1:14" x14ac:dyDescent="0.2">
      <c r="A111" s="62"/>
      <c r="B111" s="62"/>
      <c r="C111" s="62"/>
      <c r="D111" s="62"/>
      <c r="E111" s="62"/>
      <c r="F111" s="62"/>
      <c r="G111" s="62"/>
      <c r="H111" s="62"/>
      <c r="I111" s="62"/>
      <c r="J111" s="62"/>
      <c r="K111" s="62"/>
      <c r="L111" s="61"/>
      <c r="M111" s="61"/>
      <c r="N111" s="61"/>
    </row>
    <row r="112" spans="1:14" x14ac:dyDescent="0.2">
      <c r="A112" s="62"/>
      <c r="B112" s="62"/>
      <c r="C112" s="62"/>
      <c r="D112" s="62"/>
      <c r="E112" s="62"/>
      <c r="F112" s="62"/>
      <c r="G112" s="62"/>
      <c r="H112" s="62"/>
      <c r="I112" s="62"/>
      <c r="J112" s="62"/>
      <c r="K112" s="62"/>
      <c r="L112" s="61"/>
      <c r="M112" s="61"/>
      <c r="N112" s="61"/>
    </row>
    <row r="113" spans="1:14" x14ac:dyDescent="0.2">
      <c r="A113" s="62"/>
      <c r="B113" s="62"/>
      <c r="C113" s="62"/>
      <c r="D113" s="62"/>
      <c r="E113" s="62"/>
      <c r="F113" s="62"/>
      <c r="G113" s="62"/>
      <c r="H113" s="62"/>
      <c r="I113" s="62"/>
      <c r="J113" s="62"/>
      <c r="K113" s="62"/>
      <c r="L113" s="61"/>
      <c r="M113" s="61"/>
      <c r="N113" s="61"/>
    </row>
    <row r="114" spans="1:14" x14ac:dyDescent="0.2">
      <c r="A114" s="62"/>
      <c r="B114" s="62"/>
      <c r="C114" s="62"/>
      <c r="D114" s="62"/>
      <c r="E114" s="62"/>
      <c r="F114" s="62"/>
      <c r="G114" s="62"/>
      <c r="H114" s="62"/>
      <c r="I114" s="62"/>
      <c r="J114" s="62"/>
      <c r="K114" s="62"/>
      <c r="L114" s="61"/>
      <c r="M114" s="61"/>
      <c r="N114" s="61"/>
    </row>
    <row r="115" spans="1:14" x14ac:dyDescent="0.2">
      <c r="A115" s="62"/>
      <c r="B115" s="62"/>
      <c r="C115" s="62"/>
      <c r="D115" s="62"/>
      <c r="E115" s="62"/>
      <c r="F115" s="62"/>
      <c r="G115" s="62"/>
      <c r="H115" s="62"/>
      <c r="I115" s="62"/>
      <c r="J115" s="62"/>
      <c r="K115" s="62"/>
      <c r="L115" s="61"/>
      <c r="M115" s="61"/>
      <c r="N115" s="61"/>
    </row>
    <row r="116" spans="1:14" x14ac:dyDescent="0.2">
      <c r="A116" s="62"/>
      <c r="B116" s="62"/>
      <c r="C116" s="62"/>
      <c r="D116" s="62"/>
      <c r="E116" s="62"/>
      <c r="F116" s="62"/>
      <c r="G116" s="62"/>
      <c r="H116" s="62"/>
      <c r="I116" s="62"/>
      <c r="J116" s="62"/>
      <c r="K116" s="62"/>
      <c r="L116" s="61"/>
      <c r="M116" s="61"/>
      <c r="N116" s="61"/>
    </row>
    <row r="117" spans="1:14" x14ac:dyDescent="0.2">
      <c r="A117" s="62"/>
      <c r="B117" s="62"/>
      <c r="C117" s="62"/>
      <c r="D117" s="62"/>
      <c r="E117" s="62"/>
      <c r="F117" s="62"/>
      <c r="G117" s="62"/>
      <c r="H117" s="62"/>
      <c r="I117" s="62"/>
      <c r="J117" s="62"/>
      <c r="K117" s="62"/>
      <c r="L117" s="61"/>
      <c r="M117" s="61"/>
      <c r="N117" s="61"/>
    </row>
    <row r="118" spans="1:14" x14ac:dyDescent="0.2">
      <c r="A118" s="62"/>
      <c r="B118" s="62"/>
      <c r="C118" s="62"/>
      <c r="D118" s="62"/>
      <c r="E118" s="62"/>
      <c r="F118" s="62"/>
      <c r="G118" s="62"/>
      <c r="H118" s="62"/>
      <c r="I118" s="62"/>
      <c r="J118" s="62"/>
      <c r="K118" s="62"/>
      <c r="L118" s="61"/>
      <c r="M118" s="61"/>
      <c r="N118" s="61"/>
    </row>
    <row r="119" spans="1:14" x14ac:dyDescent="0.2">
      <c r="A119" s="62"/>
      <c r="B119" s="62"/>
      <c r="C119" s="62"/>
      <c r="D119" s="62"/>
      <c r="E119" s="62"/>
      <c r="F119" s="62"/>
      <c r="G119" s="62"/>
      <c r="H119" s="62"/>
      <c r="I119" s="62"/>
      <c r="J119" s="62"/>
      <c r="K119" s="62"/>
      <c r="L119" s="61"/>
      <c r="M119" s="61"/>
      <c r="N119" s="61"/>
    </row>
    <row r="120" spans="1:14" x14ac:dyDescent="0.2">
      <c r="A120" s="62"/>
      <c r="B120" s="62"/>
      <c r="C120" s="62"/>
      <c r="D120" s="62"/>
      <c r="E120" s="62"/>
      <c r="F120" s="62"/>
      <c r="G120" s="62"/>
      <c r="H120" s="62"/>
      <c r="I120" s="62"/>
      <c r="J120" s="62"/>
      <c r="K120" s="62"/>
      <c r="L120" s="61"/>
      <c r="M120" s="61"/>
      <c r="N120" s="61"/>
    </row>
  </sheetData>
  <mergeCells count="10">
    <mergeCell ref="M34:N36"/>
    <mergeCell ref="B38:N39"/>
    <mergeCell ref="B41:N42"/>
    <mergeCell ref="B10:N10"/>
    <mergeCell ref="B11:N11"/>
    <mergeCell ref="B13:B14"/>
    <mergeCell ref="C13:K13"/>
    <mergeCell ref="L13:L14"/>
    <mergeCell ref="M13:M14"/>
    <mergeCell ref="N13:N14"/>
  </mergeCells>
  <printOptions horizontalCentered="1" verticalCentered="1"/>
  <pageMargins left="0.5" right="0.25" top="0.5" bottom="0.5" header="0.5" footer="0.5"/>
  <pageSetup scale="78"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pane xSplit="2" ySplit="3" topLeftCell="C4" activePane="bottomRight" state="frozen"/>
      <selection activeCell="D16" sqref="D16"/>
      <selection pane="topRight" activeCell="D16" sqref="D16"/>
      <selection pane="bottomLeft" activeCell="D16" sqref="D16"/>
      <selection pane="bottomRight" activeCell="B9" sqref="B9"/>
    </sheetView>
  </sheetViews>
  <sheetFormatPr defaultRowHeight="15" x14ac:dyDescent="0.25"/>
  <cols>
    <col min="1" max="1" width="11.5703125" style="715" customWidth="1"/>
    <col min="2" max="2" width="41.42578125" style="715" customWidth="1"/>
    <col min="3" max="5" width="10.42578125" style="715" customWidth="1"/>
    <col min="6" max="7" width="4.85546875" style="721" customWidth="1"/>
    <col min="8" max="16384" width="9.140625" style="715"/>
  </cols>
  <sheetData>
    <row r="1" spans="1:7" s="711" customFormat="1" ht="57" customHeight="1" x14ac:dyDescent="0.2">
      <c r="A1" s="940" t="s">
        <v>564</v>
      </c>
      <c r="B1" s="940"/>
      <c r="C1" s="940"/>
      <c r="D1" s="940"/>
      <c r="E1" s="940"/>
      <c r="F1" s="940"/>
      <c r="G1" s="940"/>
    </row>
    <row r="2" spans="1:7" s="711" customFormat="1" ht="32.25" customHeight="1" x14ac:dyDescent="0.2">
      <c r="A2" s="941" t="s">
        <v>563</v>
      </c>
      <c r="B2" s="941"/>
      <c r="C2" s="941"/>
      <c r="D2" s="941"/>
      <c r="E2" s="941"/>
      <c r="F2" s="941"/>
      <c r="G2" s="941"/>
    </row>
    <row r="3" spans="1:7" ht="22.5" x14ac:dyDescent="0.25">
      <c r="A3" s="938" t="s">
        <v>340</v>
      </c>
      <c r="B3" s="939"/>
      <c r="C3" s="713" t="s">
        <v>595</v>
      </c>
      <c r="D3" s="713" t="s">
        <v>596</v>
      </c>
      <c r="E3" s="713" t="s">
        <v>343</v>
      </c>
      <c r="F3" s="714" t="s">
        <v>38</v>
      </c>
      <c r="G3" s="714" t="s">
        <v>39</v>
      </c>
    </row>
    <row r="4" spans="1:7" ht="31.5" customHeight="1" x14ac:dyDescent="0.25">
      <c r="A4" s="743" t="s">
        <v>584</v>
      </c>
      <c r="B4" s="743" t="str">
        <f>+PEP!H3</f>
        <v>Mejora de calidad y analisis de información delictual</v>
      </c>
      <c r="C4" s="744">
        <f>+PEP!I3</f>
        <v>7150000</v>
      </c>
      <c r="D4" s="744">
        <f>+PEP!J3</f>
        <v>200000</v>
      </c>
      <c r="E4" s="744">
        <f>+PEP!K3</f>
        <v>7350000</v>
      </c>
      <c r="F4" s="745">
        <f>+C4/$E4</f>
        <v>0.97278911564625847</v>
      </c>
      <c r="G4" s="745">
        <f>+D4/$E4</f>
        <v>2.7210884353741496E-2</v>
      </c>
    </row>
    <row r="5" spans="1:7" s="746" customFormat="1" ht="31.5" customHeight="1" x14ac:dyDescent="0.25">
      <c r="A5" s="716" t="s">
        <v>585</v>
      </c>
      <c r="B5" s="723" t="str">
        <f>+PEP!H4</f>
        <v>Mejora de herramientas existentes para análisis y gestión de la seguridad</v>
      </c>
      <c r="C5" s="742">
        <f>+PEP!I4</f>
        <v>2500000</v>
      </c>
      <c r="D5" s="742">
        <f>+PEP!J4</f>
        <v>0</v>
      </c>
      <c r="E5" s="742">
        <f>+PEP!K4</f>
        <v>2500000</v>
      </c>
      <c r="F5" s="717">
        <f t="shared" ref="F5:F6" si="0">+C5/$E5</f>
        <v>1</v>
      </c>
      <c r="G5" s="717">
        <f t="shared" ref="G5:G6" si="1">+D5/$E5</f>
        <v>0</v>
      </c>
    </row>
    <row r="6" spans="1:7" s="746" customFormat="1" ht="31.5" customHeight="1" x14ac:dyDescent="0.25">
      <c r="A6" s="716" t="s">
        <v>586</v>
      </c>
      <c r="B6" s="723" t="str">
        <f>+PEP!H14</f>
        <v>Implementaciòn de herramientas para analisis y gestión de la seguridad</v>
      </c>
      <c r="C6" s="718">
        <f>+PEP!I14</f>
        <v>2070000</v>
      </c>
      <c r="D6" s="718">
        <f>+PEP!J14</f>
        <v>200000</v>
      </c>
      <c r="E6" s="718">
        <f>+PEP!K14</f>
        <v>2270000</v>
      </c>
      <c r="F6" s="717">
        <f t="shared" si="0"/>
        <v>0.91189427312775329</v>
      </c>
      <c r="G6" s="717">
        <f t="shared" si="1"/>
        <v>8.8105726872246701E-2</v>
      </c>
    </row>
    <row r="7" spans="1:7" s="746" customFormat="1" ht="31.5" customHeight="1" x14ac:dyDescent="0.25">
      <c r="A7" s="716" t="s">
        <v>587</v>
      </c>
      <c r="B7" s="723" t="str">
        <f>+PEP!H37</f>
        <v>Encuesta Nacional de Victimización</v>
      </c>
      <c r="C7" s="718">
        <f>+PEP!I37</f>
        <v>2580000</v>
      </c>
      <c r="D7" s="718">
        <f>+PEP!J37</f>
        <v>0</v>
      </c>
      <c r="E7" s="718">
        <f>+PEP!K37</f>
        <v>2580000</v>
      </c>
      <c r="F7" s="717">
        <f t="shared" ref="F7" si="2">+C7/$E7</f>
        <v>1</v>
      </c>
      <c r="G7" s="717">
        <f t="shared" ref="G7" si="3">+D7/$E7</f>
        <v>0</v>
      </c>
    </row>
    <row r="8" spans="1:7" ht="31.5" customHeight="1" x14ac:dyDescent="0.25">
      <c r="A8" s="743" t="s">
        <v>588</v>
      </c>
      <c r="B8" s="743" t="str">
        <f>+PEP!H41</f>
        <v xml:space="preserve">Mejora de la efectividad policial para prevenir e investigar los delitos y la violencia </v>
      </c>
      <c r="C8" s="747">
        <f>+PEP!I41</f>
        <v>7950000</v>
      </c>
      <c r="D8" s="747">
        <f>+PEP!J41</f>
        <v>2500000</v>
      </c>
      <c r="E8" s="747">
        <f>+PEP!K41</f>
        <v>10450000</v>
      </c>
      <c r="F8" s="745">
        <f>+C8/$E8</f>
        <v>0.76076555023923442</v>
      </c>
      <c r="G8" s="745">
        <f>+D8/$E8</f>
        <v>0.23923444976076555</v>
      </c>
    </row>
    <row r="9" spans="1:7" ht="31.5" customHeight="1" x14ac:dyDescent="0.25">
      <c r="A9" s="716" t="s">
        <v>589</v>
      </c>
      <c r="B9" s="723" t="str">
        <f>+PEP!H42</f>
        <v>Implementación del  Instituto Conjunto de Conducción Estratégica (ICCE)</v>
      </c>
      <c r="C9" s="718">
        <f>+PEP!I42</f>
        <v>6450000</v>
      </c>
      <c r="D9" s="718">
        <f>+PEP!J42</f>
        <v>2500000</v>
      </c>
      <c r="E9" s="718">
        <f>+PEP!K42</f>
        <v>8950000</v>
      </c>
      <c r="F9" s="717">
        <f t="shared" ref="F9" si="4">+C9/$E9</f>
        <v>0.72067039106145248</v>
      </c>
      <c r="G9" s="717">
        <f t="shared" ref="G9" si="5">+D9/$E9</f>
        <v>0.27932960893854747</v>
      </c>
    </row>
    <row r="10" spans="1:7" ht="31.5" customHeight="1" x14ac:dyDescent="0.25">
      <c r="A10" s="716" t="s">
        <v>590</v>
      </c>
      <c r="B10" s="723" t="str">
        <f>+PEP!H52</f>
        <v>Mejora de la formación básica policial (nivel de provincia)</v>
      </c>
      <c r="C10" s="718">
        <f>+PEP!I52</f>
        <v>1500000</v>
      </c>
      <c r="D10" s="718">
        <f>+PEP!J52</f>
        <v>0</v>
      </c>
      <c r="E10" s="718">
        <f>+PEP!K52</f>
        <v>1500000</v>
      </c>
      <c r="F10" s="717">
        <f>+C10/$E10</f>
        <v>1</v>
      </c>
      <c r="G10" s="717">
        <f>+D10/$E10</f>
        <v>0</v>
      </c>
    </row>
    <row r="11" spans="1:7" ht="31.5" customHeight="1" x14ac:dyDescent="0.25">
      <c r="A11" s="743" t="s">
        <v>591</v>
      </c>
      <c r="B11" s="743" t="str">
        <f>+PEP!H57</f>
        <v>Mejora de capacidad para una gestión integral de la seguridad</v>
      </c>
      <c r="C11" s="747">
        <f>+PEP!I57</f>
        <v>9700000</v>
      </c>
      <c r="D11" s="747">
        <f>+PEP!J57</f>
        <v>0</v>
      </c>
      <c r="E11" s="747">
        <f>+PEP!K57</f>
        <v>9700000</v>
      </c>
      <c r="F11" s="745">
        <f t="shared" ref="F11" si="6">+C11/$E11</f>
        <v>1</v>
      </c>
      <c r="G11" s="745">
        <f t="shared" ref="G11" si="7">+D11/$E11</f>
        <v>0</v>
      </c>
    </row>
    <row r="12" spans="1:7" ht="31.5" customHeight="1" x14ac:dyDescent="0.25">
      <c r="A12" s="716" t="s">
        <v>592</v>
      </c>
      <c r="B12" s="723" t="str">
        <f>+PEP!H58</f>
        <v>Planes municipales de seguridad</v>
      </c>
      <c r="C12" s="718">
        <f>+PEP!I58</f>
        <v>3300000</v>
      </c>
      <c r="D12" s="718">
        <f>+PEP!J58</f>
        <v>0</v>
      </c>
      <c r="E12" s="718">
        <f>+PEP!K58</f>
        <v>3300000</v>
      </c>
      <c r="F12" s="717">
        <f t="shared" ref="F12:F13" si="8">+C12/$E12</f>
        <v>1</v>
      </c>
      <c r="G12" s="717">
        <f t="shared" ref="G12:G13" si="9">+D12/$E12</f>
        <v>0</v>
      </c>
    </row>
    <row r="13" spans="1:7" ht="31.5" customHeight="1" x14ac:dyDescent="0.25">
      <c r="A13" s="716" t="s">
        <v>593</v>
      </c>
      <c r="B13" s="723" t="str">
        <f>+PEP!H71</f>
        <v>Fortalecimiento del Programa Barrios Seguros</v>
      </c>
      <c r="C13" s="718">
        <f>+PEP!I71</f>
        <v>6400000</v>
      </c>
      <c r="D13" s="718">
        <f>+PEP!J71</f>
        <v>0</v>
      </c>
      <c r="E13" s="718">
        <f>+PEP!K71</f>
        <v>6400000</v>
      </c>
      <c r="F13" s="717">
        <f t="shared" si="8"/>
        <v>1</v>
      </c>
      <c r="G13" s="717">
        <f t="shared" si="9"/>
        <v>0</v>
      </c>
    </row>
    <row r="14" spans="1:7" ht="31.5" customHeight="1" x14ac:dyDescent="0.25">
      <c r="A14" s="743" t="s">
        <v>594</v>
      </c>
      <c r="B14" s="748" t="str">
        <f>+PEP!H79</f>
        <v>Gerenciamiento del Programa</v>
      </c>
      <c r="C14" s="749">
        <f>+PEP!I79</f>
        <v>200000</v>
      </c>
      <c r="D14" s="749">
        <f>+PEP!J79</f>
        <v>2300000</v>
      </c>
      <c r="E14" s="749">
        <f>+PEP!K79</f>
        <v>2500000</v>
      </c>
      <c r="F14" s="717">
        <f t="shared" ref="F14" si="10">+C14/$E14</f>
        <v>0.08</v>
      </c>
      <c r="G14" s="717">
        <f t="shared" ref="G14" si="11">+D14/$E14</f>
        <v>0.92</v>
      </c>
    </row>
    <row r="15" spans="1:7" ht="25.5" customHeight="1" x14ac:dyDescent="0.25">
      <c r="A15" s="712"/>
      <c r="B15" s="712" t="s">
        <v>90</v>
      </c>
      <c r="C15" s="719">
        <f>+C4+C8+C11+C14</f>
        <v>25000000</v>
      </c>
      <c r="D15" s="719">
        <f t="shared" ref="D15:E15" si="12">+D4+D8+D11+D14</f>
        <v>5000000</v>
      </c>
      <c r="E15" s="719">
        <f t="shared" si="12"/>
        <v>30000000</v>
      </c>
      <c r="F15" s="720">
        <f t="shared" ref="F15" si="13">+C15/$E15</f>
        <v>0.83333333333333337</v>
      </c>
      <c r="G15" s="720">
        <f t="shared" ref="G15" si="14">+D15/$E15</f>
        <v>0.16666666666666666</v>
      </c>
    </row>
  </sheetData>
  <mergeCells count="3">
    <mergeCell ref="A3:B3"/>
    <mergeCell ref="A1:G1"/>
    <mergeCell ref="A2:G2"/>
  </mergeCells>
  <printOptions horizontalCentered="1"/>
  <pageMargins left="0.45" right="0.4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I84"/>
  <sheetViews>
    <sheetView showGridLines="0" view="pageBreakPreview" zoomScale="90" zoomScaleNormal="90" zoomScaleSheetLayoutView="90" zoomScalePageLayoutView="110" workbookViewId="0">
      <pane xSplit="8" ySplit="2" topLeftCell="L12" activePane="bottomRight" state="frozen"/>
      <selection activeCell="D16" sqref="D16"/>
      <selection pane="topRight" activeCell="D16" sqref="D16"/>
      <selection pane="bottomLeft" activeCell="D16" sqref="D16"/>
      <selection pane="bottomRight" activeCell="Z22" sqref="Z22"/>
    </sheetView>
  </sheetViews>
  <sheetFormatPr defaultColWidth="10.85546875" defaultRowHeight="12.75" x14ac:dyDescent="0.2"/>
  <cols>
    <col min="1" max="1" width="2.42578125" style="23" customWidth="1"/>
    <col min="2" max="2" width="6.5703125" style="722" hidden="1" customWidth="1"/>
    <col min="3" max="6" width="3.42578125" style="50" hidden="1" customWidth="1"/>
    <col min="7" max="7" width="8.85546875" style="722" customWidth="1"/>
    <col min="8" max="8" width="40.85546875" style="322" customWidth="1"/>
    <col min="9" max="9" width="13.140625" style="830" customWidth="1"/>
    <col min="10" max="10" width="13.140625" style="709" customWidth="1"/>
    <col min="11" max="11" width="13.140625" style="710" customWidth="1"/>
    <col min="12" max="12" width="6.140625" style="894" customWidth="1"/>
    <col min="13" max="13" width="6.140625" style="895" customWidth="1"/>
    <col min="14" max="14" width="10" style="36" customWidth="1"/>
    <col min="15" max="15" width="11.85546875" style="36" customWidth="1"/>
    <col min="16" max="18" width="10" style="36" customWidth="1"/>
    <col min="19" max="19" width="12" style="836" customWidth="1"/>
    <col min="20" max="23" width="10.7109375" style="36" hidden="1" customWidth="1"/>
    <col min="24" max="24" width="12" style="36" hidden="1" customWidth="1"/>
    <col min="25" max="25" width="10.7109375" style="36" hidden="1" customWidth="1"/>
    <col min="26" max="26" width="7.42578125" style="839" customWidth="1"/>
    <col min="27" max="28" width="6.7109375" style="23" hidden="1" customWidth="1"/>
    <col min="29" max="29" width="10.85546875" style="722" hidden="1" customWidth="1"/>
    <col min="30" max="30" width="15.140625" style="781" hidden="1" customWidth="1"/>
    <col min="31" max="31" width="3.140625" style="845" hidden="1" customWidth="1"/>
    <col min="32" max="39" width="3.140625" style="59" hidden="1" customWidth="1"/>
    <col min="40" max="40" width="3.140625" style="771" hidden="1" customWidth="1"/>
    <col min="41" max="41" width="10.28515625" style="23" hidden="1" customWidth="1"/>
    <col min="42" max="49" width="8.5703125" style="917" customWidth="1"/>
    <col min="50" max="50" width="8.5703125" style="917" hidden="1" customWidth="1"/>
    <col min="51" max="51" width="10.7109375" style="917" customWidth="1"/>
    <col min="52" max="52" width="8" style="722" customWidth="1"/>
    <col min="53" max="53" width="25.5703125" style="23" customWidth="1"/>
    <col min="54" max="54" width="8.5703125" style="722" customWidth="1"/>
    <col min="55" max="55" width="11.5703125" style="722" customWidth="1"/>
    <col min="56" max="56" width="10.42578125" style="722" hidden="1" customWidth="1"/>
    <col min="57" max="57" width="9.42578125" style="722" hidden="1" customWidth="1"/>
    <col min="58" max="59" width="13.85546875" style="722" customWidth="1"/>
    <col min="60" max="60" width="10.85546875" style="722" customWidth="1"/>
    <col min="61" max="61" width="6.42578125" style="722" customWidth="1"/>
    <col min="62" max="16384" width="10.85546875" style="23"/>
  </cols>
  <sheetData>
    <row r="1" spans="2:61" s="848" customFormat="1" ht="25.5" customHeight="1" x14ac:dyDescent="0.2">
      <c r="D1" s="849"/>
      <c r="E1" s="849"/>
      <c r="F1" s="849"/>
      <c r="G1" s="849"/>
      <c r="H1" s="850" t="s">
        <v>332</v>
      </c>
      <c r="I1" s="943" t="s">
        <v>333</v>
      </c>
      <c r="J1" s="944"/>
      <c r="K1" s="945"/>
      <c r="L1" s="886"/>
      <c r="M1" s="887"/>
      <c r="N1" s="948" t="s">
        <v>335</v>
      </c>
      <c r="O1" s="948"/>
      <c r="P1" s="948"/>
      <c r="Q1" s="948"/>
      <c r="R1" s="948"/>
      <c r="S1" s="948"/>
      <c r="T1" s="948" t="s">
        <v>480</v>
      </c>
      <c r="U1" s="948"/>
      <c r="V1" s="948"/>
      <c r="W1" s="948"/>
      <c r="X1" s="948"/>
      <c r="Y1" s="948"/>
      <c r="Z1" s="851"/>
      <c r="AA1" s="852"/>
      <c r="AB1" s="852"/>
      <c r="AC1" s="853"/>
      <c r="AD1" s="854"/>
      <c r="AE1" s="949" t="s">
        <v>606</v>
      </c>
      <c r="AF1" s="950"/>
      <c r="AG1" s="950"/>
      <c r="AH1" s="950"/>
      <c r="AI1" s="950"/>
      <c r="AJ1" s="950"/>
      <c r="AK1" s="950"/>
      <c r="AL1" s="950"/>
      <c r="AM1" s="950"/>
      <c r="AN1" s="951"/>
      <c r="AO1" s="942" t="s">
        <v>605</v>
      </c>
      <c r="AP1" s="942"/>
      <c r="AQ1" s="942"/>
      <c r="AR1" s="942"/>
      <c r="AS1" s="942"/>
      <c r="AT1" s="942"/>
      <c r="AU1" s="942"/>
      <c r="AV1" s="942"/>
      <c r="AW1" s="942"/>
      <c r="AX1" s="942"/>
      <c r="AY1" s="942"/>
      <c r="AZ1" s="855"/>
      <c r="BA1" s="946" t="s">
        <v>607</v>
      </c>
      <c r="BB1" s="946"/>
      <c r="BC1" s="946"/>
      <c r="BD1" s="946"/>
      <c r="BE1" s="946"/>
      <c r="BF1" s="946"/>
      <c r="BG1" s="946"/>
      <c r="BH1" s="946"/>
      <c r="BI1" s="946"/>
    </row>
    <row r="2" spans="2:61" s="41" customFormat="1" ht="36" x14ac:dyDescent="0.2">
      <c r="B2" s="47" t="s">
        <v>45</v>
      </c>
      <c r="C2" s="48" t="s">
        <v>47</v>
      </c>
      <c r="D2" s="48" t="s">
        <v>48</v>
      </c>
      <c r="E2" s="48" t="s">
        <v>49</v>
      </c>
      <c r="F2" s="48" t="s">
        <v>64</v>
      </c>
      <c r="G2" s="47" t="s">
        <v>50</v>
      </c>
      <c r="H2" s="46" t="s">
        <v>37</v>
      </c>
      <c r="I2" s="820" t="s">
        <v>341</v>
      </c>
      <c r="J2" s="707" t="s">
        <v>342</v>
      </c>
      <c r="K2" s="708" t="s">
        <v>343</v>
      </c>
      <c r="L2" s="888" t="s">
        <v>425</v>
      </c>
      <c r="M2" s="889" t="s">
        <v>426</v>
      </c>
      <c r="N2" s="46">
        <v>2017</v>
      </c>
      <c r="O2" s="46">
        <v>2018</v>
      </c>
      <c r="P2" s="46">
        <v>2019</v>
      </c>
      <c r="Q2" s="46">
        <v>2020</v>
      </c>
      <c r="R2" s="46">
        <v>2021</v>
      </c>
      <c r="S2" s="831" t="s">
        <v>10</v>
      </c>
      <c r="T2" s="46">
        <v>2017</v>
      </c>
      <c r="U2" s="46">
        <v>2018</v>
      </c>
      <c r="V2" s="46">
        <v>2019</v>
      </c>
      <c r="W2" s="46">
        <v>2020</v>
      </c>
      <c r="X2" s="46">
        <v>2021</v>
      </c>
      <c r="Y2" s="46" t="s">
        <v>10</v>
      </c>
      <c r="Z2" s="41" t="s">
        <v>408</v>
      </c>
      <c r="AC2" s="803" t="s">
        <v>604</v>
      </c>
      <c r="AD2" s="804" t="s">
        <v>602</v>
      </c>
      <c r="AE2" s="514" t="s">
        <v>357</v>
      </c>
      <c r="AF2" s="766" t="s">
        <v>358</v>
      </c>
      <c r="AG2" s="766" t="s">
        <v>359</v>
      </c>
      <c r="AH2" s="766" t="s">
        <v>360</v>
      </c>
      <c r="AI2" s="766" t="s">
        <v>361</v>
      </c>
      <c r="AJ2" s="766" t="s">
        <v>362</v>
      </c>
      <c r="AK2" s="766" t="s">
        <v>363</v>
      </c>
      <c r="AL2" s="766" t="s">
        <v>364</v>
      </c>
      <c r="AM2" s="766" t="s">
        <v>610</v>
      </c>
      <c r="AN2" s="515" t="s">
        <v>611</v>
      </c>
      <c r="AO2" s="805" t="s">
        <v>357</v>
      </c>
      <c r="AP2" s="805" t="s">
        <v>358</v>
      </c>
      <c r="AQ2" s="805" t="s">
        <v>359</v>
      </c>
      <c r="AR2" s="805" t="s">
        <v>360</v>
      </c>
      <c r="AS2" s="805" t="s">
        <v>361</v>
      </c>
      <c r="AT2" s="805" t="s">
        <v>362</v>
      </c>
      <c r="AU2" s="805" t="s">
        <v>363</v>
      </c>
      <c r="AV2" s="805" t="s">
        <v>364</v>
      </c>
      <c r="AW2" s="805" t="s">
        <v>610</v>
      </c>
      <c r="AX2" s="805" t="s">
        <v>611</v>
      </c>
      <c r="AY2" s="815" t="s">
        <v>10</v>
      </c>
      <c r="AZ2" s="41" t="s">
        <v>604</v>
      </c>
      <c r="BA2" s="806" t="s">
        <v>420</v>
      </c>
      <c r="BB2" s="806" t="s">
        <v>436</v>
      </c>
      <c r="BC2" s="807" t="s">
        <v>437</v>
      </c>
      <c r="BD2" s="808" t="s">
        <v>466</v>
      </c>
      <c r="BE2" s="808" t="s">
        <v>467</v>
      </c>
      <c r="BF2" s="807" t="s">
        <v>468</v>
      </c>
      <c r="BG2" s="809" t="s">
        <v>469</v>
      </c>
      <c r="BH2" s="807" t="s">
        <v>347</v>
      </c>
      <c r="BI2" s="810" t="s">
        <v>348</v>
      </c>
    </row>
    <row r="3" spans="2:61" s="41" customFormat="1" ht="21.95" customHeight="1" x14ac:dyDescent="0.2">
      <c r="B3" s="46"/>
      <c r="C3" s="48">
        <v>1</v>
      </c>
      <c r="D3" s="48">
        <v>0</v>
      </c>
      <c r="E3" s="48">
        <v>0</v>
      </c>
      <c r="F3" s="48">
        <v>0</v>
      </c>
      <c r="G3" s="47" t="str">
        <f>CONCATENATE(C3,".",D3,".",E3,".",F3)</f>
        <v>1.0.0.0</v>
      </c>
      <c r="H3" s="818" t="s">
        <v>46</v>
      </c>
      <c r="I3" s="821">
        <f t="shared" ref="I3:I42" si="0">+S3</f>
        <v>7150000</v>
      </c>
      <c r="J3" s="813">
        <f t="shared" ref="J3:J42" si="1">+Y3</f>
        <v>200000</v>
      </c>
      <c r="K3" s="822">
        <f>SUM(I3:J3)</f>
        <v>7350000</v>
      </c>
      <c r="L3" s="888"/>
      <c r="M3" s="889"/>
      <c r="N3" s="811">
        <f>N4+N14+N37</f>
        <v>345000</v>
      </c>
      <c r="O3" s="811">
        <f>+O5+O37+O14+O9</f>
        <v>4035000</v>
      </c>
      <c r="P3" s="811">
        <f>+P5+P37+P14+P9</f>
        <v>2620000</v>
      </c>
      <c r="Q3" s="811">
        <f>+Q5+Q37+Q14+Q9</f>
        <v>90000</v>
      </c>
      <c r="R3" s="811">
        <f>+R5+R37+R14+R9</f>
        <v>60000</v>
      </c>
      <c r="S3" s="832">
        <f>SUM(N3:R3)</f>
        <v>7150000</v>
      </c>
      <c r="T3" s="811">
        <f t="shared" ref="T3:W3" si="2">+T5+T37+T14+T9</f>
        <v>0</v>
      </c>
      <c r="U3" s="811">
        <f t="shared" si="2"/>
        <v>100000</v>
      </c>
      <c r="V3" s="811">
        <f t="shared" si="2"/>
        <v>100000</v>
      </c>
      <c r="W3" s="811">
        <f t="shared" si="2"/>
        <v>0</v>
      </c>
      <c r="X3" s="811">
        <f>+X5+X37+X14+X9</f>
        <v>0</v>
      </c>
      <c r="Y3" s="811">
        <f>SUM(T3:X3)</f>
        <v>200000</v>
      </c>
      <c r="Z3" s="837"/>
      <c r="AA3" s="812"/>
      <c r="AD3" s="814"/>
      <c r="AE3" s="841"/>
      <c r="AF3" s="815"/>
      <c r="AG3" s="815"/>
      <c r="AH3" s="815"/>
      <c r="AI3" s="815"/>
      <c r="AJ3" s="815"/>
      <c r="AK3" s="815"/>
      <c r="AL3" s="815"/>
      <c r="AM3" s="815"/>
      <c r="AN3" s="842"/>
      <c r="AO3" s="816"/>
      <c r="AP3" s="905"/>
      <c r="AQ3" s="905"/>
      <c r="AR3" s="905"/>
      <c r="AS3" s="905"/>
      <c r="AT3" s="905"/>
      <c r="AU3" s="905"/>
      <c r="AV3" s="905"/>
      <c r="AW3" s="905"/>
      <c r="AX3" s="905"/>
      <c r="AY3" s="815"/>
    </row>
    <row r="4" spans="2:61" s="739" customFormat="1" ht="25.5" x14ac:dyDescent="0.2">
      <c r="B4" s="737"/>
      <c r="C4" s="738">
        <v>1</v>
      </c>
      <c r="D4" s="738">
        <v>1</v>
      </c>
      <c r="E4" s="738">
        <v>0</v>
      </c>
      <c r="F4" s="738">
        <v>0</v>
      </c>
      <c r="G4" s="737" t="str">
        <f>CONCATENATE(C4,".",D4,".",E4,".",F4)</f>
        <v>1.1.0.0</v>
      </c>
      <c r="H4" s="819" t="s">
        <v>63</v>
      </c>
      <c r="I4" s="823">
        <f t="shared" si="0"/>
        <v>2500000</v>
      </c>
      <c r="J4" s="740">
        <f t="shared" si="1"/>
        <v>0</v>
      </c>
      <c r="K4" s="741">
        <f t="shared" ref="K4:K71" si="3">SUM(I4:J4)</f>
        <v>2500000</v>
      </c>
      <c r="L4" s="890"/>
      <c r="M4" s="891"/>
      <c r="N4" s="53">
        <f>+N5+N9</f>
        <v>125000</v>
      </c>
      <c r="O4" s="53">
        <f t="shared" ref="O4:R4" si="4">+O5+O9</f>
        <v>1565000</v>
      </c>
      <c r="P4" s="53">
        <f t="shared" si="4"/>
        <v>810000</v>
      </c>
      <c r="Q4" s="53">
        <f t="shared" si="4"/>
        <v>0</v>
      </c>
      <c r="R4" s="53">
        <f t="shared" si="4"/>
        <v>0</v>
      </c>
      <c r="S4" s="833">
        <f t="shared" ref="S4:S67" si="5">SUM(N4:R4)</f>
        <v>2500000</v>
      </c>
      <c r="T4" s="53">
        <f t="shared" ref="T4:X4" si="6">+T5+T9</f>
        <v>0</v>
      </c>
      <c r="U4" s="53">
        <f t="shared" si="6"/>
        <v>0</v>
      </c>
      <c r="V4" s="53">
        <f t="shared" si="6"/>
        <v>0</v>
      </c>
      <c r="W4" s="53">
        <f t="shared" si="6"/>
        <v>0</v>
      </c>
      <c r="X4" s="53">
        <f t="shared" si="6"/>
        <v>0</v>
      </c>
      <c r="Y4" s="53">
        <f t="shared" ref="Y4:Y67" si="7">SUM(T4:X4)</f>
        <v>0</v>
      </c>
      <c r="Z4" s="737"/>
      <c r="AC4" s="737"/>
      <c r="AD4" s="776"/>
      <c r="AE4" s="843"/>
      <c r="AF4" s="767"/>
      <c r="AG4" s="767"/>
      <c r="AH4" s="767"/>
      <c r="AI4" s="767"/>
      <c r="AJ4" s="767"/>
      <c r="AK4" s="767"/>
      <c r="AL4" s="767"/>
      <c r="AM4" s="767"/>
      <c r="AN4" s="768"/>
      <c r="AO4" s="782"/>
      <c r="AP4" s="906"/>
      <c r="AQ4" s="906"/>
      <c r="AR4" s="906"/>
      <c r="AS4" s="906"/>
      <c r="AT4" s="906"/>
      <c r="AU4" s="906"/>
      <c r="AV4" s="906"/>
      <c r="AW4" s="906"/>
      <c r="AX4" s="906"/>
      <c r="AY4" s="907"/>
      <c r="AZ4" s="737"/>
      <c r="BB4" s="737"/>
      <c r="BC4" s="737"/>
      <c r="BD4" s="737"/>
      <c r="BE4" s="737"/>
      <c r="BF4" s="737"/>
      <c r="BG4" s="737"/>
      <c r="BH4" s="737"/>
      <c r="BI4" s="737"/>
    </row>
    <row r="5" spans="2:61" s="44" customFormat="1" ht="38.25" x14ac:dyDescent="0.2">
      <c r="B5" s="42"/>
      <c r="C5" s="49">
        <v>1</v>
      </c>
      <c r="D5" s="49">
        <v>1</v>
      </c>
      <c r="E5" s="49">
        <v>1</v>
      </c>
      <c r="F5" s="49">
        <v>0</v>
      </c>
      <c r="G5" s="42" t="str">
        <f>CONCATENATE(C5,".",D5,".",E5,".",F5)</f>
        <v>1.1.1.0</v>
      </c>
      <c r="H5" s="623" t="s">
        <v>164</v>
      </c>
      <c r="I5" s="824">
        <f t="shared" si="0"/>
        <v>1200000</v>
      </c>
      <c r="J5" s="727">
        <f t="shared" si="1"/>
        <v>0</v>
      </c>
      <c r="K5" s="728">
        <f t="shared" si="3"/>
        <v>1200000</v>
      </c>
      <c r="L5" s="892"/>
      <c r="M5" s="893"/>
      <c r="N5" s="43">
        <f>SUM(N6:N8)</f>
        <v>50000</v>
      </c>
      <c r="O5" s="43">
        <f t="shared" ref="O5:R5" si="8">SUM(O6:O8)</f>
        <v>730000</v>
      </c>
      <c r="P5" s="43">
        <f t="shared" si="8"/>
        <v>420000</v>
      </c>
      <c r="Q5" s="43">
        <f t="shared" si="8"/>
        <v>0</v>
      </c>
      <c r="R5" s="43">
        <f t="shared" si="8"/>
        <v>0</v>
      </c>
      <c r="S5" s="834">
        <f t="shared" si="5"/>
        <v>1200000</v>
      </c>
      <c r="T5" s="43">
        <f t="shared" ref="T5:W5" si="9">SUM(T6:T8)</f>
        <v>0</v>
      </c>
      <c r="U5" s="43">
        <f t="shared" si="9"/>
        <v>0</v>
      </c>
      <c r="V5" s="43">
        <f t="shared" si="9"/>
        <v>0</v>
      </c>
      <c r="W5" s="43">
        <f t="shared" si="9"/>
        <v>0</v>
      </c>
      <c r="X5" s="43">
        <f t="shared" ref="X5" si="10">SUM(X6:X8)</f>
        <v>0</v>
      </c>
      <c r="Y5" s="43">
        <f t="shared" si="7"/>
        <v>0</v>
      </c>
      <c r="Z5" s="838"/>
      <c r="AC5" s="42"/>
      <c r="AD5" s="777"/>
      <c r="AE5" s="844"/>
      <c r="AF5" s="769"/>
      <c r="AG5" s="769"/>
      <c r="AH5" s="769"/>
      <c r="AI5" s="769"/>
      <c r="AJ5" s="769"/>
      <c r="AK5" s="769"/>
      <c r="AL5" s="769"/>
      <c r="AM5" s="769"/>
      <c r="AN5" s="770"/>
      <c r="AO5" s="783"/>
      <c r="AP5" s="908"/>
      <c r="AQ5" s="908"/>
      <c r="AR5" s="908"/>
      <c r="AS5" s="908"/>
      <c r="AT5" s="908"/>
      <c r="AU5" s="908"/>
      <c r="AV5" s="908"/>
      <c r="AW5" s="908"/>
      <c r="AX5" s="908"/>
      <c r="AY5" s="909"/>
      <c r="AZ5" s="42"/>
      <c r="BB5" s="42"/>
      <c r="BC5" s="42"/>
      <c r="BD5" s="42"/>
      <c r="BE5" s="42"/>
      <c r="BF5" s="42"/>
      <c r="BG5" s="42"/>
      <c r="BH5" s="42"/>
      <c r="BI5" s="42"/>
    </row>
    <row r="6" spans="2:61" ht="25.5" x14ac:dyDescent="0.2">
      <c r="B6" s="947" t="s">
        <v>61</v>
      </c>
      <c r="C6" s="50">
        <v>1</v>
      </c>
      <c r="D6" s="50">
        <v>1</v>
      </c>
      <c r="E6" s="50">
        <v>1</v>
      </c>
      <c r="F6" s="50">
        <v>1</v>
      </c>
      <c r="G6" s="722" t="str">
        <f t="shared" ref="G6:G81" si="11">CONCATENATE(C6,".",D6,".",E6,".",F6)</f>
        <v>1.1.1.1</v>
      </c>
      <c r="H6" s="2" t="s">
        <v>166</v>
      </c>
      <c r="I6" s="825">
        <f t="shared" si="0"/>
        <v>230000</v>
      </c>
      <c r="J6" s="729">
        <f t="shared" si="1"/>
        <v>0</v>
      </c>
      <c r="K6" s="730">
        <f t="shared" si="3"/>
        <v>230000</v>
      </c>
      <c r="L6" s="894">
        <v>1</v>
      </c>
      <c r="M6" s="895">
        <f>100%-L6</f>
        <v>0</v>
      </c>
      <c r="N6" s="37">
        <v>50000</v>
      </c>
      <c r="O6" s="37">
        <v>180000</v>
      </c>
      <c r="P6" s="37"/>
      <c r="Q6" s="37"/>
      <c r="R6" s="37"/>
      <c r="S6" s="835">
        <f t="shared" si="5"/>
        <v>230000</v>
      </c>
      <c r="T6" s="38"/>
      <c r="U6" s="38"/>
      <c r="V6" s="38"/>
      <c r="W6" s="38"/>
      <c r="X6" s="37"/>
      <c r="Y6" s="38">
        <f t="shared" si="7"/>
        <v>0</v>
      </c>
      <c r="Z6" s="839">
        <f>+'Matriz de Resultados'!B22</f>
        <v>1.1000000000000001</v>
      </c>
      <c r="AC6" s="722">
        <f>SUM(AE6:AL6)-(BH6+1)</f>
        <v>0</v>
      </c>
      <c r="AD6" s="778">
        <f>+I6/(BH6+1)</f>
        <v>38333.333333333336</v>
      </c>
      <c r="AF6" s="59">
        <v>1.5</v>
      </c>
      <c r="AG6" s="59">
        <v>4.5</v>
      </c>
      <c r="AO6" s="337">
        <f t="shared" ref="AO6:AU6" si="12">+$AD6*AE6</f>
        <v>0</v>
      </c>
      <c r="AP6" s="910">
        <v>50000</v>
      </c>
      <c r="AQ6" s="910">
        <v>180000</v>
      </c>
      <c r="AR6" s="910">
        <f t="shared" si="12"/>
        <v>0</v>
      </c>
      <c r="AS6" s="910">
        <f t="shared" si="12"/>
        <v>0</v>
      </c>
      <c r="AT6" s="910">
        <f t="shared" si="12"/>
        <v>0</v>
      </c>
      <c r="AU6" s="910">
        <f t="shared" si="12"/>
        <v>0</v>
      </c>
      <c r="AV6" s="910">
        <f t="shared" ref="AV6:AW6" si="13">+$AD6*AL6</f>
        <v>0</v>
      </c>
      <c r="AW6" s="910">
        <f t="shared" si="13"/>
        <v>0</v>
      </c>
      <c r="AX6" s="910"/>
      <c r="AY6" s="910">
        <f>SUM(AO6:AX6)</f>
        <v>230000</v>
      </c>
      <c r="AZ6" s="786">
        <f>+AY6-I6</f>
        <v>0</v>
      </c>
      <c r="BA6" s="23" t="s">
        <v>423</v>
      </c>
      <c r="BB6" s="722" t="s">
        <v>441</v>
      </c>
      <c r="BC6" s="722" t="s">
        <v>474</v>
      </c>
      <c r="BE6" s="722" t="s">
        <v>470</v>
      </c>
      <c r="BF6" s="539">
        <v>43009</v>
      </c>
      <c r="BG6" s="539">
        <f t="shared" ref="BG6:BG8" si="14">EOMONTH(BF6,BH6)</f>
        <v>43190</v>
      </c>
      <c r="BH6" s="722">
        <v>5</v>
      </c>
    </row>
    <row r="7" spans="2:61" ht="25.5" x14ac:dyDescent="0.2">
      <c r="B7" s="947"/>
      <c r="C7" s="50">
        <v>1</v>
      </c>
      <c r="D7" s="50">
        <v>1</v>
      </c>
      <c r="E7" s="50">
        <v>1</v>
      </c>
      <c r="F7" s="50">
        <v>2</v>
      </c>
      <c r="G7" s="32" t="str">
        <f t="shared" si="11"/>
        <v>1.1.1.2</v>
      </c>
      <c r="H7" s="621" t="s">
        <v>59</v>
      </c>
      <c r="I7" s="825">
        <f t="shared" si="0"/>
        <v>770000</v>
      </c>
      <c r="J7" s="729">
        <f t="shared" si="1"/>
        <v>0</v>
      </c>
      <c r="K7" s="730">
        <f t="shared" si="3"/>
        <v>770000</v>
      </c>
      <c r="L7" s="894">
        <v>1</v>
      </c>
      <c r="M7" s="895">
        <f t="shared" ref="M7:M72" si="15">100%-L7</f>
        <v>0</v>
      </c>
      <c r="N7" s="37">
        <f>+'1.1.1'!C11</f>
        <v>0</v>
      </c>
      <c r="O7" s="37">
        <f>+'1.1.1'!D11</f>
        <v>500000</v>
      </c>
      <c r="P7" s="37">
        <f>+'1.1.1'!E11</f>
        <v>270000</v>
      </c>
      <c r="Q7" s="37">
        <f>+'1.1.1'!F11</f>
        <v>0</v>
      </c>
      <c r="R7" s="37"/>
      <c r="S7" s="835">
        <f t="shared" si="5"/>
        <v>770000</v>
      </c>
      <c r="T7" s="38"/>
      <c r="U7" s="38"/>
      <c r="V7" s="38"/>
      <c r="W7" s="38"/>
      <c r="X7" s="37"/>
      <c r="Y7" s="38">
        <f t="shared" si="7"/>
        <v>0</v>
      </c>
      <c r="Z7" s="839">
        <f>+'Matriz de Resultados'!B23</f>
        <v>1.2</v>
      </c>
      <c r="AC7" s="722">
        <f>SUM(AE7:AL7)-(BH7+1)</f>
        <v>0</v>
      </c>
      <c r="AD7" s="778">
        <f>+I7/(BH7+1)</f>
        <v>110000</v>
      </c>
      <c r="AG7" s="59">
        <v>2</v>
      </c>
      <c r="AH7" s="59">
        <v>3</v>
      </c>
      <c r="AI7" s="59">
        <v>2</v>
      </c>
      <c r="AO7" s="337">
        <f t="shared" ref="AO7:AO8" si="16">+$AD7*AE7</f>
        <v>0</v>
      </c>
      <c r="AP7" s="910">
        <f t="shared" ref="AP7:AP8" si="17">+$AD7*AF7</f>
        <v>0</v>
      </c>
      <c r="AQ7" s="910">
        <v>200000</v>
      </c>
      <c r="AR7" s="910">
        <v>300000</v>
      </c>
      <c r="AS7" s="910">
        <v>270000</v>
      </c>
      <c r="AT7" s="910">
        <f t="shared" ref="AT7" si="18">+$AD7*AJ7</f>
        <v>0</v>
      </c>
      <c r="AU7" s="910">
        <f t="shared" ref="AU7:AU8" si="19">+$AD7*AK7</f>
        <v>0</v>
      </c>
      <c r="AV7" s="910">
        <f t="shared" ref="AV7:AW8" si="20">+$AD7*AL7</f>
        <v>0</v>
      </c>
      <c r="AW7" s="910">
        <f t="shared" si="20"/>
        <v>0</v>
      </c>
      <c r="AX7" s="910"/>
      <c r="AY7" s="910">
        <f t="shared" ref="AY7:AY70" si="21">SUM(AO7:AX7)</f>
        <v>770000</v>
      </c>
      <c r="AZ7" s="786">
        <f>+AY7-I7</f>
        <v>0</v>
      </c>
      <c r="BA7" s="23" t="s">
        <v>421</v>
      </c>
      <c r="BB7" s="722" t="s">
        <v>155</v>
      </c>
      <c r="BC7" s="722" t="s">
        <v>474</v>
      </c>
      <c r="BE7" s="722" t="s">
        <v>470</v>
      </c>
      <c r="BF7" s="539">
        <v>43132</v>
      </c>
      <c r="BG7" s="539">
        <f t="shared" si="14"/>
        <v>43343</v>
      </c>
      <c r="BH7" s="722">
        <v>6</v>
      </c>
    </row>
    <row r="8" spans="2:61" ht="51" x14ac:dyDescent="0.2">
      <c r="C8" s="50">
        <v>1</v>
      </c>
      <c r="D8" s="50">
        <v>1</v>
      </c>
      <c r="E8" s="50">
        <v>1</v>
      </c>
      <c r="F8" s="50">
        <v>3</v>
      </c>
      <c r="G8" s="32" t="str">
        <f t="shared" si="11"/>
        <v>1.1.1.3</v>
      </c>
      <c r="H8" s="621" t="s">
        <v>422</v>
      </c>
      <c r="I8" s="825">
        <f t="shared" si="0"/>
        <v>200000</v>
      </c>
      <c r="J8" s="729">
        <f t="shared" si="1"/>
        <v>0</v>
      </c>
      <c r="K8" s="730">
        <f t="shared" si="3"/>
        <v>200000</v>
      </c>
      <c r="L8" s="894">
        <v>1</v>
      </c>
      <c r="M8" s="895">
        <f t="shared" si="15"/>
        <v>0</v>
      </c>
      <c r="N8" s="37">
        <f>+'1.1.1'!C10</f>
        <v>0</v>
      </c>
      <c r="O8" s="37">
        <f>+'1.1.1'!D10</f>
        <v>50000</v>
      </c>
      <c r="P8" s="37">
        <f>+'1.1.1'!E10</f>
        <v>150000</v>
      </c>
      <c r="Q8" s="37">
        <f>+'1.1.1'!F10</f>
        <v>0</v>
      </c>
      <c r="R8" s="37"/>
      <c r="S8" s="835">
        <f t="shared" si="5"/>
        <v>200000</v>
      </c>
      <c r="T8" s="38"/>
      <c r="U8" s="38"/>
      <c r="V8" s="38"/>
      <c r="W8" s="38"/>
      <c r="X8" s="37"/>
      <c r="Y8" s="38">
        <f t="shared" si="7"/>
        <v>0</v>
      </c>
      <c r="Z8" s="839">
        <f>+'Matriz de Resultados'!B24</f>
        <v>1.3</v>
      </c>
      <c r="AC8" s="722">
        <f>SUM(AE8:AL8)-(BH8+1)</f>
        <v>0</v>
      </c>
      <c r="AD8" s="778">
        <f>+I8/(BH8+1)</f>
        <v>22222.222222222223</v>
      </c>
      <c r="AH8" s="59">
        <v>3</v>
      </c>
      <c r="AI8" s="59">
        <v>6</v>
      </c>
      <c r="AO8" s="337">
        <f t="shared" si="16"/>
        <v>0</v>
      </c>
      <c r="AP8" s="910">
        <f t="shared" si="17"/>
        <v>0</v>
      </c>
      <c r="AQ8" s="910">
        <f t="shared" ref="AQ8" si="22">+$AD8*AG8</f>
        <v>0</v>
      </c>
      <c r="AR8" s="910">
        <v>50000</v>
      </c>
      <c r="AS8" s="910">
        <v>75000</v>
      </c>
      <c r="AT8" s="910">
        <v>75000</v>
      </c>
      <c r="AU8" s="910">
        <f t="shared" si="19"/>
        <v>0</v>
      </c>
      <c r="AV8" s="910">
        <f t="shared" si="20"/>
        <v>0</v>
      </c>
      <c r="AW8" s="910">
        <f t="shared" si="20"/>
        <v>0</v>
      </c>
      <c r="AX8" s="910"/>
      <c r="AY8" s="910">
        <f t="shared" si="21"/>
        <v>200000</v>
      </c>
      <c r="AZ8" s="786">
        <f>+AY8-I8</f>
        <v>0</v>
      </c>
      <c r="BA8" s="23" t="s">
        <v>433</v>
      </c>
      <c r="BB8" s="722" t="s">
        <v>442</v>
      </c>
      <c r="BC8" s="722" t="s">
        <v>440</v>
      </c>
      <c r="BF8" s="539">
        <v>43374</v>
      </c>
      <c r="BG8" s="539">
        <f t="shared" si="14"/>
        <v>43646</v>
      </c>
      <c r="BH8" s="722">
        <v>8</v>
      </c>
    </row>
    <row r="9" spans="2:61" s="44" customFormat="1" ht="25.5" x14ac:dyDescent="0.2">
      <c r="B9" s="42"/>
      <c r="C9" s="49">
        <v>1</v>
      </c>
      <c r="D9" s="49">
        <v>1</v>
      </c>
      <c r="E9" s="49">
        <v>2</v>
      </c>
      <c r="F9" s="49">
        <v>0</v>
      </c>
      <c r="G9" s="42" t="str">
        <f t="shared" si="11"/>
        <v>1.1.2.0</v>
      </c>
      <c r="H9" s="623" t="s">
        <v>597</v>
      </c>
      <c r="I9" s="824">
        <f t="shared" si="0"/>
        <v>1300000</v>
      </c>
      <c r="J9" s="727">
        <f t="shared" si="1"/>
        <v>0</v>
      </c>
      <c r="K9" s="728">
        <f t="shared" si="3"/>
        <v>1300000</v>
      </c>
      <c r="L9" s="892"/>
      <c r="M9" s="893"/>
      <c r="N9" s="43">
        <f>SUM(N10:N13)</f>
        <v>75000</v>
      </c>
      <c r="O9" s="43">
        <f t="shared" ref="O9:R9" si="23">SUM(O10:O13)</f>
        <v>835000</v>
      </c>
      <c r="P9" s="43">
        <f t="shared" si="23"/>
        <v>390000</v>
      </c>
      <c r="Q9" s="43">
        <f t="shared" si="23"/>
        <v>0</v>
      </c>
      <c r="R9" s="43">
        <f t="shared" si="23"/>
        <v>0</v>
      </c>
      <c r="S9" s="834">
        <f t="shared" si="5"/>
        <v>1300000</v>
      </c>
      <c r="T9" s="43">
        <f t="shared" ref="T9:X9" si="24">SUM(T10:T13)</f>
        <v>0</v>
      </c>
      <c r="U9" s="43">
        <f t="shared" si="24"/>
        <v>0</v>
      </c>
      <c r="V9" s="43">
        <f t="shared" si="24"/>
        <v>0</v>
      </c>
      <c r="W9" s="43">
        <f t="shared" si="24"/>
        <v>0</v>
      </c>
      <c r="X9" s="43">
        <f t="shared" si="24"/>
        <v>0</v>
      </c>
      <c r="Y9" s="43">
        <f t="shared" si="7"/>
        <v>0</v>
      </c>
      <c r="Z9" s="838"/>
      <c r="AC9" s="42"/>
      <c r="AD9" s="777"/>
      <c r="AE9" s="844"/>
      <c r="AF9" s="769"/>
      <c r="AG9" s="769"/>
      <c r="AH9" s="769"/>
      <c r="AI9" s="769"/>
      <c r="AJ9" s="769"/>
      <c r="AK9" s="769"/>
      <c r="AL9" s="769"/>
      <c r="AM9" s="769"/>
      <c r="AN9" s="770"/>
      <c r="AO9" s="783"/>
      <c r="AP9" s="908"/>
      <c r="AQ9" s="908"/>
      <c r="AR9" s="908"/>
      <c r="AS9" s="908"/>
      <c r="AT9" s="908"/>
      <c r="AU9" s="908"/>
      <c r="AV9" s="908"/>
      <c r="AW9" s="908"/>
      <c r="AX9" s="908"/>
      <c r="AY9" s="909">
        <f t="shared" si="21"/>
        <v>0</v>
      </c>
      <c r="AZ9" s="42"/>
      <c r="BB9" s="42"/>
      <c r="BC9" s="42"/>
      <c r="BD9" s="42"/>
      <c r="BE9" s="42"/>
      <c r="BF9" s="42"/>
      <c r="BG9" s="42"/>
      <c r="BH9" s="42"/>
      <c r="BI9" s="42"/>
    </row>
    <row r="10" spans="2:61" ht="25.5" x14ac:dyDescent="0.2">
      <c r="B10" s="947"/>
      <c r="C10" s="50">
        <v>1</v>
      </c>
      <c r="D10" s="50">
        <v>1</v>
      </c>
      <c r="E10" s="50">
        <v>2</v>
      </c>
      <c r="F10" s="50">
        <v>1</v>
      </c>
      <c r="G10" s="32" t="str">
        <f t="shared" si="11"/>
        <v>1.1.2.1</v>
      </c>
      <c r="H10" s="2" t="s">
        <v>598</v>
      </c>
      <c r="I10" s="825">
        <f t="shared" si="0"/>
        <v>300000</v>
      </c>
      <c r="J10" s="729">
        <f t="shared" si="1"/>
        <v>0</v>
      </c>
      <c r="K10" s="730">
        <f t="shared" si="3"/>
        <v>300000</v>
      </c>
      <c r="L10" s="894">
        <v>1</v>
      </c>
      <c r="M10" s="896">
        <f t="shared" si="15"/>
        <v>0</v>
      </c>
      <c r="N10" s="37">
        <f>+'1.1.2'!D23</f>
        <v>50000</v>
      </c>
      <c r="O10" s="37">
        <f>+'1.1.2'!E23</f>
        <v>200000</v>
      </c>
      <c r="P10" s="37">
        <f>+'1.1.2'!F23</f>
        <v>50000</v>
      </c>
      <c r="Q10" s="37">
        <f>+'1.1.2'!G23</f>
        <v>0</v>
      </c>
      <c r="R10" s="37"/>
      <c r="S10" s="835">
        <f t="shared" si="5"/>
        <v>300000</v>
      </c>
      <c r="T10" s="38"/>
      <c r="U10" s="38"/>
      <c r="V10" s="38"/>
      <c r="W10" s="38"/>
      <c r="X10" s="37"/>
      <c r="Y10" s="38">
        <f t="shared" si="7"/>
        <v>0</v>
      </c>
      <c r="Z10" s="839">
        <f>+'Matriz de Resultados'!B26</f>
        <v>1.4</v>
      </c>
      <c r="AA10" s="197"/>
      <c r="AC10" s="722">
        <f>SUM(AE10:AL10)-(BH10+1)</f>
        <v>0</v>
      </c>
      <c r="AD10" s="778">
        <f>+I10/(BH10+1)</f>
        <v>16666.666666666668</v>
      </c>
      <c r="AF10" s="59">
        <v>3</v>
      </c>
      <c r="AG10" s="59">
        <v>6</v>
      </c>
      <c r="AH10" s="59">
        <v>6</v>
      </c>
      <c r="AI10" s="59">
        <v>3</v>
      </c>
      <c r="AO10" s="337">
        <f t="shared" ref="AO10:AO13" si="25">+$AD10*AE10</f>
        <v>0</v>
      </c>
      <c r="AP10" s="910">
        <f t="shared" ref="AP10:AP13" si="26">+$AD10*AF10</f>
        <v>50000</v>
      </c>
      <c r="AQ10" s="910">
        <f t="shared" ref="AQ10:AQ13" si="27">+$AD10*AG10</f>
        <v>100000</v>
      </c>
      <c r="AR10" s="910">
        <f t="shared" ref="AR10:AR12" si="28">+$AD10*AH10</f>
        <v>100000</v>
      </c>
      <c r="AS10" s="910">
        <f t="shared" ref="AS10:AS12" si="29">+$AD10*AI10</f>
        <v>50000</v>
      </c>
      <c r="AT10" s="910">
        <f t="shared" ref="AT10:AT12" si="30">+$AD10*AJ10</f>
        <v>0</v>
      </c>
      <c r="AU10" s="910">
        <f t="shared" ref="AU10:AU13" si="31">+$AD10*AK10</f>
        <v>0</v>
      </c>
      <c r="AV10" s="910">
        <f t="shared" ref="AV10:AW13" si="32">+$AD10*AL10</f>
        <v>0</v>
      </c>
      <c r="AW10" s="910">
        <f t="shared" si="32"/>
        <v>0</v>
      </c>
      <c r="AX10" s="910"/>
      <c r="AY10" s="910">
        <f t="shared" si="21"/>
        <v>300000</v>
      </c>
      <c r="AZ10" s="786">
        <f>+AY10-I10</f>
        <v>0</v>
      </c>
      <c r="BA10" s="23" t="s">
        <v>423</v>
      </c>
      <c r="BB10" s="722" t="s">
        <v>441</v>
      </c>
      <c r="BC10" s="722" t="s">
        <v>474</v>
      </c>
      <c r="BF10" s="539">
        <v>43009</v>
      </c>
      <c r="BG10" s="539">
        <f>EOMONTH(BF10,BH10)</f>
        <v>43555</v>
      </c>
      <c r="BH10" s="722">
        <v>17</v>
      </c>
    </row>
    <row r="11" spans="2:61" ht="38.25" x14ac:dyDescent="0.2">
      <c r="B11" s="947"/>
      <c r="C11" s="50">
        <v>1</v>
      </c>
      <c r="D11" s="50">
        <v>1</v>
      </c>
      <c r="E11" s="50">
        <v>2</v>
      </c>
      <c r="F11" s="50">
        <v>2</v>
      </c>
      <c r="G11" s="722" t="str">
        <f t="shared" ref="G11" si="33">CONCATENATE(C11,".",D11,".",E11,".",F11)</f>
        <v>1.1.2.2</v>
      </c>
      <c r="H11" s="2" t="s">
        <v>95</v>
      </c>
      <c r="I11" s="825">
        <f t="shared" si="0"/>
        <v>580000</v>
      </c>
      <c r="J11" s="729">
        <f t="shared" si="1"/>
        <v>0</v>
      </c>
      <c r="K11" s="730">
        <f t="shared" si="3"/>
        <v>580000</v>
      </c>
      <c r="L11" s="894">
        <v>1</v>
      </c>
      <c r="M11" s="895">
        <f t="shared" si="15"/>
        <v>0</v>
      </c>
      <c r="N11" s="37">
        <f>+'1.1.2'!D22</f>
        <v>0</v>
      </c>
      <c r="O11" s="37">
        <f>+'1.1.2'!E22</f>
        <v>400000</v>
      </c>
      <c r="P11" s="37">
        <f>+'1.1.2'!F22</f>
        <v>180000</v>
      </c>
      <c r="Q11" s="37">
        <f>+'1.1.2'!G22</f>
        <v>0</v>
      </c>
      <c r="R11" s="37"/>
      <c r="S11" s="835">
        <f t="shared" si="5"/>
        <v>580000</v>
      </c>
      <c r="T11" s="38"/>
      <c r="U11" s="38"/>
      <c r="V11" s="38"/>
      <c r="W11" s="38"/>
      <c r="X11" s="37"/>
      <c r="Y11" s="38">
        <f t="shared" si="7"/>
        <v>0</v>
      </c>
      <c r="Z11" s="839">
        <v>1.4</v>
      </c>
      <c r="AC11" s="722">
        <f>SUM(AE11:AL11)-(BH11+1)</f>
        <v>0</v>
      </c>
      <c r="AD11" s="778">
        <f>+I11/(BH11+1)</f>
        <v>64444.444444444445</v>
      </c>
      <c r="AH11" s="59">
        <v>6</v>
      </c>
      <c r="AI11" s="59">
        <v>3</v>
      </c>
      <c r="AO11" s="337">
        <f t="shared" si="25"/>
        <v>0</v>
      </c>
      <c r="AP11" s="910">
        <f t="shared" si="26"/>
        <v>0</v>
      </c>
      <c r="AQ11" s="910">
        <f t="shared" si="27"/>
        <v>0</v>
      </c>
      <c r="AR11" s="910">
        <v>400000</v>
      </c>
      <c r="AS11" s="910">
        <v>180000</v>
      </c>
      <c r="AT11" s="910">
        <f t="shared" si="30"/>
        <v>0</v>
      </c>
      <c r="AU11" s="910">
        <f t="shared" si="31"/>
        <v>0</v>
      </c>
      <c r="AV11" s="910">
        <f t="shared" si="32"/>
        <v>0</v>
      </c>
      <c r="AW11" s="910">
        <f t="shared" si="32"/>
        <v>0</v>
      </c>
      <c r="AX11" s="910"/>
      <c r="AY11" s="910">
        <f t="shared" si="21"/>
        <v>580000</v>
      </c>
      <c r="AZ11" s="786">
        <f>+AY11-I11</f>
        <v>0</v>
      </c>
      <c r="BA11" s="23" t="s">
        <v>421</v>
      </c>
      <c r="BB11" s="722" t="s">
        <v>155</v>
      </c>
      <c r="BC11" s="722" t="s">
        <v>474</v>
      </c>
      <c r="BF11" s="539">
        <v>43282</v>
      </c>
      <c r="BG11" s="539">
        <f>EOMONTH(BF11,BH11)</f>
        <v>43555</v>
      </c>
      <c r="BH11" s="722">
        <v>8</v>
      </c>
    </row>
    <row r="12" spans="2:61" ht="25.5" x14ac:dyDescent="0.2">
      <c r="B12" s="947"/>
      <c r="C12" s="50">
        <v>1</v>
      </c>
      <c r="D12" s="50">
        <v>1</v>
      </c>
      <c r="E12" s="50">
        <v>2</v>
      </c>
      <c r="F12" s="50">
        <v>3</v>
      </c>
      <c r="G12" s="32" t="str">
        <f t="shared" si="11"/>
        <v>1.1.2.3</v>
      </c>
      <c r="H12" s="2" t="s">
        <v>424</v>
      </c>
      <c r="I12" s="825">
        <f t="shared" si="0"/>
        <v>100000</v>
      </c>
      <c r="J12" s="729">
        <f t="shared" si="1"/>
        <v>0</v>
      </c>
      <c r="K12" s="730">
        <f t="shared" si="3"/>
        <v>100000</v>
      </c>
      <c r="L12" s="894">
        <v>1</v>
      </c>
      <c r="M12" s="895">
        <f t="shared" si="15"/>
        <v>0</v>
      </c>
      <c r="N12" s="37">
        <f>+'1.1.2'!D24</f>
        <v>25000</v>
      </c>
      <c r="O12" s="37">
        <f>+'1.1.2'!E24</f>
        <v>75000</v>
      </c>
      <c r="P12" s="37">
        <f>+'1.1.2'!F24</f>
        <v>0</v>
      </c>
      <c r="Q12" s="37">
        <f>+'1.1.2'!G24</f>
        <v>0</v>
      </c>
      <c r="R12" s="37"/>
      <c r="S12" s="835">
        <f t="shared" si="5"/>
        <v>100000</v>
      </c>
      <c r="T12" s="38"/>
      <c r="U12" s="38"/>
      <c r="V12" s="38"/>
      <c r="W12" s="38"/>
      <c r="X12" s="37"/>
      <c r="Y12" s="38">
        <f t="shared" si="7"/>
        <v>0</v>
      </c>
      <c r="Z12" s="839">
        <f>+'Matriz de Resultados'!B28</f>
        <v>1.6</v>
      </c>
      <c r="AC12" s="722">
        <f>SUM(AE12:AL12)-(BH12+1)</f>
        <v>0</v>
      </c>
      <c r="AD12" s="778">
        <f>+I12/(BH12+1)</f>
        <v>8333.3333333333339</v>
      </c>
      <c r="AF12" s="59">
        <v>3</v>
      </c>
      <c r="AG12" s="59">
        <v>6</v>
      </c>
      <c r="AH12" s="59">
        <v>3</v>
      </c>
      <c r="AO12" s="337">
        <f t="shared" si="25"/>
        <v>0</v>
      </c>
      <c r="AP12" s="910">
        <f t="shared" si="26"/>
        <v>25000</v>
      </c>
      <c r="AQ12" s="910">
        <f t="shared" si="27"/>
        <v>50000</v>
      </c>
      <c r="AR12" s="910">
        <f t="shared" si="28"/>
        <v>25000</v>
      </c>
      <c r="AS12" s="910">
        <f t="shared" si="29"/>
        <v>0</v>
      </c>
      <c r="AT12" s="910">
        <f t="shared" si="30"/>
        <v>0</v>
      </c>
      <c r="AU12" s="910">
        <f t="shared" si="31"/>
        <v>0</v>
      </c>
      <c r="AV12" s="910">
        <f t="shared" si="32"/>
        <v>0</v>
      </c>
      <c r="AW12" s="910">
        <f t="shared" si="32"/>
        <v>0</v>
      </c>
      <c r="AX12" s="910"/>
      <c r="AY12" s="910">
        <f t="shared" si="21"/>
        <v>100000</v>
      </c>
      <c r="AZ12" s="786">
        <f>+AY12-I12</f>
        <v>0</v>
      </c>
      <c r="BA12" s="23" t="s">
        <v>423</v>
      </c>
      <c r="BB12" s="722" t="s">
        <v>441</v>
      </c>
      <c r="BC12" s="722" t="s">
        <v>474</v>
      </c>
      <c r="BF12" s="539">
        <v>43009</v>
      </c>
      <c r="BG12" s="539">
        <f>EOMONTH(BF12,BH12)</f>
        <v>43373</v>
      </c>
      <c r="BH12" s="722">
        <v>11</v>
      </c>
    </row>
    <row r="13" spans="2:61" ht="25.5" x14ac:dyDescent="0.2">
      <c r="B13" s="947"/>
      <c r="C13" s="50">
        <v>1</v>
      </c>
      <c r="D13" s="50">
        <v>1</v>
      </c>
      <c r="E13" s="50">
        <v>2</v>
      </c>
      <c r="F13" s="50">
        <v>4</v>
      </c>
      <c r="G13" s="32" t="str">
        <f t="shared" si="11"/>
        <v>1.1.2.4</v>
      </c>
      <c r="H13" s="2" t="s">
        <v>96</v>
      </c>
      <c r="I13" s="825">
        <f t="shared" si="0"/>
        <v>320000</v>
      </c>
      <c r="J13" s="729">
        <f t="shared" si="1"/>
        <v>0</v>
      </c>
      <c r="K13" s="730">
        <f t="shared" si="3"/>
        <v>320000</v>
      </c>
      <c r="L13" s="894">
        <v>1</v>
      </c>
      <c r="M13" s="895">
        <f t="shared" si="15"/>
        <v>0</v>
      </c>
      <c r="N13" s="37">
        <f>+'1.1.2'!D25</f>
        <v>0</v>
      </c>
      <c r="O13" s="37">
        <f>+'1.1.2'!E25</f>
        <v>160000</v>
      </c>
      <c r="P13" s="37">
        <f>+'1.1.2'!F25</f>
        <v>160000</v>
      </c>
      <c r="Q13" s="37">
        <f>+'1.1.2'!G25</f>
        <v>0</v>
      </c>
      <c r="R13" s="37"/>
      <c r="S13" s="835">
        <f t="shared" si="5"/>
        <v>320000</v>
      </c>
      <c r="T13" s="38"/>
      <c r="U13" s="38"/>
      <c r="V13" s="38"/>
      <c r="W13" s="38"/>
      <c r="X13" s="37"/>
      <c r="Y13" s="38">
        <f t="shared" si="7"/>
        <v>0</v>
      </c>
      <c r="Z13" s="839">
        <f>+'Matriz de Resultados'!B27</f>
        <v>1.5</v>
      </c>
      <c r="AC13" s="722">
        <f>SUM(AE13:AL13)-(BH13+1)</f>
        <v>0</v>
      </c>
      <c r="AD13" s="778">
        <f>+I13/(BH13+1)</f>
        <v>17777.777777777777</v>
      </c>
      <c r="AH13" s="59">
        <v>6</v>
      </c>
      <c r="AI13" s="59">
        <v>6</v>
      </c>
      <c r="AJ13" s="59">
        <v>6</v>
      </c>
      <c r="AO13" s="337">
        <f t="shared" si="25"/>
        <v>0</v>
      </c>
      <c r="AP13" s="910">
        <f t="shared" si="26"/>
        <v>0</v>
      </c>
      <c r="AQ13" s="910">
        <f t="shared" si="27"/>
        <v>0</v>
      </c>
      <c r="AR13" s="910">
        <v>160000</v>
      </c>
      <c r="AS13" s="910">
        <v>80000</v>
      </c>
      <c r="AT13" s="910">
        <v>80000</v>
      </c>
      <c r="AU13" s="910">
        <f t="shared" si="31"/>
        <v>0</v>
      </c>
      <c r="AV13" s="910">
        <f t="shared" si="32"/>
        <v>0</v>
      </c>
      <c r="AW13" s="910">
        <f t="shared" si="32"/>
        <v>0</v>
      </c>
      <c r="AX13" s="910"/>
      <c r="AY13" s="910">
        <f t="shared" si="21"/>
        <v>320000</v>
      </c>
      <c r="AZ13" s="786">
        <f>+AY13-I13</f>
        <v>0</v>
      </c>
      <c r="BA13" s="23" t="s">
        <v>423</v>
      </c>
      <c r="BB13" s="722" t="s">
        <v>441</v>
      </c>
      <c r="BC13" s="722" t="s">
        <v>474</v>
      </c>
      <c r="BF13" s="539">
        <v>43282</v>
      </c>
      <c r="BG13" s="539">
        <f>EOMONTH(BF13,BH13)-1</f>
        <v>43829</v>
      </c>
      <c r="BH13" s="722">
        <v>17</v>
      </c>
    </row>
    <row r="14" spans="2:61" s="739" customFormat="1" ht="25.5" x14ac:dyDescent="0.2">
      <c r="B14" s="737"/>
      <c r="C14" s="738">
        <v>1</v>
      </c>
      <c r="D14" s="738">
        <v>2</v>
      </c>
      <c r="E14" s="738">
        <v>0</v>
      </c>
      <c r="F14" s="738">
        <v>0</v>
      </c>
      <c r="G14" s="737" t="str">
        <f t="shared" si="11"/>
        <v>1.2.0.0</v>
      </c>
      <c r="H14" s="819" t="s">
        <v>94</v>
      </c>
      <c r="I14" s="823">
        <f t="shared" si="0"/>
        <v>2070000</v>
      </c>
      <c r="J14" s="740">
        <f t="shared" si="1"/>
        <v>200000</v>
      </c>
      <c r="K14" s="741">
        <f t="shared" si="3"/>
        <v>2270000</v>
      </c>
      <c r="L14" s="890"/>
      <c r="M14" s="891"/>
      <c r="N14" s="53">
        <f>+N15+N20+N24+N30+N34+N36</f>
        <v>140000</v>
      </c>
      <c r="O14" s="53">
        <f t="shared" ref="O14:R14" si="34">+O15+O20+O24+O30+O34+O36</f>
        <v>1080000</v>
      </c>
      <c r="P14" s="53">
        <f t="shared" si="34"/>
        <v>740000</v>
      </c>
      <c r="Q14" s="53">
        <f t="shared" si="34"/>
        <v>70000</v>
      </c>
      <c r="R14" s="53">
        <f t="shared" si="34"/>
        <v>40000</v>
      </c>
      <c r="S14" s="833">
        <f t="shared" si="5"/>
        <v>2070000</v>
      </c>
      <c r="T14" s="53">
        <f t="shared" ref="T14:X14" si="35">+T15+T20+T24+T30+T34+T36</f>
        <v>0</v>
      </c>
      <c r="U14" s="53">
        <f t="shared" si="35"/>
        <v>100000</v>
      </c>
      <c r="V14" s="53">
        <f t="shared" si="35"/>
        <v>100000</v>
      </c>
      <c r="W14" s="53">
        <f t="shared" si="35"/>
        <v>0</v>
      </c>
      <c r="X14" s="53">
        <f t="shared" si="35"/>
        <v>0</v>
      </c>
      <c r="Y14" s="53">
        <f t="shared" si="7"/>
        <v>200000</v>
      </c>
      <c r="Z14" s="737"/>
      <c r="AC14" s="737"/>
      <c r="AD14" s="776"/>
      <c r="AE14" s="843"/>
      <c r="AF14" s="767"/>
      <c r="AG14" s="767"/>
      <c r="AH14" s="767"/>
      <c r="AI14" s="767"/>
      <c r="AJ14" s="767"/>
      <c r="AK14" s="767"/>
      <c r="AL14" s="767"/>
      <c r="AM14" s="767"/>
      <c r="AN14" s="768"/>
      <c r="AO14" s="782"/>
      <c r="AP14" s="906"/>
      <c r="AQ14" s="906"/>
      <c r="AR14" s="906"/>
      <c r="AS14" s="906"/>
      <c r="AT14" s="906"/>
      <c r="AU14" s="906"/>
      <c r="AV14" s="906"/>
      <c r="AW14" s="906"/>
      <c r="AX14" s="906"/>
      <c r="AY14" s="907">
        <f t="shared" si="21"/>
        <v>0</v>
      </c>
      <c r="AZ14" s="737"/>
      <c r="BB14" s="737"/>
      <c r="BC14" s="737"/>
      <c r="BD14" s="737"/>
      <c r="BE14" s="737"/>
      <c r="BF14" s="737"/>
      <c r="BG14" s="737"/>
      <c r="BH14" s="737"/>
      <c r="BI14" s="737"/>
    </row>
    <row r="15" spans="2:61" s="44" customFormat="1" ht="25.5" x14ac:dyDescent="0.2">
      <c r="B15" s="42" t="s">
        <v>22</v>
      </c>
      <c r="C15" s="49">
        <v>1</v>
      </c>
      <c r="D15" s="49">
        <v>2</v>
      </c>
      <c r="E15" s="49">
        <v>1</v>
      </c>
      <c r="F15" s="49">
        <v>0</v>
      </c>
      <c r="G15" s="42" t="str">
        <f t="shared" si="11"/>
        <v>1.2.1.0</v>
      </c>
      <c r="H15" s="623" t="s">
        <v>198</v>
      </c>
      <c r="I15" s="824">
        <f t="shared" si="0"/>
        <v>230000</v>
      </c>
      <c r="J15" s="727">
        <f t="shared" si="1"/>
        <v>0</v>
      </c>
      <c r="K15" s="728">
        <f t="shared" si="3"/>
        <v>230000</v>
      </c>
      <c r="L15" s="892"/>
      <c r="M15" s="893"/>
      <c r="N15" s="43">
        <f>SUM(N16:N19)</f>
        <v>45000</v>
      </c>
      <c r="O15" s="43">
        <f t="shared" ref="O15:R15" si="36">SUM(O16:O19)</f>
        <v>115000</v>
      </c>
      <c r="P15" s="43">
        <f t="shared" si="36"/>
        <v>70000</v>
      </c>
      <c r="Q15" s="43">
        <f t="shared" si="36"/>
        <v>0</v>
      </c>
      <c r="R15" s="43">
        <f t="shared" si="36"/>
        <v>0</v>
      </c>
      <c r="S15" s="834">
        <f t="shared" si="5"/>
        <v>230000</v>
      </c>
      <c r="T15" s="43">
        <f t="shared" ref="T15:W15" si="37">SUM(T16:T19)</f>
        <v>0</v>
      </c>
      <c r="U15" s="43">
        <f t="shared" si="37"/>
        <v>0</v>
      </c>
      <c r="V15" s="43">
        <f t="shared" si="37"/>
        <v>0</v>
      </c>
      <c r="W15" s="43">
        <f t="shared" si="37"/>
        <v>0</v>
      </c>
      <c r="X15" s="43">
        <f t="shared" ref="X15" si="38">SUM(X16:X19)</f>
        <v>0</v>
      </c>
      <c r="Y15" s="43">
        <f t="shared" si="7"/>
        <v>0</v>
      </c>
      <c r="Z15" s="838">
        <f>+'Matriz de Resultados'!B29</f>
        <v>1.7</v>
      </c>
      <c r="AC15" s="42"/>
      <c r="AD15" s="777"/>
      <c r="AE15" s="844"/>
      <c r="AF15" s="769"/>
      <c r="AG15" s="769"/>
      <c r="AH15" s="769"/>
      <c r="AI15" s="769"/>
      <c r="AJ15" s="769"/>
      <c r="AK15" s="769"/>
      <c r="AL15" s="769"/>
      <c r="AM15" s="769"/>
      <c r="AN15" s="770"/>
      <c r="AO15" s="783"/>
      <c r="AP15" s="908"/>
      <c r="AQ15" s="908"/>
      <c r="AR15" s="908"/>
      <c r="AS15" s="908"/>
      <c r="AT15" s="908"/>
      <c r="AU15" s="908"/>
      <c r="AV15" s="908"/>
      <c r="AW15" s="908"/>
      <c r="AX15" s="908"/>
      <c r="AY15" s="909">
        <f t="shared" si="21"/>
        <v>0</v>
      </c>
      <c r="AZ15" s="42"/>
      <c r="BB15" s="42"/>
      <c r="BC15" s="42"/>
      <c r="BD15" s="42"/>
      <c r="BE15" s="42"/>
      <c r="BF15" s="42"/>
      <c r="BG15" s="42"/>
      <c r="BH15" s="42"/>
      <c r="BI15" s="42"/>
    </row>
    <row r="16" spans="2:61" ht="25.5" x14ac:dyDescent="0.2">
      <c r="C16" s="50">
        <v>1</v>
      </c>
      <c r="D16" s="50">
        <v>2</v>
      </c>
      <c r="E16" s="50">
        <v>1</v>
      </c>
      <c r="F16" s="50">
        <v>1</v>
      </c>
      <c r="G16" s="722" t="str">
        <f t="shared" si="11"/>
        <v>1.2.1.1</v>
      </c>
      <c r="H16" s="2" t="str">
        <f>+'1.2'!B7</f>
        <v>Consultoría para el diseño banco unificado de datos</v>
      </c>
      <c r="I16" s="825">
        <f t="shared" si="0"/>
        <v>15000</v>
      </c>
      <c r="J16" s="729">
        <f t="shared" si="1"/>
        <v>0</v>
      </c>
      <c r="K16" s="730">
        <f t="shared" si="3"/>
        <v>15000</v>
      </c>
      <c r="L16" s="894">
        <v>1</v>
      </c>
      <c r="M16" s="895">
        <f t="shared" si="15"/>
        <v>0</v>
      </c>
      <c r="N16" s="37">
        <f>+'1.2'!E7</f>
        <v>15000</v>
      </c>
      <c r="O16" s="37">
        <f>+'1.2'!F7</f>
        <v>0</v>
      </c>
      <c r="P16" s="37">
        <f>+'1.2'!G7</f>
        <v>0</v>
      </c>
      <c r="Q16" s="37">
        <f>+'1.2'!H7</f>
        <v>0</v>
      </c>
      <c r="R16" s="37"/>
      <c r="S16" s="835">
        <f t="shared" si="5"/>
        <v>15000</v>
      </c>
      <c r="T16" s="38"/>
      <c r="U16" s="38"/>
      <c r="V16" s="38"/>
      <c r="W16" s="38"/>
      <c r="X16" s="37"/>
      <c r="Y16" s="38">
        <f t="shared" si="7"/>
        <v>0</v>
      </c>
      <c r="AC16" s="722">
        <f>SUM(AE16:AL16)-(BH16+1)</f>
        <v>0</v>
      </c>
      <c r="AD16" s="778">
        <f>+I16/(BH16+1)</f>
        <v>3750</v>
      </c>
      <c r="AF16" s="59">
        <v>3</v>
      </c>
      <c r="AG16" s="59">
        <v>1</v>
      </c>
      <c r="AO16" s="337">
        <f t="shared" ref="AO16:AO19" si="39">+$AD16*AE16</f>
        <v>0</v>
      </c>
      <c r="AP16" s="910">
        <v>15000</v>
      </c>
      <c r="AQ16" s="910">
        <v>0</v>
      </c>
      <c r="AR16" s="910">
        <f t="shared" ref="AR16:AR17" si="40">+$AD16*AH16</f>
        <v>0</v>
      </c>
      <c r="AS16" s="910">
        <f t="shared" ref="AS16:AS17" si="41">+$AD16*AI16</f>
        <v>0</v>
      </c>
      <c r="AT16" s="910">
        <f t="shared" ref="AT16:AT18" si="42">+$AD16*AJ16</f>
        <v>0</v>
      </c>
      <c r="AU16" s="910">
        <f t="shared" ref="AU16:AU19" si="43">+$AD16*AK16</f>
        <v>0</v>
      </c>
      <c r="AV16" s="910">
        <f t="shared" ref="AV16:AW19" si="44">+$AD16*AL16</f>
        <v>0</v>
      </c>
      <c r="AW16" s="910">
        <f t="shared" si="44"/>
        <v>0</v>
      </c>
      <c r="AX16" s="910"/>
      <c r="AY16" s="910">
        <f t="shared" si="21"/>
        <v>15000</v>
      </c>
      <c r="AZ16" s="786">
        <f>+AY16-I16</f>
        <v>0</v>
      </c>
      <c r="BA16" s="23" t="s">
        <v>423</v>
      </c>
      <c r="BB16" s="722" t="s">
        <v>441</v>
      </c>
      <c r="BC16" s="722" t="s">
        <v>474</v>
      </c>
      <c r="BF16" s="539">
        <v>43009</v>
      </c>
      <c r="BG16" s="539">
        <f t="shared" ref="BG16:BG19" si="45">EOMONTH(BF16,BH16)</f>
        <v>43131</v>
      </c>
      <c r="BH16" s="722">
        <v>3</v>
      </c>
    </row>
    <row r="17" spans="2:61" x14ac:dyDescent="0.2">
      <c r="C17" s="50">
        <v>1</v>
      </c>
      <c r="D17" s="50">
        <v>2</v>
      </c>
      <c r="E17" s="50">
        <v>1</v>
      </c>
      <c r="F17" s="50">
        <v>2</v>
      </c>
      <c r="G17" s="722" t="str">
        <f t="shared" si="11"/>
        <v>1.2.1.2</v>
      </c>
      <c r="H17" s="2" t="str">
        <f>+'1.2'!B8</f>
        <v>Adquisición Infraestructura y mobiliario</v>
      </c>
      <c r="I17" s="825">
        <f t="shared" si="0"/>
        <v>15000</v>
      </c>
      <c r="J17" s="729">
        <f t="shared" si="1"/>
        <v>0</v>
      </c>
      <c r="K17" s="730">
        <f t="shared" si="3"/>
        <v>15000</v>
      </c>
      <c r="L17" s="894">
        <v>1</v>
      </c>
      <c r="M17" s="895">
        <f t="shared" si="15"/>
        <v>0</v>
      </c>
      <c r="N17" s="37">
        <f>+'1.2'!E8</f>
        <v>10000</v>
      </c>
      <c r="O17" s="37">
        <f>+'1.2'!F8</f>
        <v>5000</v>
      </c>
      <c r="P17" s="37">
        <f>+'1.2'!G8</f>
        <v>0</v>
      </c>
      <c r="Q17" s="37">
        <f>+'1.2'!H8</f>
        <v>0</v>
      </c>
      <c r="R17" s="37"/>
      <c r="S17" s="835">
        <f t="shared" si="5"/>
        <v>15000</v>
      </c>
      <c r="T17" s="38"/>
      <c r="U17" s="38"/>
      <c r="V17" s="38"/>
      <c r="W17" s="38"/>
      <c r="X17" s="37"/>
      <c r="Y17" s="38">
        <f t="shared" si="7"/>
        <v>0</v>
      </c>
      <c r="AC17" s="722">
        <f>SUM(AE17:AL17)-(BH17+1)</f>
        <v>0</v>
      </c>
      <c r="AD17" s="778">
        <f>+I17/(BH17+1)</f>
        <v>2500</v>
      </c>
      <c r="AF17" s="59">
        <v>3</v>
      </c>
      <c r="AG17" s="59">
        <v>3</v>
      </c>
      <c r="AO17" s="337">
        <f t="shared" si="39"/>
        <v>0</v>
      </c>
      <c r="AP17" s="910">
        <v>10000</v>
      </c>
      <c r="AQ17" s="910">
        <v>5000</v>
      </c>
      <c r="AR17" s="910">
        <f t="shared" si="40"/>
        <v>0</v>
      </c>
      <c r="AS17" s="910">
        <f t="shared" si="41"/>
        <v>0</v>
      </c>
      <c r="AT17" s="910">
        <f t="shared" si="42"/>
        <v>0</v>
      </c>
      <c r="AU17" s="910">
        <f t="shared" si="43"/>
        <v>0</v>
      </c>
      <c r="AV17" s="910">
        <f t="shared" si="44"/>
        <v>0</v>
      </c>
      <c r="AW17" s="910">
        <f t="shared" si="44"/>
        <v>0</v>
      </c>
      <c r="AX17" s="910"/>
      <c r="AY17" s="910">
        <f t="shared" si="21"/>
        <v>15000</v>
      </c>
      <c r="AZ17" s="786">
        <f>+AY17-I17</f>
        <v>0</v>
      </c>
      <c r="BA17" s="23" t="s">
        <v>421</v>
      </c>
      <c r="BB17" s="722" t="s">
        <v>465</v>
      </c>
      <c r="BC17" s="722" t="s">
        <v>440</v>
      </c>
      <c r="BF17" s="539">
        <v>43009</v>
      </c>
      <c r="BG17" s="539">
        <f t="shared" si="45"/>
        <v>43190</v>
      </c>
      <c r="BH17" s="722">
        <v>5</v>
      </c>
    </row>
    <row r="18" spans="2:61" x14ac:dyDescent="0.2">
      <c r="C18" s="50">
        <v>1</v>
      </c>
      <c r="D18" s="50">
        <v>2</v>
      </c>
      <c r="E18" s="50">
        <v>1</v>
      </c>
      <c r="F18" s="50">
        <v>3</v>
      </c>
      <c r="G18" s="722" t="str">
        <f t="shared" si="11"/>
        <v>1.2.1.3</v>
      </c>
      <c r="H18" s="2" t="str">
        <f>+'1.2'!B9</f>
        <v>Adquisición Hardware</v>
      </c>
      <c r="I18" s="825">
        <f t="shared" si="0"/>
        <v>100000</v>
      </c>
      <c r="J18" s="729">
        <f t="shared" si="1"/>
        <v>0</v>
      </c>
      <c r="K18" s="730">
        <f t="shared" si="3"/>
        <v>100000</v>
      </c>
      <c r="L18" s="894">
        <v>1</v>
      </c>
      <c r="M18" s="895">
        <f t="shared" si="15"/>
        <v>0</v>
      </c>
      <c r="N18" s="37">
        <f>+'1.2'!E9</f>
        <v>20000</v>
      </c>
      <c r="O18" s="37">
        <f>+'1.2'!F9</f>
        <v>50000</v>
      </c>
      <c r="P18" s="37">
        <f>+'1.2'!G9</f>
        <v>30000</v>
      </c>
      <c r="Q18" s="37">
        <f>+'1.2'!H9</f>
        <v>0</v>
      </c>
      <c r="R18" s="37"/>
      <c r="S18" s="835">
        <f t="shared" si="5"/>
        <v>100000</v>
      </c>
      <c r="T18" s="38"/>
      <c r="U18" s="38"/>
      <c r="V18" s="38"/>
      <c r="W18" s="38"/>
      <c r="X18" s="37"/>
      <c r="Y18" s="38">
        <f t="shared" si="7"/>
        <v>0</v>
      </c>
      <c r="AC18" s="722">
        <f>SUM(AE18:AL18)-(BH18+1)</f>
        <v>0</v>
      </c>
      <c r="AD18" s="778">
        <f>+I18/(BH18+1)</f>
        <v>5882.3529411764703</v>
      </c>
      <c r="AF18" s="59">
        <v>3</v>
      </c>
      <c r="AG18" s="59">
        <v>6</v>
      </c>
      <c r="AH18" s="59">
        <v>6</v>
      </c>
      <c r="AI18" s="59">
        <v>2</v>
      </c>
      <c r="AO18" s="337">
        <f t="shared" si="39"/>
        <v>0</v>
      </c>
      <c r="AP18" s="910">
        <v>20000</v>
      </c>
      <c r="AQ18" s="910">
        <v>25000</v>
      </c>
      <c r="AR18" s="910">
        <v>25000</v>
      </c>
      <c r="AS18" s="910">
        <v>30000</v>
      </c>
      <c r="AT18" s="910">
        <f t="shared" si="42"/>
        <v>0</v>
      </c>
      <c r="AU18" s="910">
        <f t="shared" si="43"/>
        <v>0</v>
      </c>
      <c r="AV18" s="910">
        <f t="shared" si="44"/>
        <v>0</v>
      </c>
      <c r="AW18" s="910">
        <f t="shared" si="44"/>
        <v>0</v>
      </c>
      <c r="AX18" s="910"/>
      <c r="AY18" s="910">
        <f t="shared" si="21"/>
        <v>100000</v>
      </c>
      <c r="AZ18" s="786">
        <f>+AY18-I18</f>
        <v>0</v>
      </c>
      <c r="BA18" s="23" t="s">
        <v>421</v>
      </c>
      <c r="BB18" s="722" t="s">
        <v>465</v>
      </c>
      <c r="BC18" s="722" t="s">
        <v>440</v>
      </c>
      <c r="BF18" s="539">
        <v>43009</v>
      </c>
      <c r="BG18" s="539">
        <f t="shared" si="45"/>
        <v>43524</v>
      </c>
      <c r="BH18" s="722">
        <v>16</v>
      </c>
    </row>
    <row r="19" spans="2:61" x14ac:dyDescent="0.2">
      <c r="C19" s="50">
        <v>1</v>
      </c>
      <c r="D19" s="50">
        <v>2</v>
      </c>
      <c r="E19" s="50">
        <v>1</v>
      </c>
      <c r="F19" s="50">
        <v>4</v>
      </c>
      <c r="G19" s="722" t="str">
        <f t="shared" si="11"/>
        <v>1.2.1.4</v>
      </c>
      <c r="H19" s="2" t="str">
        <f>+'1.2'!B10</f>
        <v>Adquisición Software</v>
      </c>
      <c r="I19" s="825">
        <f t="shared" si="0"/>
        <v>100000</v>
      </c>
      <c r="J19" s="729">
        <f t="shared" si="1"/>
        <v>0</v>
      </c>
      <c r="K19" s="730">
        <f t="shared" si="3"/>
        <v>100000</v>
      </c>
      <c r="L19" s="894">
        <v>1</v>
      </c>
      <c r="M19" s="895">
        <f t="shared" si="15"/>
        <v>0</v>
      </c>
      <c r="N19" s="37">
        <f>+'1.2'!E10</f>
        <v>0</v>
      </c>
      <c r="O19" s="37">
        <f>+'1.2'!F10</f>
        <v>60000</v>
      </c>
      <c r="P19" s="37">
        <f>+'1.2'!G10</f>
        <v>40000</v>
      </c>
      <c r="Q19" s="37">
        <f>+'1.2'!H10</f>
        <v>0</v>
      </c>
      <c r="R19" s="37"/>
      <c r="S19" s="835">
        <f t="shared" si="5"/>
        <v>100000</v>
      </c>
      <c r="T19" s="38"/>
      <c r="U19" s="38"/>
      <c r="V19" s="38"/>
      <c r="W19" s="38"/>
      <c r="X19" s="37"/>
      <c r="Y19" s="38">
        <f t="shared" si="7"/>
        <v>0</v>
      </c>
      <c r="AC19" s="722">
        <f>SUM(AE19:AL19)-(BH19+1)</f>
        <v>0</v>
      </c>
      <c r="AD19" s="778">
        <f>+I19/(BH19+1)</f>
        <v>6666.666666666667</v>
      </c>
      <c r="AG19" s="59">
        <v>5</v>
      </c>
      <c r="AH19" s="59">
        <v>6</v>
      </c>
      <c r="AI19" s="59">
        <v>4</v>
      </c>
      <c r="AO19" s="337">
        <f t="shared" si="39"/>
        <v>0</v>
      </c>
      <c r="AP19" s="910">
        <f t="shared" ref="AP19" si="46">+$AD19*AF19</f>
        <v>0</v>
      </c>
      <c r="AQ19" s="910">
        <v>30000</v>
      </c>
      <c r="AR19" s="910">
        <v>30000</v>
      </c>
      <c r="AS19" s="910">
        <v>30000</v>
      </c>
      <c r="AT19" s="910">
        <v>10000</v>
      </c>
      <c r="AU19" s="910">
        <f t="shared" si="43"/>
        <v>0</v>
      </c>
      <c r="AV19" s="910">
        <f t="shared" si="44"/>
        <v>0</v>
      </c>
      <c r="AW19" s="910">
        <f t="shared" si="44"/>
        <v>0</v>
      </c>
      <c r="AX19" s="910"/>
      <c r="AY19" s="910">
        <f t="shared" si="21"/>
        <v>100000</v>
      </c>
      <c r="AZ19" s="786">
        <f>+AY19-I19</f>
        <v>0</v>
      </c>
      <c r="BA19" s="23" t="s">
        <v>421</v>
      </c>
      <c r="BB19" s="722" t="s">
        <v>465</v>
      </c>
      <c r="BC19" s="722" t="s">
        <v>440</v>
      </c>
      <c r="BF19" s="539">
        <v>43132</v>
      </c>
      <c r="BG19" s="539">
        <f t="shared" si="45"/>
        <v>43585</v>
      </c>
      <c r="BH19" s="722">
        <v>14</v>
      </c>
    </row>
    <row r="20" spans="2:61" s="507" customFormat="1" ht="25.5" x14ac:dyDescent="0.2">
      <c r="B20" s="505"/>
      <c r="C20" s="506">
        <v>1</v>
      </c>
      <c r="D20" s="506">
        <v>2</v>
      </c>
      <c r="E20" s="506">
        <v>2</v>
      </c>
      <c r="F20" s="506">
        <v>0</v>
      </c>
      <c r="G20" s="505" t="str">
        <f t="shared" si="11"/>
        <v>1.2.2.0</v>
      </c>
      <c r="H20" s="623" t="s">
        <v>60</v>
      </c>
      <c r="I20" s="826">
        <f t="shared" si="0"/>
        <v>985000</v>
      </c>
      <c r="J20" s="731">
        <f t="shared" si="1"/>
        <v>200000</v>
      </c>
      <c r="K20" s="732">
        <f t="shared" si="3"/>
        <v>1185000</v>
      </c>
      <c r="L20" s="897"/>
      <c r="M20" s="898"/>
      <c r="N20" s="43">
        <f>SUM(N21:N23)</f>
        <v>35000</v>
      </c>
      <c r="O20" s="43">
        <f t="shared" ref="O20:R20" si="47">SUM(O21:O23)</f>
        <v>550000</v>
      </c>
      <c r="P20" s="43">
        <f t="shared" si="47"/>
        <v>350000</v>
      </c>
      <c r="Q20" s="43">
        <f t="shared" si="47"/>
        <v>30000</v>
      </c>
      <c r="R20" s="43">
        <f t="shared" si="47"/>
        <v>20000</v>
      </c>
      <c r="S20" s="834">
        <f t="shared" si="5"/>
        <v>985000</v>
      </c>
      <c r="T20" s="43">
        <f t="shared" ref="T20:X20" si="48">SUM(T21:T23)</f>
        <v>0</v>
      </c>
      <c r="U20" s="43">
        <f t="shared" si="48"/>
        <v>100000</v>
      </c>
      <c r="V20" s="43">
        <f t="shared" si="48"/>
        <v>100000</v>
      </c>
      <c r="W20" s="43">
        <f t="shared" si="48"/>
        <v>0</v>
      </c>
      <c r="X20" s="43">
        <f t="shared" si="48"/>
        <v>0</v>
      </c>
      <c r="Y20" s="43">
        <f t="shared" si="7"/>
        <v>200000</v>
      </c>
      <c r="Z20" s="505">
        <f>+'Matriz de Resultados'!B30</f>
        <v>1.8</v>
      </c>
      <c r="AC20" s="505"/>
      <c r="AD20" s="779"/>
      <c r="AE20" s="846"/>
      <c r="AF20" s="772"/>
      <c r="AG20" s="772"/>
      <c r="AH20" s="772"/>
      <c r="AI20" s="772"/>
      <c r="AJ20" s="772"/>
      <c r="AK20" s="772"/>
      <c r="AL20" s="772"/>
      <c r="AM20" s="772"/>
      <c r="AN20" s="773"/>
      <c r="AO20" s="784"/>
      <c r="AP20" s="911"/>
      <c r="AQ20" s="911"/>
      <c r="AR20" s="911"/>
      <c r="AS20" s="911"/>
      <c r="AT20" s="911"/>
      <c r="AU20" s="911"/>
      <c r="AV20" s="911"/>
      <c r="AW20" s="911"/>
      <c r="AX20" s="911"/>
      <c r="AY20" s="912">
        <f t="shared" si="21"/>
        <v>0</v>
      </c>
      <c r="AZ20" s="505"/>
      <c r="BB20" s="505"/>
      <c r="BC20" s="505"/>
      <c r="BD20" s="505"/>
      <c r="BE20" s="505"/>
      <c r="BF20" s="505"/>
      <c r="BG20" s="505"/>
      <c r="BH20" s="505"/>
      <c r="BI20" s="505"/>
    </row>
    <row r="21" spans="2:61" x14ac:dyDescent="0.2">
      <c r="C21" s="50">
        <v>1</v>
      </c>
      <c r="D21" s="50">
        <v>2</v>
      </c>
      <c r="E21" s="50">
        <v>2</v>
      </c>
      <c r="F21" s="50">
        <v>1</v>
      </c>
      <c r="G21" s="32" t="str">
        <f t="shared" si="11"/>
        <v>1.2.2.1</v>
      </c>
      <c r="H21" s="2" t="str">
        <f>+'1.2'!B18</f>
        <v>Consultoría para el diseño de la Sala</v>
      </c>
      <c r="I21" s="825">
        <f t="shared" si="0"/>
        <v>35000</v>
      </c>
      <c r="J21" s="729">
        <f t="shared" si="1"/>
        <v>0</v>
      </c>
      <c r="K21" s="730">
        <f t="shared" si="3"/>
        <v>35000</v>
      </c>
      <c r="L21" s="894">
        <v>1</v>
      </c>
      <c r="M21" s="895">
        <f t="shared" si="15"/>
        <v>0</v>
      </c>
      <c r="N21" s="37">
        <f>+'1.2'!E18</f>
        <v>35000</v>
      </c>
      <c r="O21" s="37">
        <f>+'1.2'!F18</f>
        <v>0</v>
      </c>
      <c r="P21" s="37">
        <f>+'1.2'!G18</f>
        <v>0</v>
      </c>
      <c r="Q21" s="37">
        <f>+'1.2'!H18</f>
        <v>0</v>
      </c>
      <c r="R21" s="37"/>
      <c r="S21" s="835">
        <f t="shared" si="5"/>
        <v>35000</v>
      </c>
      <c r="T21" s="38"/>
      <c r="U21" s="38"/>
      <c r="V21" s="38"/>
      <c r="W21" s="38"/>
      <c r="X21" s="37"/>
      <c r="Y21" s="38">
        <f t="shared" si="7"/>
        <v>0</v>
      </c>
      <c r="AC21" s="722">
        <f>SUM(AE21:AL21)-(BH21+1)</f>
        <v>0</v>
      </c>
      <c r="AD21" s="778">
        <f>+I21/(BH21+1)</f>
        <v>11666.666666666666</v>
      </c>
      <c r="AF21" s="59">
        <v>3</v>
      </c>
      <c r="AO21" s="337">
        <f t="shared" ref="AO21:AO23" si="49">+$AD21*AE21</f>
        <v>0</v>
      </c>
      <c r="AP21" s="910">
        <f t="shared" ref="AP21:AP23" si="50">+$AD21*AF21</f>
        <v>35000</v>
      </c>
      <c r="AQ21" s="910">
        <f t="shared" ref="AQ21" si="51">+$AD21*AG21</f>
        <v>0</v>
      </c>
      <c r="AR21" s="910">
        <f t="shared" ref="AR21" si="52">+$AD21*AH21</f>
        <v>0</v>
      </c>
      <c r="AS21" s="910">
        <f t="shared" ref="AS21" si="53">+$AD21*AI21</f>
        <v>0</v>
      </c>
      <c r="AT21" s="910">
        <f t="shared" ref="AT21" si="54">+$AD21*AJ21</f>
        <v>0</v>
      </c>
      <c r="AU21" s="910">
        <f t="shared" ref="AU21:AU22" si="55">+$AD21*AK21</f>
        <v>0</v>
      </c>
      <c r="AV21" s="910">
        <f t="shared" ref="AV21:AW22" si="56">+$AD21*AL21</f>
        <v>0</v>
      </c>
      <c r="AW21" s="910">
        <f t="shared" si="56"/>
        <v>0</v>
      </c>
      <c r="AX21" s="910"/>
      <c r="AY21" s="910">
        <f t="shared" si="21"/>
        <v>35000</v>
      </c>
      <c r="AZ21" s="786">
        <f>+AY21-I21</f>
        <v>0</v>
      </c>
      <c r="BA21" s="23" t="s">
        <v>423</v>
      </c>
      <c r="BB21" s="722" t="s">
        <v>441</v>
      </c>
      <c r="BC21" s="722" t="s">
        <v>474</v>
      </c>
      <c r="BF21" s="539">
        <v>43009</v>
      </c>
      <c r="BG21" s="539">
        <f t="shared" ref="BG21:BG22" si="57">EOMONTH(BF21,BH21)</f>
        <v>43100</v>
      </c>
      <c r="BH21" s="722">
        <v>2</v>
      </c>
    </row>
    <row r="22" spans="2:61" ht="25.5" x14ac:dyDescent="0.2">
      <c r="C22" s="50">
        <v>1</v>
      </c>
      <c r="D22" s="50">
        <v>2</v>
      </c>
      <c r="E22" s="50">
        <v>2</v>
      </c>
      <c r="F22" s="50">
        <v>2</v>
      </c>
      <c r="G22" s="32" t="str">
        <f t="shared" si="11"/>
        <v>1.2.2.2</v>
      </c>
      <c r="H22" s="2" t="str">
        <f>+'1.2'!B19</f>
        <v>Adquisición de Equipamiento e Instalación de la Sala de Situación</v>
      </c>
      <c r="I22" s="825">
        <f t="shared" si="0"/>
        <v>800000</v>
      </c>
      <c r="J22" s="729">
        <f t="shared" si="1"/>
        <v>200000</v>
      </c>
      <c r="K22" s="730">
        <f t="shared" si="3"/>
        <v>1000000</v>
      </c>
      <c r="L22" s="894">
        <v>1</v>
      </c>
      <c r="M22" s="895">
        <f t="shared" si="15"/>
        <v>0</v>
      </c>
      <c r="N22" s="37">
        <f>+'1.2'!E19</f>
        <v>0</v>
      </c>
      <c r="O22" s="37">
        <f>+'1.2'!F19-100000</f>
        <v>500000</v>
      </c>
      <c r="P22" s="37">
        <f>+'1.2'!G19-100000</f>
        <v>300000</v>
      </c>
      <c r="Q22" s="37">
        <f>+'1.2'!H19</f>
        <v>0</v>
      </c>
      <c r="R22" s="37"/>
      <c r="S22" s="835">
        <f t="shared" si="5"/>
        <v>800000</v>
      </c>
      <c r="T22" s="38"/>
      <c r="U22" s="38">
        <v>100000</v>
      </c>
      <c r="V22" s="38">
        <v>100000</v>
      </c>
      <c r="W22" s="38"/>
      <c r="X22" s="37"/>
      <c r="Y22" s="38">
        <f t="shared" si="7"/>
        <v>200000</v>
      </c>
      <c r="AC22" s="722">
        <f>SUM(AE22:AL22)-(BH22+1)</f>
        <v>0</v>
      </c>
      <c r="AD22" s="778">
        <f>+I22/(BH22+1)</f>
        <v>44444.444444444445</v>
      </c>
      <c r="AG22" s="59">
        <v>5</v>
      </c>
      <c r="AH22" s="59">
        <v>6</v>
      </c>
      <c r="AI22" s="59">
        <v>6</v>
      </c>
      <c r="AJ22" s="59">
        <v>1</v>
      </c>
      <c r="AO22" s="337">
        <f t="shared" si="49"/>
        <v>0</v>
      </c>
      <c r="AP22" s="910">
        <f t="shared" si="50"/>
        <v>0</v>
      </c>
      <c r="AQ22" s="910">
        <v>250000</v>
      </c>
      <c r="AR22" s="910">
        <v>350000</v>
      </c>
      <c r="AS22" s="910">
        <v>300000</v>
      </c>
      <c r="AT22" s="910">
        <v>100000</v>
      </c>
      <c r="AU22" s="910">
        <f t="shared" si="55"/>
        <v>0</v>
      </c>
      <c r="AV22" s="910">
        <f t="shared" si="56"/>
        <v>0</v>
      </c>
      <c r="AW22" s="910">
        <f t="shared" si="56"/>
        <v>0</v>
      </c>
      <c r="AX22" s="910"/>
      <c r="AY22" s="910">
        <f t="shared" si="21"/>
        <v>1000000</v>
      </c>
      <c r="AZ22" s="786">
        <f>+AY22-I22</f>
        <v>200000</v>
      </c>
      <c r="BA22" s="23" t="s">
        <v>432</v>
      </c>
      <c r="BB22" s="722" t="s">
        <v>155</v>
      </c>
      <c r="BC22" s="722" t="s">
        <v>474</v>
      </c>
      <c r="BF22" s="539">
        <v>43132</v>
      </c>
      <c r="BG22" s="539">
        <f t="shared" si="57"/>
        <v>43677</v>
      </c>
      <c r="BH22" s="722">
        <v>17</v>
      </c>
    </row>
    <row r="23" spans="2:61" x14ac:dyDescent="0.2">
      <c r="C23" s="50">
        <v>1</v>
      </c>
      <c r="D23" s="50">
        <v>2</v>
      </c>
      <c r="E23" s="50">
        <v>2</v>
      </c>
      <c r="F23" s="50">
        <v>3</v>
      </c>
      <c r="G23" s="32" t="str">
        <f t="shared" si="11"/>
        <v>1.2.2.3</v>
      </c>
      <c r="H23" s="2" t="str">
        <f>+'1.2'!B20</f>
        <v>Insumos para Operación y Mantenimiento.</v>
      </c>
      <c r="I23" s="825">
        <f t="shared" si="0"/>
        <v>150000</v>
      </c>
      <c r="J23" s="729">
        <f t="shared" si="1"/>
        <v>0</v>
      </c>
      <c r="K23" s="730">
        <f t="shared" si="3"/>
        <v>150000</v>
      </c>
      <c r="L23" s="894">
        <v>1</v>
      </c>
      <c r="M23" s="895">
        <f t="shared" si="15"/>
        <v>0</v>
      </c>
      <c r="N23" s="37">
        <f>+'1.2'!E20</f>
        <v>0</v>
      </c>
      <c r="O23" s="37">
        <f>+'1.2'!F20</f>
        <v>50000</v>
      </c>
      <c r="P23" s="37">
        <f>+'1.2'!G20</f>
        <v>50000</v>
      </c>
      <c r="Q23" s="37">
        <f>+'1.2'!H20</f>
        <v>30000</v>
      </c>
      <c r="R23" s="37">
        <f>+'1.2'!I20</f>
        <v>20000</v>
      </c>
      <c r="S23" s="835">
        <f t="shared" si="5"/>
        <v>150000</v>
      </c>
      <c r="T23" s="38"/>
      <c r="U23" s="38"/>
      <c r="V23" s="38"/>
      <c r="W23" s="38"/>
      <c r="X23" s="37"/>
      <c r="Y23" s="38">
        <f t="shared" si="7"/>
        <v>0</v>
      </c>
      <c r="AC23" s="722">
        <f>SUM(AE23:AL23)-(BH23+1)</f>
        <v>-4</v>
      </c>
      <c r="AD23" s="778">
        <f>+I23/(BH23+1)</f>
        <v>4054.0540540540542</v>
      </c>
      <c r="AG23" s="59">
        <v>5</v>
      </c>
      <c r="AH23" s="59">
        <v>6</v>
      </c>
      <c r="AI23" s="59">
        <v>6</v>
      </c>
      <c r="AJ23" s="59">
        <v>6</v>
      </c>
      <c r="AK23" s="59">
        <v>6</v>
      </c>
      <c r="AL23" s="59">
        <v>4</v>
      </c>
      <c r="AM23" s="59">
        <v>4</v>
      </c>
      <c r="AO23" s="337">
        <f t="shared" si="49"/>
        <v>0</v>
      </c>
      <c r="AP23" s="910">
        <f t="shared" si="50"/>
        <v>0</v>
      </c>
      <c r="AQ23" s="910">
        <v>25000</v>
      </c>
      <c r="AR23" s="910">
        <v>25000</v>
      </c>
      <c r="AS23" s="910">
        <v>25000</v>
      </c>
      <c r="AT23" s="910">
        <v>25000</v>
      </c>
      <c r="AU23" s="910">
        <v>15000</v>
      </c>
      <c r="AV23" s="910">
        <v>15000</v>
      </c>
      <c r="AW23" s="910">
        <v>20000</v>
      </c>
      <c r="AX23" s="910"/>
      <c r="AY23" s="910">
        <f t="shared" si="21"/>
        <v>150000</v>
      </c>
      <c r="AZ23" s="786">
        <f>+AY23-I23</f>
        <v>0</v>
      </c>
      <c r="BA23" s="23" t="s">
        <v>421</v>
      </c>
      <c r="BB23" s="722" t="s">
        <v>465</v>
      </c>
      <c r="BC23" s="722" t="s">
        <v>440</v>
      </c>
      <c r="BF23" s="539">
        <v>43132</v>
      </c>
      <c r="BG23" s="539">
        <f>EOMONTH(BF23,BH23)</f>
        <v>44255</v>
      </c>
      <c r="BH23" s="722">
        <v>36</v>
      </c>
    </row>
    <row r="24" spans="2:61" s="507" customFormat="1" ht="25.5" x14ac:dyDescent="0.2">
      <c r="B24" s="505"/>
      <c r="C24" s="506">
        <v>1</v>
      </c>
      <c r="D24" s="506">
        <v>2</v>
      </c>
      <c r="E24" s="506">
        <v>3</v>
      </c>
      <c r="F24" s="506">
        <v>0</v>
      </c>
      <c r="G24" s="505" t="str">
        <f t="shared" si="11"/>
        <v>1.2.3.0</v>
      </c>
      <c r="H24" s="623" t="s">
        <v>476</v>
      </c>
      <c r="I24" s="826">
        <f t="shared" si="0"/>
        <v>145000</v>
      </c>
      <c r="J24" s="731">
        <f t="shared" si="1"/>
        <v>0</v>
      </c>
      <c r="K24" s="732">
        <f t="shared" si="3"/>
        <v>145000</v>
      </c>
      <c r="L24" s="897"/>
      <c r="M24" s="898"/>
      <c r="N24" s="43">
        <f>SUM(N25:N29)</f>
        <v>35000</v>
      </c>
      <c r="O24" s="43">
        <f t="shared" ref="O24:R24" si="58">SUM(O25:O29)</f>
        <v>100000</v>
      </c>
      <c r="P24" s="43">
        <f t="shared" si="58"/>
        <v>10000</v>
      </c>
      <c r="Q24" s="43">
        <f t="shared" si="58"/>
        <v>0</v>
      </c>
      <c r="R24" s="43">
        <f t="shared" si="58"/>
        <v>0</v>
      </c>
      <c r="S24" s="834">
        <f t="shared" si="5"/>
        <v>145000</v>
      </c>
      <c r="T24" s="43">
        <f t="shared" ref="T24:X24" si="59">SUM(T25:T29)</f>
        <v>0</v>
      </c>
      <c r="U24" s="43">
        <f t="shared" si="59"/>
        <v>0</v>
      </c>
      <c r="V24" s="43">
        <f t="shared" si="59"/>
        <v>0</v>
      </c>
      <c r="W24" s="43">
        <f t="shared" si="59"/>
        <v>0</v>
      </c>
      <c r="X24" s="43">
        <f t="shared" si="59"/>
        <v>0</v>
      </c>
      <c r="Y24" s="43">
        <f t="shared" si="7"/>
        <v>0</v>
      </c>
      <c r="Z24" s="505">
        <f>+'Matriz de Resultados'!B29</f>
        <v>1.7</v>
      </c>
      <c r="AC24" s="505"/>
      <c r="AD24" s="779"/>
      <c r="AE24" s="846"/>
      <c r="AF24" s="772"/>
      <c r="AG24" s="772"/>
      <c r="AH24" s="772"/>
      <c r="AI24" s="772"/>
      <c r="AJ24" s="772"/>
      <c r="AK24" s="772"/>
      <c r="AL24" s="772"/>
      <c r="AM24" s="772"/>
      <c r="AN24" s="773"/>
      <c r="AO24" s="784"/>
      <c r="AP24" s="911"/>
      <c r="AQ24" s="911"/>
      <c r="AR24" s="911"/>
      <c r="AS24" s="911"/>
      <c r="AT24" s="911"/>
      <c r="AU24" s="911"/>
      <c r="AV24" s="911"/>
      <c r="AW24" s="911"/>
      <c r="AX24" s="911"/>
      <c r="AY24" s="912">
        <f t="shared" si="21"/>
        <v>0</v>
      </c>
      <c r="AZ24" s="505"/>
      <c r="BB24" s="505"/>
      <c r="BC24" s="505"/>
      <c r="BD24" s="505"/>
      <c r="BE24" s="505"/>
      <c r="BF24" s="505"/>
      <c r="BG24" s="505"/>
      <c r="BH24" s="505"/>
      <c r="BI24" s="505"/>
    </row>
    <row r="25" spans="2:61" s="463" customFormat="1" ht="25.5" x14ac:dyDescent="0.2">
      <c r="B25" s="490"/>
      <c r="C25" s="50">
        <v>1</v>
      </c>
      <c r="D25" s="50">
        <v>2</v>
      </c>
      <c r="E25" s="50">
        <v>3</v>
      </c>
      <c r="F25" s="50">
        <v>1</v>
      </c>
      <c r="G25" s="32" t="str">
        <f t="shared" si="11"/>
        <v>1.2.3.1</v>
      </c>
      <c r="H25" s="2" t="str">
        <f>+'1.2'!B23</f>
        <v>Adquisición y/o desarrollo de programas de análisis y datamining</v>
      </c>
      <c r="I25" s="827">
        <f t="shared" si="0"/>
        <v>90000</v>
      </c>
      <c r="J25" s="735">
        <f t="shared" si="1"/>
        <v>0</v>
      </c>
      <c r="K25" s="736">
        <f t="shared" si="3"/>
        <v>90000</v>
      </c>
      <c r="L25" s="894">
        <v>1</v>
      </c>
      <c r="M25" s="899">
        <f t="shared" si="15"/>
        <v>0</v>
      </c>
      <c r="N25" s="504">
        <f>+'1.2'!E23</f>
        <v>20000</v>
      </c>
      <c r="O25" s="504">
        <f>+'1.2'!F23</f>
        <v>70000</v>
      </c>
      <c r="P25" s="504">
        <f>+'1.2'!G23</f>
        <v>0</v>
      </c>
      <c r="Q25" s="504">
        <f>+'1.2'!H23</f>
        <v>0</v>
      </c>
      <c r="R25" s="504"/>
      <c r="S25" s="835">
        <f t="shared" si="5"/>
        <v>90000</v>
      </c>
      <c r="T25" s="38"/>
      <c r="U25" s="38"/>
      <c r="V25" s="38"/>
      <c r="W25" s="38"/>
      <c r="X25" s="504"/>
      <c r="Y25" s="38">
        <f t="shared" si="7"/>
        <v>0</v>
      </c>
      <c r="Z25" s="490"/>
      <c r="AA25" s="622"/>
      <c r="AC25" s="722">
        <f>SUM(AE25:AL25)-(BH25+1)</f>
        <v>0</v>
      </c>
      <c r="AD25" s="778">
        <f>+I25/(BH25+1)</f>
        <v>30000</v>
      </c>
      <c r="AE25" s="845"/>
      <c r="AF25" s="59">
        <v>3</v>
      </c>
      <c r="AG25" s="59"/>
      <c r="AH25" s="59"/>
      <c r="AI25" s="59"/>
      <c r="AJ25" s="59"/>
      <c r="AK25" s="59"/>
      <c r="AL25" s="59"/>
      <c r="AM25" s="59"/>
      <c r="AN25" s="771"/>
      <c r="AO25" s="337">
        <f t="shared" ref="AO25:AO29" si="60">+$AD25*AE25</f>
        <v>0</v>
      </c>
      <c r="AP25" s="910">
        <v>20000</v>
      </c>
      <c r="AQ25" s="910">
        <v>70000</v>
      </c>
      <c r="AR25" s="910">
        <f t="shared" ref="AR25:AR29" si="61">+$AD25*AH25</f>
        <v>0</v>
      </c>
      <c r="AS25" s="910">
        <f t="shared" ref="AS25:AS29" si="62">+$AD25*AI25</f>
        <v>0</v>
      </c>
      <c r="AT25" s="910">
        <f t="shared" ref="AT25:AT29" si="63">+$AD25*AJ25</f>
        <v>0</v>
      </c>
      <c r="AU25" s="910">
        <f t="shared" ref="AU25:AU29" si="64">+$AD25*AK25</f>
        <v>0</v>
      </c>
      <c r="AV25" s="910">
        <f t="shared" ref="AV25:AW29" si="65">+$AD25*AL25</f>
        <v>0</v>
      </c>
      <c r="AW25" s="910">
        <f t="shared" si="65"/>
        <v>0</v>
      </c>
      <c r="AX25" s="910"/>
      <c r="AY25" s="910">
        <f t="shared" si="21"/>
        <v>90000</v>
      </c>
      <c r="AZ25" s="786">
        <f>+AY25-I25</f>
        <v>0</v>
      </c>
      <c r="BA25" s="23" t="s">
        <v>421</v>
      </c>
      <c r="BB25" s="722" t="s">
        <v>155</v>
      </c>
      <c r="BC25" s="722" t="s">
        <v>474</v>
      </c>
      <c r="BD25" s="722"/>
      <c r="BE25" s="722"/>
      <c r="BF25" s="539">
        <v>43009</v>
      </c>
      <c r="BG25" s="539">
        <f t="shared" ref="BG25:BG29" si="66">EOMONTH(BF25,BH25)</f>
        <v>43100</v>
      </c>
      <c r="BH25" s="490">
        <v>2</v>
      </c>
      <c r="BI25" s="490"/>
    </row>
    <row r="26" spans="2:61" s="463" customFormat="1" ht="25.5" x14ac:dyDescent="0.2">
      <c r="B26" s="490"/>
      <c r="C26" s="50">
        <v>1</v>
      </c>
      <c r="D26" s="50">
        <v>2</v>
      </c>
      <c r="E26" s="50">
        <v>3</v>
      </c>
      <c r="F26" s="50">
        <v>2</v>
      </c>
      <c r="G26" s="32" t="str">
        <f t="shared" si="11"/>
        <v>1.2.3.2</v>
      </c>
      <c r="H26" s="2" t="str">
        <f>+'1.2'!B24</f>
        <v>Capacitación en el uso deherramientas de datamining.</v>
      </c>
      <c r="I26" s="827">
        <f t="shared" si="0"/>
        <v>10000</v>
      </c>
      <c r="J26" s="735">
        <f t="shared" si="1"/>
        <v>0</v>
      </c>
      <c r="K26" s="736">
        <f t="shared" si="3"/>
        <v>10000</v>
      </c>
      <c r="L26" s="894">
        <v>1</v>
      </c>
      <c r="M26" s="899">
        <f t="shared" si="15"/>
        <v>0</v>
      </c>
      <c r="N26" s="504">
        <f>+'1.2'!E24</f>
        <v>0</v>
      </c>
      <c r="O26" s="504">
        <f>+'1.2'!F24</f>
        <v>5000</v>
      </c>
      <c r="P26" s="504">
        <f>+'1.2'!G24</f>
        <v>5000</v>
      </c>
      <c r="Q26" s="504">
        <f>+'1.2'!H24</f>
        <v>0</v>
      </c>
      <c r="R26" s="504"/>
      <c r="S26" s="835">
        <f t="shared" si="5"/>
        <v>10000</v>
      </c>
      <c r="T26" s="38"/>
      <c r="U26" s="38"/>
      <c r="V26" s="38"/>
      <c r="W26" s="38"/>
      <c r="X26" s="504"/>
      <c r="Y26" s="38">
        <f t="shared" si="7"/>
        <v>0</v>
      </c>
      <c r="Z26" s="490"/>
      <c r="AA26" s="622"/>
      <c r="AC26" s="722">
        <f>SUM(AE26:AL26)-(BH26+1)</f>
        <v>0</v>
      </c>
      <c r="AD26" s="778">
        <f>+I26/(BH26+1)</f>
        <v>1111.1111111111111</v>
      </c>
      <c r="AE26" s="845"/>
      <c r="AF26" s="59"/>
      <c r="AG26" s="59"/>
      <c r="AH26" s="59">
        <v>6</v>
      </c>
      <c r="AI26" s="59">
        <v>3</v>
      </c>
      <c r="AJ26" s="59"/>
      <c r="AK26" s="59"/>
      <c r="AL26" s="59"/>
      <c r="AM26" s="59"/>
      <c r="AN26" s="771"/>
      <c r="AO26" s="337">
        <f t="shared" si="60"/>
        <v>0</v>
      </c>
      <c r="AP26" s="910">
        <f t="shared" ref="AP26:AP29" si="67">+$AD26*AF26</f>
        <v>0</v>
      </c>
      <c r="AQ26" s="910">
        <f t="shared" ref="AQ26:AQ29" si="68">+$AD26*AG26</f>
        <v>0</v>
      </c>
      <c r="AR26" s="910">
        <v>5000</v>
      </c>
      <c r="AS26" s="910">
        <v>5000</v>
      </c>
      <c r="AT26" s="910">
        <f t="shared" si="63"/>
        <v>0</v>
      </c>
      <c r="AU26" s="910">
        <f t="shared" si="64"/>
        <v>0</v>
      </c>
      <c r="AV26" s="910">
        <f t="shared" si="65"/>
        <v>0</v>
      </c>
      <c r="AW26" s="910">
        <f t="shared" si="65"/>
        <v>0</v>
      </c>
      <c r="AX26" s="910"/>
      <c r="AY26" s="910">
        <f t="shared" si="21"/>
        <v>10000</v>
      </c>
      <c r="AZ26" s="786">
        <f>+AY26-I26</f>
        <v>0</v>
      </c>
      <c r="BA26" s="23" t="s">
        <v>178</v>
      </c>
      <c r="BB26" s="722"/>
      <c r="BC26" s="722"/>
      <c r="BD26" s="722"/>
      <c r="BE26" s="722"/>
      <c r="BF26" s="539">
        <v>43282</v>
      </c>
      <c r="BG26" s="539">
        <f>EOMONTH(BF26,BH26)</f>
        <v>43555</v>
      </c>
      <c r="BH26" s="490">
        <v>8</v>
      </c>
      <c r="BI26" s="490"/>
    </row>
    <row r="27" spans="2:61" s="463" customFormat="1" ht="25.5" x14ac:dyDescent="0.2">
      <c r="B27" s="490"/>
      <c r="C27" s="50">
        <v>1</v>
      </c>
      <c r="D27" s="50">
        <v>2</v>
      </c>
      <c r="E27" s="50">
        <v>3</v>
      </c>
      <c r="F27" s="50">
        <v>3</v>
      </c>
      <c r="G27" s="32" t="str">
        <f t="shared" si="11"/>
        <v>1.2.3.3</v>
      </c>
      <c r="H27" s="2" t="str">
        <f>+'1.2'!B27</f>
        <v>Consultoría para relevamiento y definición de un Compstat.</v>
      </c>
      <c r="I27" s="827">
        <f t="shared" si="0"/>
        <v>15000</v>
      </c>
      <c r="J27" s="735">
        <f t="shared" si="1"/>
        <v>0</v>
      </c>
      <c r="K27" s="736">
        <f t="shared" si="3"/>
        <v>15000</v>
      </c>
      <c r="L27" s="894">
        <v>1</v>
      </c>
      <c r="M27" s="899">
        <f t="shared" si="15"/>
        <v>0</v>
      </c>
      <c r="N27" s="504">
        <f>+'1.2'!E27</f>
        <v>15000</v>
      </c>
      <c r="O27" s="504">
        <f>+'1.2'!F27</f>
        <v>0</v>
      </c>
      <c r="P27" s="504">
        <f>+'1.2'!G27</f>
        <v>0</v>
      </c>
      <c r="Q27" s="504">
        <f>+'1.2'!H27</f>
        <v>0</v>
      </c>
      <c r="R27" s="504"/>
      <c r="S27" s="835">
        <f t="shared" si="5"/>
        <v>15000</v>
      </c>
      <c r="T27" s="38"/>
      <c r="U27" s="38"/>
      <c r="V27" s="38"/>
      <c r="W27" s="38"/>
      <c r="X27" s="504"/>
      <c r="Y27" s="38">
        <f t="shared" si="7"/>
        <v>0</v>
      </c>
      <c r="Z27" s="490"/>
      <c r="AA27" s="622"/>
      <c r="AC27" s="722">
        <f>SUM(AE27:AL27)-(BH27+1)</f>
        <v>0</v>
      </c>
      <c r="AD27" s="778">
        <f>+I27/(BH27+1)</f>
        <v>5000</v>
      </c>
      <c r="AE27" s="845"/>
      <c r="AF27" s="59">
        <v>3</v>
      </c>
      <c r="AG27" s="59"/>
      <c r="AH27" s="59"/>
      <c r="AI27" s="59"/>
      <c r="AJ27" s="59"/>
      <c r="AK27" s="59"/>
      <c r="AL27" s="59"/>
      <c r="AM27" s="59"/>
      <c r="AN27" s="771"/>
      <c r="AO27" s="337">
        <f t="shared" si="60"/>
        <v>0</v>
      </c>
      <c r="AP27" s="910">
        <f t="shared" si="67"/>
        <v>15000</v>
      </c>
      <c r="AQ27" s="910">
        <f t="shared" si="68"/>
        <v>0</v>
      </c>
      <c r="AR27" s="910">
        <f t="shared" si="61"/>
        <v>0</v>
      </c>
      <c r="AS27" s="910">
        <f t="shared" si="62"/>
        <v>0</v>
      </c>
      <c r="AT27" s="910">
        <f t="shared" si="63"/>
        <v>0</v>
      </c>
      <c r="AU27" s="910">
        <f t="shared" si="64"/>
        <v>0</v>
      </c>
      <c r="AV27" s="910">
        <f t="shared" si="65"/>
        <v>0</v>
      </c>
      <c r="AW27" s="910">
        <f t="shared" si="65"/>
        <v>0</v>
      </c>
      <c r="AX27" s="910"/>
      <c r="AY27" s="910">
        <f t="shared" si="21"/>
        <v>15000</v>
      </c>
      <c r="AZ27" s="786">
        <f>+AY27-I27</f>
        <v>0</v>
      </c>
      <c r="BA27" s="23" t="s">
        <v>423</v>
      </c>
      <c r="BB27" s="722" t="s">
        <v>441</v>
      </c>
      <c r="BC27" s="722" t="s">
        <v>474</v>
      </c>
      <c r="BD27" s="722"/>
      <c r="BE27" s="722"/>
      <c r="BF27" s="539">
        <v>43009</v>
      </c>
      <c r="BG27" s="539">
        <f>EOMONTH(BF27,BH27)</f>
        <v>43100</v>
      </c>
      <c r="BH27" s="490">
        <v>2</v>
      </c>
      <c r="BI27" s="490"/>
    </row>
    <row r="28" spans="2:61" s="463" customFormat="1" ht="25.5" x14ac:dyDescent="0.2">
      <c r="B28" s="490"/>
      <c r="C28" s="50">
        <v>1</v>
      </c>
      <c r="D28" s="50">
        <v>2</v>
      </c>
      <c r="E28" s="50">
        <v>3</v>
      </c>
      <c r="F28" s="50">
        <v>4</v>
      </c>
      <c r="G28" s="32" t="str">
        <f t="shared" si="11"/>
        <v>1.2.3.4</v>
      </c>
      <c r="H28" s="2" t="str">
        <f>+'1.2'!B28</f>
        <v>Adquisición de equipamiento y software para Compstat</v>
      </c>
      <c r="I28" s="827">
        <f t="shared" si="0"/>
        <v>20000</v>
      </c>
      <c r="J28" s="735">
        <f t="shared" si="1"/>
        <v>0</v>
      </c>
      <c r="K28" s="736">
        <f t="shared" si="3"/>
        <v>20000</v>
      </c>
      <c r="L28" s="894">
        <v>1</v>
      </c>
      <c r="M28" s="899">
        <f t="shared" si="15"/>
        <v>0</v>
      </c>
      <c r="N28" s="504">
        <f>+'1.2'!E28</f>
        <v>0</v>
      </c>
      <c r="O28" s="504">
        <f>+'1.2'!F28</f>
        <v>20000</v>
      </c>
      <c r="P28" s="504">
        <f>+'1.2'!G28</f>
        <v>0</v>
      </c>
      <c r="Q28" s="504">
        <f>+'1.2'!H28</f>
        <v>0</v>
      </c>
      <c r="R28" s="504"/>
      <c r="S28" s="835">
        <f t="shared" si="5"/>
        <v>20000</v>
      </c>
      <c r="T28" s="38"/>
      <c r="U28" s="38"/>
      <c r="V28" s="38"/>
      <c r="W28" s="38"/>
      <c r="X28" s="504"/>
      <c r="Y28" s="38">
        <f t="shared" si="7"/>
        <v>0</v>
      </c>
      <c r="Z28" s="490"/>
      <c r="AA28" s="622"/>
      <c r="AC28" s="722">
        <f>SUM(AE28:AL28)-(BH28+1)</f>
        <v>0</v>
      </c>
      <c r="AD28" s="778">
        <f>+I28/(BH28+1)</f>
        <v>2222.2222222222222</v>
      </c>
      <c r="AE28" s="845"/>
      <c r="AF28" s="59"/>
      <c r="AG28" s="59">
        <v>5</v>
      </c>
      <c r="AH28" s="59">
        <v>4</v>
      </c>
      <c r="AI28" s="59"/>
      <c r="AJ28" s="59"/>
      <c r="AK28" s="59"/>
      <c r="AL28" s="59"/>
      <c r="AM28" s="59"/>
      <c r="AN28" s="771"/>
      <c r="AO28" s="337">
        <f t="shared" si="60"/>
        <v>0</v>
      </c>
      <c r="AP28" s="910">
        <f t="shared" si="67"/>
        <v>0</v>
      </c>
      <c r="AQ28" s="910">
        <v>10000</v>
      </c>
      <c r="AR28" s="910">
        <v>10000</v>
      </c>
      <c r="AS28" s="910">
        <f t="shared" si="62"/>
        <v>0</v>
      </c>
      <c r="AT28" s="910">
        <f t="shared" si="63"/>
        <v>0</v>
      </c>
      <c r="AU28" s="910">
        <f t="shared" si="64"/>
        <v>0</v>
      </c>
      <c r="AV28" s="910">
        <f t="shared" si="65"/>
        <v>0</v>
      </c>
      <c r="AW28" s="910">
        <f t="shared" si="65"/>
        <v>0</v>
      </c>
      <c r="AX28" s="910"/>
      <c r="AY28" s="910">
        <f t="shared" si="21"/>
        <v>20000</v>
      </c>
      <c r="AZ28" s="786">
        <f>+AY28-I28</f>
        <v>0</v>
      </c>
      <c r="BA28" s="23" t="s">
        <v>421</v>
      </c>
      <c r="BB28" s="722" t="s">
        <v>155</v>
      </c>
      <c r="BC28" s="722" t="s">
        <v>474</v>
      </c>
      <c r="BD28" s="722"/>
      <c r="BE28" s="722"/>
      <c r="BF28" s="539">
        <v>43132</v>
      </c>
      <c r="BG28" s="539">
        <f t="shared" si="66"/>
        <v>43404</v>
      </c>
      <c r="BH28" s="490">
        <v>8</v>
      </c>
      <c r="BI28" s="490"/>
    </row>
    <row r="29" spans="2:61" s="463" customFormat="1" x14ac:dyDescent="0.2">
      <c r="B29" s="490"/>
      <c r="C29" s="50">
        <v>1</v>
      </c>
      <c r="D29" s="50">
        <v>2</v>
      </c>
      <c r="E29" s="50">
        <v>3</v>
      </c>
      <c r="F29" s="50">
        <v>5</v>
      </c>
      <c r="G29" s="32" t="str">
        <f t="shared" si="11"/>
        <v>1.2.3.5</v>
      </c>
      <c r="H29" s="2" t="str">
        <f>+'1.2'!B29</f>
        <v>Capacitación para utilización de compstat</v>
      </c>
      <c r="I29" s="827">
        <f t="shared" si="0"/>
        <v>10000</v>
      </c>
      <c r="J29" s="735">
        <f t="shared" si="1"/>
        <v>0</v>
      </c>
      <c r="K29" s="736">
        <f t="shared" si="3"/>
        <v>10000</v>
      </c>
      <c r="L29" s="894">
        <v>1</v>
      </c>
      <c r="M29" s="899">
        <f t="shared" si="15"/>
        <v>0</v>
      </c>
      <c r="N29" s="504">
        <f>+'1.2'!E29</f>
        <v>0</v>
      </c>
      <c r="O29" s="504">
        <f>+'1.2'!F29</f>
        <v>5000</v>
      </c>
      <c r="P29" s="504">
        <f>+'1.2'!G29</f>
        <v>5000</v>
      </c>
      <c r="Q29" s="504">
        <f>+'1.2'!H29</f>
        <v>0</v>
      </c>
      <c r="R29" s="504"/>
      <c r="S29" s="835">
        <f t="shared" si="5"/>
        <v>10000</v>
      </c>
      <c r="T29" s="38"/>
      <c r="U29" s="38"/>
      <c r="V29" s="38"/>
      <c r="W29" s="38"/>
      <c r="X29" s="504"/>
      <c r="Y29" s="38">
        <f t="shared" si="7"/>
        <v>0</v>
      </c>
      <c r="Z29" s="490"/>
      <c r="AA29" s="622"/>
      <c r="AC29" s="722">
        <f>SUM(AE29:AL29)-(BH29+1)</f>
        <v>0</v>
      </c>
      <c r="AD29" s="778">
        <f>+I29/(BH29+1)</f>
        <v>833.33333333333337</v>
      </c>
      <c r="AE29" s="845"/>
      <c r="AF29" s="59"/>
      <c r="AG29" s="59"/>
      <c r="AH29" s="59">
        <v>6</v>
      </c>
      <c r="AI29" s="59">
        <v>6</v>
      </c>
      <c r="AJ29" s="59"/>
      <c r="AK29" s="59"/>
      <c r="AL29" s="59"/>
      <c r="AM29" s="59"/>
      <c r="AN29" s="771"/>
      <c r="AO29" s="337">
        <f t="shared" si="60"/>
        <v>0</v>
      </c>
      <c r="AP29" s="910">
        <f t="shared" si="67"/>
        <v>0</v>
      </c>
      <c r="AQ29" s="910">
        <f t="shared" si="68"/>
        <v>0</v>
      </c>
      <c r="AR29" s="910">
        <f t="shared" si="61"/>
        <v>5000</v>
      </c>
      <c r="AS29" s="910">
        <f t="shared" si="62"/>
        <v>5000</v>
      </c>
      <c r="AT29" s="910">
        <f t="shared" si="63"/>
        <v>0</v>
      </c>
      <c r="AU29" s="910">
        <f t="shared" si="64"/>
        <v>0</v>
      </c>
      <c r="AV29" s="910">
        <f t="shared" si="65"/>
        <v>0</v>
      </c>
      <c r="AW29" s="910">
        <f t="shared" si="65"/>
        <v>0</v>
      </c>
      <c r="AX29" s="910"/>
      <c r="AY29" s="910">
        <f t="shared" si="21"/>
        <v>10000</v>
      </c>
      <c r="AZ29" s="786">
        <f>+AY29-I29</f>
        <v>0</v>
      </c>
      <c r="BA29" s="23" t="s">
        <v>178</v>
      </c>
      <c r="BB29" s="722"/>
      <c r="BC29" s="722"/>
      <c r="BD29" s="722"/>
      <c r="BE29" s="722"/>
      <c r="BF29" s="539">
        <v>43282</v>
      </c>
      <c r="BG29" s="539">
        <f t="shared" si="66"/>
        <v>43646</v>
      </c>
      <c r="BH29" s="490">
        <v>11</v>
      </c>
      <c r="BI29" s="490"/>
    </row>
    <row r="30" spans="2:61" s="507" customFormat="1" ht="38.25" x14ac:dyDescent="0.2">
      <c r="B30" s="505"/>
      <c r="C30" s="506">
        <v>1</v>
      </c>
      <c r="D30" s="506">
        <v>2</v>
      </c>
      <c r="E30" s="506">
        <v>4</v>
      </c>
      <c r="F30" s="506">
        <v>0</v>
      </c>
      <c r="G30" s="505" t="str">
        <f t="shared" si="11"/>
        <v>1.2.4.0</v>
      </c>
      <c r="H30" s="623" t="s">
        <v>62</v>
      </c>
      <c r="I30" s="826">
        <f t="shared" si="0"/>
        <v>470000</v>
      </c>
      <c r="J30" s="731">
        <f t="shared" si="1"/>
        <v>0</v>
      </c>
      <c r="K30" s="732">
        <f t="shared" si="3"/>
        <v>470000</v>
      </c>
      <c r="L30" s="897"/>
      <c r="M30" s="898"/>
      <c r="N30" s="43">
        <f>SUM(N31:N33)</f>
        <v>25000</v>
      </c>
      <c r="O30" s="43">
        <f t="shared" ref="O30:R30" si="69">SUM(O31:O33)</f>
        <v>235000</v>
      </c>
      <c r="P30" s="43">
        <f t="shared" si="69"/>
        <v>190000</v>
      </c>
      <c r="Q30" s="43">
        <f t="shared" si="69"/>
        <v>20000</v>
      </c>
      <c r="R30" s="43">
        <f t="shared" si="69"/>
        <v>0</v>
      </c>
      <c r="S30" s="834">
        <f t="shared" si="5"/>
        <v>470000</v>
      </c>
      <c r="T30" s="43">
        <f t="shared" ref="T30:X30" si="70">SUM(T31:T33)</f>
        <v>0</v>
      </c>
      <c r="U30" s="43">
        <f t="shared" si="70"/>
        <v>0</v>
      </c>
      <c r="V30" s="43">
        <f t="shared" si="70"/>
        <v>0</v>
      </c>
      <c r="W30" s="43">
        <f t="shared" si="70"/>
        <v>0</v>
      </c>
      <c r="X30" s="43">
        <f t="shared" si="70"/>
        <v>0</v>
      </c>
      <c r="Y30" s="43">
        <f t="shared" si="7"/>
        <v>0</v>
      </c>
      <c r="Z30" s="505">
        <f>+'Matriz de Resultados'!B29</f>
        <v>1.7</v>
      </c>
      <c r="AC30" s="505"/>
      <c r="AD30" s="779"/>
      <c r="AE30" s="846"/>
      <c r="AF30" s="772"/>
      <c r="AG30" s="772"/>
      <c r="AH30" s="772"/>
      <c r="AI30" s="772"/>
      <c r="AJ30" s="772"/>
      <c r="AK30" s="772"/>
      <c r="AL30" s="772"/>
      <c r="AM30" s="772"/>
      <c r="AN30" s="773"/>
      <c r="AO30" s="784"/>
      <c r="AP30" s="911"/>
      <c r="AQ30" s="911"/>
      <c r="AR30" s="911"/>
      <c r="AS30" s="911"/>
      <c r="AT30" s="911"/>
      <c r="AU30" s="911"/>
      <c r="AV30" s="911"/>
      <c r="AW30" s="911"/>
      <c r="AX30" s="911"/>
      <c r="AY30" s="912">
        <f t="shared" si="21"/>
        <v>0</v>
      </c>
      <c r="AZ30" s="505"/>
      <c r="BB30" s="505"/>
      <c r="BC30" s="505"/>
      <c r="BD30" s="505"/>
      <c r="BE30" s="505"/>
      <c r="BF30" s="505"/>
      <c r="BG30" s="505"/>
      <c r="BH30" s="505"/>
      <c r="BI30" s="505"/>
    </row>
    <row r="31" spans="2:61" s="463" customFormat="1" x14ac:dyDescent="0.2">
      <c r="B31" s="490"/>
      <c r="C31" s="50">
        <v>1</v>
      </c>
      <c r="D31" s="50">
        <v>2</v>
      </c>
      <c r="E31" s="50">
        <v>4</v>
      </c>
      <c r="F31" s="50">
        <v>1</v>
      </c>
      <c r="G31" s="32" t="str">
        <f t="shared" ref="G31:G36" si="71">CONCATENATE(C31,".",D31,".",E31,".",F31)</f>
        <v>1.2.4.1</v>
      </c>
      <c r="H31" s="2" t="str">
        <f>+'1.2'!B13</f>
        <v>Consultoría para desarrollo del sistema SIAR</v>
      </c>
      <c r="I31" s="827">
        <f t="shared" si="0"/>
        <v>40000</v>
      </c>
      <c r="J31" s="735">
        <f t="shared" si="1"/>
        <v>0</v>
      </c>
      <c r="K31" s="736">
        <f t="shared" si="3"/>
        <v>40000</v>
      </c>
      <c r="L31" s="894">
        <v>1</v>
      </c>
      <c r="M31" s="899">
        <f t="shared" si="15"/>
        <v>0</v>
      </c>
      <c r="N31" s="504">
        <f>+'1.2'!E13</f>
        <v>25000</v>
      </c>
      <c r="O31" s="504">
        <f>+'1.2'!F13</f>
        <v>15000</v>
      </c>
      <c r="P31" s="504">
        <f>+'1.2'!G13</f>
        <v>0</v>
      </c>
      <c r="Q31" s="504">
        <f>+'1.2'!H13</f>
        <v>0</v>
      </c>
      <c r="R31" s="504"/>
      <c r="S31" s="835">
        <f t="shared" si="5"/>
        <v>40000</v>
      </c>
      <c r="T31" s="38"/>
      <c r="U31" s="38"/>
      <c r="V31" s="38"/>
      <c r="W31" s="38"/>
      <c r="X31" s="504"/>
      <c r="Y31" s="38">
        <f t="shared" si="7"/>
        <v>0</v>
      </c>
      <c r="Z31" s="490"/>
      <c r="AA31" s="622"/>
      <c r="AC31" s="722">
        <f>SUM(AE31:AL31)-(BH31+1)</f>
        <v>0</v>
      </c>
      <c r="AD31" s="778">
        <f>+I31/(BH31+1)</f>
        <v>8000</v>
      </c>
      <c r="AE31" s="845"/>
      <c r="AF31" s="59">
        <v>3</v>
      </c>
      <c r="AG31" s="59">
        <v>2</v>
      </c>
      <c r="AH31" s="59"/>
      <c r="AI31" s="59"/>
      <c r="AJ31" s="59"/>
      <c r="AK31" s="59"/>
      <c r="AL31" s="59"/>
      <c r="AM31" s="59"/>
      <c r="AN31" s="771"/>
      <c r="AO31" s="337">
        <f t="shared" ref="AO31:AO36" si="72">+$AD31*AE31</f>
        <v>0</v>
      </c>
      <c r="AP31" s="910">
        <v>25000</v>
      </c>
      <c r="AQ31" s="910">
        <v>15000</v>
      </c>
      <c r="AR31" s="910">
        <f t="shared" ref="AR31:AR36" si="73">+$AD31*AH31</f>
        <v>0</v>
      </c>
      <c r="AS31" s="910">
        <f t="shared" ref="AS31:AS36" si="74">+$AD31*AI31</f>
        <v>0</v>
      </c>
      <c r="AT31" s="910">
        <f t="shared" ref="AT31:AT36" si="75">+$AD31*AJ31</f>
        <v>0</v>
      </c>
      <c r="AU31" s="910">
        <f t="shared" ref="AU31:AU32" si="76">+$AD31*AK31</f>
        <v>0</v>
      </c>
      <c r="AV31" s="910">
        <f t="shared" ref="AV31:AW33" si="77">+$AD31*AL31</f>
        <v>0</v>
      </c>
      <c r="AW31" s="910">
        <f t="shared" si="77"/>
        <v>0</v>
      </c>
      <c r="AX31" s="910"/>
      <c r="AY31" s="910">
        <f t="shared" si="21"/>
        <v>40000</v>
      </c>
      <c r="AZ31" s="786">
        <f>+AY31-I31</f>
        <v>0</v>
      </c>
      <c r="BA31" s="23" t="s">
        <v>423</v>
      </c>
      <c r="BB31" s="722" t="s">
        <v>442</v>
      </c>
      <c r="BC31" s="722" t="s">
        <v>474</v>
      </c>
      <c r="BD31" s="722"/>
      <c r="BE31" s="722"/>
      <c r="BF31" s="539">
        <v>43009</v>
      </c>
      <c r="BG31" s="539">
        <f t="shared" ref="BG31:BG36" si="78">EOMONTH(BF31,BH31)</f>
        <v>43159</v>
      </c>
      <c r="BH31" s="490">
        <v>4</v>
      </c>
      <c r="BI31" s="490"/>
    </row>
    <row r="32" spans="2:61" s="463" customFormat="1" x14ac:dyDescent="0.2">
      <c r="B32" s="490"/>
      <c r="C32" s="50">
        <v>1</v>
      </c>
      <c r="D32" s="50">
        <v>2</v>
      </c>
      <c r="E32" s="50">
        <v>4</v>
      </c>
      <c r="F32" s="50">
        <v>2</v>
      </c>
      <c r="G32" s="32" t="str">
        <f t="shared" si="71"/>
        <v>1.2.4.2</v>
      </c>
      <c r="H32" s="2" t="str">
        <f>+'1.2'!B14</f>
        <v>Adquisición de equipamiento y software</v>
      </c>
      <c r="I32" s="827">
        <f t="shared" si="0"/>
        <v>350000</v>
      </c>
      <c r="J32" s="735">
        <f t="shared" si="1"/>
        <v>0</v>
      </c>
      <c r="K32" s="736">
        <f t="shared" si="3"/>
        <v>350000</v>
      </c>
      <c r="L32" s="894">
        <v>1</v>
      </c>
      <c r="M32" s="899">
        <f t="shared" si="15"/>
        <v>0</v>
      </c>
      <c r="N32" s="504">
        <f>+'1.2'!E14</f>
        <v>0</v>
      </c>
      <c r="O32" s="504">
        <f>+'1.2'!F14</f>
        <v>200000</v>
      </c>
      <c r="P32" s="504">
        <f>+'1.2'!G14</f>
        <v>150000</v>
      </c>
      <c r="Q32" s="504">
        <f>+'1.2'!H14</f>
        <v>0</v>
      </c>
      <c r="R32" s="504"/>
      <c r="S32" s="835">
        <f t="shared" si="5"/>
        <v>350000</v>
      </c>
      <c r="T32" s="38"/>
      <c r="U32" s="38"/>
      <c r="V32" s="38"/>
      <c r="W32" s="38"/>
      <c r="X32" s="504"/>
      <c r="Y32" s="38">
        <f t="shared" si="7"/>
        <v>0</v>
      </c>
      <c r="Z32" s="490"/>
      <c r="AA32" s="622"/>
      <c r="AC32" s="722">
        <f>SUM(AE32:AL32)-(BH32+1)</f>
        <v>0</v>
      </c>
      <c r="AD32" s="778">
        <f>+I32/(BH32+1)</f>
        <v>18421.052631578947</v>
      </c>
      <c r="AE32" s="845"/>
      <c r="AF32" s="59"/>
      <c r="AG32" s="59">
        <v>5</v>
      </c>
      <c r="AH32" s="59">
        <v>6</v>
      </c>
      <c r="AI32" s="59">
        <v>6</v>
      </c>
      <c r="AJ32" s="59">
        <v>2</v>
      </c>
      <c r="AK32" s="59"/>
      <c r="AL32" s="59"/>
      <c r="AM32" s="59"/>
      <c r="AN32" s="771"/>
      <c r="AO32" s="337">
        <f t="shared" si="72"/>
        <v>0</v>
      </c>
      <c r="AP32" s="910">
        <f t="shared" ref="AP32:AP36" si="79">+$AD32*AF32</f>
        <v>0</v>
      </c>
      <c r="AQ32" s="910">
        <v>100000</v>
      </c>
      <c r="AR32" s="910">
        <v>100000</v>
      </c>
      <c r="AS32" s="910">
        <v>100000</v>
      </c>
      <c r="AT32" s="910">
        <v>50000</v>
      </c>
      <c r="AU32" s="910">
        <f t="shared" si="76"/>
        <v>0</v>
      </c>
      <c r="AV32" s="910">
        <f t="shared" si="77"/>
        <v>0</v>
      </c>
      <c r="AW32" s="910">
        <f t="shared" si="77"/>
        <v>0</v>
      </c>
      <c r="AX32" s="910"/>
      <c r="AY32" s="910">
        <f t="shared" si="21"/>
        <v>350000</v>
      </c>
      <c r="AZ32" s="786">
        <f>+AY32-I32</f>
        <v>0</v>
      </c>
      <c r="BA32" s="23" t="s">
        <v>421</v>
      </c>
      <c r="BB32" s="722" t="s">
        <v>155</v>
      </c>
      <c r="BC32" s="722" t="s">
        <v>474</v>
      </c>
      <c r="BD32" s="722"/>
      <c r="BE32" s="722"/>
      <c r="BF32" s="539">
        <v>43132</v>
      </c>
      <c r="BG32" s="539">
        <f t="shared" si="78"/>
        <v>43708</v>
      </c>
      <c r="BH32" s="490">
        <v>18</v>
      </c>
      <c r="BI32" s="490"/>
    </row>
    <row r="33" spans="2:61" s="463" customFormat="1" x14ac:dyDescent="0.2">
      <c r="B33" s="490"/>
      <c r="C33" s="50">
        <v>1</v>
      </c>
      <c r="D33" s="50">
        <v>2</v>
      </c>
      <c r="E33" s="50">
        <v>4</v>
      </c>
      <c r="F33" s="50">
        <v>3</v>
      </c>
      <c r="G33" s="32" t="str">
        <f t="shared" si="71"/>
        <v>1.2.4.3</v>
      </c>
      <c r="H33" s="2" t="str">
        <f>+'1.2'!B15</f>
        <v>Insumos para Operación y Mantenimiento.</v>
      </c>
      <c r="I33" s="827">
        <f t="shared" si="0"/>
        <v>80000</v>
      </c>
      <c r="J33" s="735">
        <f t="shared" si="1"/>
        <v>0</v>
      </c>
      <c r="K33" s="736">
        <f t="shared" si="3"/>
        <v>80000</v>
      </c>
      <c r="L33" s="894">
        <v>1</v>
      </c>
      <c r="M33" s="899">
        <f t="shared" si="15"/>
        <v>0</v>
      </c>
      <c r="N33" s="504">
        <f>+'1.2'!E15</f>
        <v>0</v>
      </c>
      <c r="O33" s="504">
        <f>+'1.2'!F15</f>
        <v>20000</v>
      </c>
      <c r="P33" s="504">
        <f>+'1.2'!G15</f>
        <v>40000</v>
      </c>
      <c r="Q33" s="504">
        <f>+'1.2'!H15</f>
        <v>20000</v>
      </c>
      <c r="R33" s="504"/>
      <c r="S33" s="835">
        <f t="shared" si="5"/>
        <v>80000</v>
      </c>
      <c r="T33" s="38"/>
      <c r="U33" s="38"/>
      <c r="V33" s="38"/>
      <c r="W33" s="38"/>
      <c r="X33" s="504"/>
      <c r="Y33" s="38">
        <f t="shared" si="7"/>
        <v>0</v>
      </c>
      <c r="Z33" s="490"/>
      <c r="AA33" s="622"/>
      <c r="AC33" s="722">
        <f>SUM(AE33:AL33)-(BH33+1)</f>
        <v>0</v>
      </c>
      <c r="AD33" s="778">
        <f>+I33/(BH33+1)</f>
        <v>2758.6206896551726</v>
      </c>
      <c r="AE33" s="845"/>
      <c r="AF33" s="59"/>
      <c r="AG33" s="59">
        <v>5</v>
      </c>
      <c r="AH33" s="59">
        <v>6</v>
      </c>
      <c r="AI33" s="59">
        <v>6</v>
      </c>
      <c r="AJ33" s="59">
        <v>6</v>
      </c>
      <c r="AK33" s="59">
        <v>6</v>
      </c>
      <c r="AL33" s="59"/>
      <c r="AM33" s="59"/>
      <c r="AN33" s="771"/>
      <c r="AO33" s="337">
        <f t="shared" si="72"/>
        <v>0</v>
      </c>
      <c r="AP33" s="910">
        <f t="shared" si="79"/>
        <v>0</v>
      </c>
      <c r="AQ33" s="910">
        <v>0</v>
      </c>
      <c r="AR33" s="910">
        <v>20000</v>
      </c>
      <c r="AS33" s="910">
        <v>20000</v>
      </c>
      <c r="AT33" s="910">
        <v>20000</v>
      </c>
      <c r="AU33" s="910">
        <v>20000</v>
      </c>
      <c r="AV33" s="910">
        <f t="shared" si="77"/>
        <v>0</v>
      </c>
      <c r="AW33" s="910">
        <f t="shared" si="77"/>
        <v>0</v>
      </c>
      <c r="AX33" s="910"/>
      <c r="AY33" s="910">
        <f t="shared" si="21"/>
        <v>80000</v>
      </c>
      <c r="AZ33" s="786">
        <f>+AY33-I33</f>
        <v>0</v>
      </c>
      <c r="BA33" s="23" t="s">
        <v>421</v>
      </c>
      <c r="BB33" s="722" t="s">
        <v>465</v>
      </c>
      <c r="BC33" s="722" t="s">
        <v>440</v>
      </c>
      <c r="BD33" s="722"/>
      <c r="BE33" s="722"/>
      <c r="BF33" s="539">
        <v>43132</v>
      </c>
      <c r="BG33" s="539">
        <f t="shared" si="78"/>
        <v>44012</v>
      </c>
      <c r="BH33" s="490">
        <v>28</v>
      </c>
      <c r="BI33" s="490"/>
    </row>
    <row r="34" spans="2:61" s="507" customFormat="1" ht="38.25" x14ac:dyDescent="0.2">
      <c r="B34" s="505"/>
      <c r="C34" s="506">
        <v>1</v>
      </c>
      <c r="D34" s="506">
        <v>2</v>
      </c>
      <c r="E34" s="506">
        <v>5</v>
      </c>
      <c r="F34" s="506">
        <v>0</v>
      </c>
      <c r="G34" s="505" t="str">
        <f t="shared" si="71"/>
        <v>1.2.5.0</v>
      </c>
      <c r="H34" s="623" t="s">
        <v>608</v>
      </c>
      <c r="I34" s="826">
        <f t="shared" si="0"/>
        <v>40000</v>
      </c>
      <c r="J34" s="731">
        <f t="shared" si="1"/>
        <v>0</v>
      </c>
      <c r="K34" s="732">
        <f t="shared" si="3"/>
        <v>40000</v>
      </c>
      <c r="L34" s="897"/>
      <c r="M34" s="898"/>
      <c r="N34" s="43">
        <f>+N35</f>
        <v>0</v>
      </c>
      <c r="O34" s="43">
        <f t="shared" ref="O34:R34" si="80">+O35</f>
        <v>0</v>
      </c>
      <c r="P34" s="43">
        <f t="shared" si="80"/>
        <v>40000</v>
      </c>
      <c r="Q34" s="43">
        <f t="shared" si="80"/>
        <v>0</v>
      </c>
      <c r="R34" s="43">
        <f t="shared" si="80"/>
        <v>0</v>
      </c>
      <c r="S34" s="834">
        <f t="shared" si="5"/>
        <v>40000</v>
      </c>
      <c r="T34" s="43">
        <f t="shared" ref="T34:X34" si="81">+T35</f>
        <v>0</v>
      </c>
      <c r="U34" s="43">
        <f t="shared" si="81"/>
        <v>0</v>
      </c>
      <c r="V34" s="43">
        <f t="shared" si="81"/>
        <v>0</v>
      </c>
      <c r="W34" s="43">
        <f t="shared" si="81"/>
        <v>0</v>
      </c>
      <c r="X34" s="43">
        <f t="shared" si="81"/>
        <v>0</v>
      </c>
      <c r="Y34" s="43">
        <f t="shared" si="7"/>
        <v>0</v>
      </c>
      <c r="Z34" s="505"/>
      <c r="AC34" s="505"/>
      <c r="AD34" s="779"/>
      <c r="AE34" s="846"/>
      <c r="AF34" s="772"/>
      <c r="AG34" s="772"/>
      <c r="AH34" s="772"/>
      <c r="AI34" s="772"/>
      <c r="AJ34" s="772"/>
      <c r="AK34" s="772"/>
      <c r="AL34" s="772"/>
      <c r="AM34" s="772"/>
      <c r="AN34" s="773"/>
      <c r="AO34" s="784"/>
      <c r="AP34" s="911"/>
      <c r="AQ34" s="911"/>
      <c r="AR34" s="911"/>
      <c r="AS34" s="911"/>
      <c r="AT34" s="911"/>
      <c r="AU34" s="911"/>
      <c r="AV34" s="911"/>
      <c r="AW34" s="911"/>
      <c r="AX34" s="911"/>
      <c r="AY34" s="912">
        <f t="shared" si="21"/>
        <v>0</v>
      </c>
      <c r="AZ34" s="505"/>
      <c r="BB34" s="505"/>
      <c r="BC34" s="505"/>
      <c r="BD34" s="505"/>
      <c r="BE34" s="505"/>
      <c r="BF34" s="505"/>
      <c r="BG34" s="505"/>
      <c r="BH34" s="505"/>
      <c r="BI34" s="505"/>
    </row>
    <row r="35" spans="2:61" s="463" customFormat="1" x14ac:dyDescent="0.2">
      <c r="B35" s="490"/>
      <c r="C35" s="50">
        <v>1</v>
      </c>
      <c r="D35" s="50">
        <v>2</v>
      </c>
      <c r="E35" s="50">
        <v>5</v>
      </c>
      <c r="F35" s="50">
        <v>1</v>
      </c>
      <c r="G35" s="32" t="str">
        <f t="shared" si="71"/>
        <v>1.2.5.1</v>
      </c>
      <c r="H35" s="2" t="s">
        <v>609</v>
      </c>
      <c r="I35" s="827">
        <f t="shared" si="0"/>
        <v>40000</v>
      </c>
      <c r="J35" s="735">
        <f t="shared" si="1"/>
        <v>0</v>
      </c>
      <c r="K35" s="736">
        <f t="shared" si="3"/>
        <v>40000</v>
      </c>
      <c r="L35" s="894">
        <v>1</v>
      </c>
      <c r="M35" s="899">
        <f t="shared" ref="M35" si="82">100%-L35</f>
        <v>0</v>
      </c>
      <c r="N35" s="504">
        <v>0</v>
      </c>
      <c r="O35" s="504"/>
      <c r="P35" s="504">
        <v>40000</v>
      </c>
      <c r="Q35" s="504">
        <v>0</v>
      </c>
      <c r="R35" s="504"/>
      <c r="S35" s="835">
        <f t="shared" si="5"/>
        <v>40000</v>
      </c>
      <c r="T35" s="38"/>
      <c r="U35" s="38"/>
      <c r="V35" s="38"/>
      <c r="W35" s="38"/>
      <c r="X35" s="504"/>
      <c r="Y35" s="38">
        <f t="shared" si="7"/>
        <v>0</v>
      </c>
      <c r="Z35" s="490"/>
      <c r="AA35" s="622"/>
      <c r="AC35" s="724"/>
      <c r="AD35" s="778">
        <f>+I35/(BH35+1)</f>
        <v>6666.666666666667</v>
      </c>
      <c r="AE35" s="845"/>
      <c r="AF35" s="59"/>
      <c r="AG35" s="59"/>
      <c r="AH35" s="59"/>
      <c r="AI35" s="59">
        <v>6</v>
      </c>
      <c r="AJ35" s="59"/>
      <c r="AK35" s="59"/>
      <c r="AL35" s="59"/>
      <c r="AM35" s="59"/>
      <c r="AN35" s="771"/>
      <c r="AO35" s="337"/>
      <c r="AP35" s="910">
        <f t="shared" ref="AP35:AU35" si="83">+$AD35*AF35</f>
        <v>0</v>
      </c>
      <c r="AQ35" s="910">
        <f t="shared" si="83"/>
        <v>0</v>
      </c>
      <c r="AR35" s="910">
        <f t="shared" si="83"/>
        <v>0</v>
      </c>
      <c r="AS35" s="910">
        <f t="shared" si="83"/>
        <v>40000</v>
      </c>
      <c r="AT35" s="910">
        <f t="shared" si="83"/>
        <v>0</v>
      </c>
      <c r="AU35" s="910">
        <f t="shared" si="83"/>
        <v>0</v>
      </c>
      <c r="AV35" s="910"/>
      <c r="AW35" s="910"/>
      <c r="AX35" s="910"/>
      <c r="AY35" s="910">
        <f t="shared" si="21"/>
        <v>40000</v>
      </c>
      <c r="AZ35" s="786">
        <f>+AY35-I35</f>
        <v>0</v>
      </c>
      <c r="BA35" s="23" t="s">
        <v>433</v>
      </c>
      <c r="BB35" s="724" t="s">
        <v>442</v>
      </c>
      <c r="BC35" s="724" t="s">
        <v>440</v>
      </c>
      <c r="BD35" s="724"/>
      <c r="BE35" s="724"/>
      <c r="BF35" s="539">
        <v>43374</v>
      </c>
      <c r="BG35" s="539">
        <f t="shared" ref="BG35" si="84">EOMONTH(BF35,BH35)</f>
        <v>43555</v>
      </c>
      <c r="BH35" s="490">
        <v>5</v>
      </c>
      <c r="BI35" s="490"/>
    </row>
    <row r="36" spans="2:61" s="463" customFormat="1" x14ac:dyDescent="0.2">
      <c r="B36" s="490"/>
      <c r="C36" s="491">
        <v>1</v>
      </c>
      <c r="D36" s="491">
        <v>2</v>
      </c>
      <c r="E36" s="491">
        <v>9</v>
      </c>
      <c r="F36" s="491">
        <v>0</v>
      </c>
      <c r="G36" s="40" t="str">
        <f t="shared" si="71"/>
        <v>1.2.9.0</v>
      </c>
      <c r="H36" s="622" t="s">
        <v>429</v>
      </c>
      <c r="I36" s="827">
        <f t="shared" si="0"/>
        <v>200000</v>
      </c>
      <c r="J36" s="735">
        <f t="shared" si="1"/>
        <v>0</v>
      </c>
      <c r="K36" s="736">
        <f t="shared" si="3"/>
        <v>200000</v>
      </c>
      <c r="L36" s="900">
        <v>1</v>
      </c>
      <c r="M36" s="899">
        <f t="shared" si="15"/>
        <v>0</v>
      </c>
      <c r="N36" s="492">
        <f>+'1.2'!E31</f>
        <v>0</v>
      </c>
      <c r="O36" s="492">
        <v>80000</v>
      </c>
      <c r="P36" s="492">
        <v>80000</v>
      </c>
      <c r="Q36" s="492">
        <f>+'1.2'!H31</f>
        <v>20000</v>
      </c>
      <c r="R36" s="492">
        <f>+'1.2'!I31</f>
        <v>20000</v>
      </c>
      <c r="S36" s="835">
        <f t="shared" si="5"/>
        <v>200000</v>
      </c>
      <c r="T36" s="38"/>
      <c r="U36" s="38"/>
      <c r="V36" s="38"/>
      <c r="W36" s="38"/>
      <c r="X36" s="492"/>
      <c r="Y36" s="38">
        <f t="shared" si="7"/>
        <v>0</v>
      </c>
      <c r="Z36" s="490"/>
      <c r="AA36" s="622"/>
      <c r="AC36" s="722">
        <f>SUM(AE36:AL36)-(BH36+1)</f>
        <v>0</v>
      </c>
      <c r="AD36" s="778">
        <f>+I36/(BH36+1)</f>
        <v>6666.666666666667</v>
      </c>
      <c r="AE36" s="845"/>
      <c r="AF36" s="59"/>
      <c r="AG36" s="59">
        <v>6</v>
      </c>
      <c r="AH36" s="59">
        <v>6</v>
      </c>
      <c r="AI36" s="59">
        <v>6</v>
      </c>
      <c r="AJ36" s="59">
        <v>6</v>
      </c>
      <c r="AK36" s="59">
        <v>6</v>
      </c>
      <c r="AL36" s="59"/>
      <c r="AM36" s="59"/>
      <c r="AN36" s="771"/>
      <c r="AO36" s="337">
        <f t="shared" si="72"/>
        <v>0</v>
      </c>
      <c r="AP36" s="910">
        <f t="shared" si="79"/>
        <v>0</v>
      </c>
      <c r="AQ36" s="910">
        <f t="shared" ref="AQ36" si="85">+$AD36*AG36</f>
        <v>40000</v>
      </c>
      <c r="AR36" s="910">
        <f t="shared" si="73"/>
        <v>40000</v>
      </c>
      <c r="AS36" s="910">
        <f t="shared" si="74"/>
        <v>40000</v>
      </c>
      <c r="AT36" s="910">
        <f t="shared" si="75"/>
        <v>40000</v>
      </c>
      <c r="AU36" s="910">
        <v>10000</v>
      </c>
      <c r="AV36" s="910">
        <v>10000</v>
      </c>
      <c r="AW36" s="910">
        <v>20000</v>
      </c>
      <c r="AX36" s="910"/>
      <c r="AY36" s="910">
        <f t="shared" si="21"/>
        <v>200000</v>
      </c>
      <c r="AZ36" s="786">
        <f>+AY36-I36</f>
        <v>0</v>
      </c>
      <c r="BB36" s="490"/>
      <c r="BC36" s="490"/>
      <c r="BD36" s="490"/>
      <c r="BE36" s="490"/>
      <c r="BF36" s="539">
        <v>43101</v>
      </c>
      <c r="BG36" s="539">
        <f t="shared" si="78"/>
        <v>44012</v>
      </c>
      <c r="BH36" s="490">
        <v>29</v>
      </c>
      <c r="BI36" s="490"/>
    </row>
    <row r="37" spans="2:61" s="739" customFormat="1" x14ac:dyDescent="0.2">
      <c r="B37" s="737"/>
      <c r="C37" s="738">
        <v>1</v>
      </c>
      <c r="D37" s="738">
        <v>3</v>
      </c>
      <c r="E37" s="738">
        <v>0</v>
      </c>
      <c r="F37" s="738">
        <v>0</v>
      </c>
      <c r="G37" s="737" t="str">
        <f t="shared" si="11"/>
        <v>1.3.0.0</v>
      </c>
      <c r="H37" s="819" t="s">
        <v>581</v>
      </c>
      <c r="I37" s="823">
        <f t="shared" si="0"/>
        <v>2580000</v>
      </c>
      <c r="J37" s="740">
        <f t="shared" si="1"/>
        <v>0</v>
      </c>
      <c r="K37" s="741">
        <f t="shared" si="3"/>
        <v>2580000</v>
      </c>
      <c r="L37" s="890"/>
      <c r="M37" s="891"/>
      <c r="N37" s="53">
        <f>SUM(N38:N40)</f>
        <v>80000</v>
      </c>
      <c r="O37" s="53">
        <f t="shared" ref="O37:R37" si="86">SUM(O38:O40)</f>
        <v>1390000</v>
      </c>
      <c r="P37" s="53">
        <f t="shared" si="86"/>
        <v>1070000</v>
      </c>
      <c r="Q37" s="53">
        <f t="shared" si="86"/>
        <v>20000</v>
      </c>
      <c r="R37" s="53">
        <f t="shared" si="86"/>
        <v>20000</v>
      </c>
      <c r="S37" s="833">
        <f t="shared" si="5"/>
        <v>2580000</v>
      </c>
      <c r="T37" s="53">
        <f t="shared" ref="T37:X37" si="87">SUM(T38:T40)</f>
        <v>0</v>
      </c>
      <c r="U37" s="53">
        <f t="shared" si="87"/>
        <v>0</v>
      </c>
      <c r="V37" s="53">
        <f t="shared" si="87"/>
        <v>0</v>
      </c>
      <c r="W37" s="53">
        <f t="shared" si="87"/>
        <v>0</v>
      </c>
      <c r="X37" s="53">
        <f t="shared" si="87"/>
        <v>0</v>
      </c>
      <c r="Y37" s="53">
        <f t="shared" si="7"/>
        <v>0</v>
      </c>
      <c r="Z37" s="737">
        <f>+'Matriz de Resultados'!B31</f>
        <v>1.9</v>
      </c>
      <c r="AC37" s="737"/>
      <c r="AD37" s="776"/>
      <c r="AE37" s="843"/>
      <c r="AF37" s="767"/>
      <c r="AG37" s="767"/>
      <c r="AH37" s="767"/>
      <c r="AI37" s="767"/>
      <c r="AJ37" s="767"/>
      <c r="AK37" s="767"/>
      <c r="AL37" s="767"/>
      <c r="AM37" s="767"/>
      <c r="AN37" s="768"/>
      <c r="AO37" s="782"/>
      <c r="AP37" s="906"/>
      <c r="AQ37" s="906"/>
      <c r="AR37" s="906"/>
      <c r="AS37" s="906"/>
      <c r="AT37" s="906"/>
      <c r="AU37" s="906"/>
      <c r="AV37" s="906"/>
      <c r="AW37" s="906"/>
      <c r="AX37" s="906"/>
      <c r="AY37" s="907">
        <f t="shared" si="21"/>
        <v>0</v>
      </c>
      <c r="AZ37" s="737"/>
      <c r="BB37" s="737"/>
      <c r="BC37" s="737"/>
      <c r="BD37" s="737"/>
      <c r="BE37" s="737"/>
      <c r="BF37" s="737"/>
      <c r="BG37" s="737"/>
      <c r="BH37" s="737"/>
      <c r="BI37" s="737"/>
    </row>
    <row r="38" spans="2:61" ht="39" customHeight="1" x14ac:dyDescent="0.2">
      <c r="B38" s="947"/>
      <c r="C38" s="50">
        <v>1</v>
      </c>
      <c r="D38" s="50">
        <v>3</v>
      </c>
      <c r="E38" s="50">
        <v>1</v>
      </c>
      <c r="F38" s="50">
        <v>1</v>
      </c>
      <c r="G38" s="32" t="str">
        <f t="shared" si="11"/>
        <v>1.3.1.1</v>
      </c>
      <c r="H38" s="2" t="s">
        <v>435</v>
      </c>
      <c r="I38" s="825">
        <f t="shared" si="0"/>
        <v>120000</v>
      </c>
      <c r="J38" s="729">
        <f t="shared" si="1"/>
        <v>0</v>
      </c>
      <c r="K38" s="730">
        <f t="shared" si="3"/>
        <v>120000</v>
      </c>
      <c r="L38" s="894">
        <v>1</v>
      </c>
      <c r="M38" s="895">
        <f t="shared" si="15"/>
        <v>0</v>
      </c>
      <c r="N38" s="37">
        <v>80000</v>
      </c>
      <c r="O38" s="37">
        <v>40000</v>
      </c>
      <c r="P38" s="37"/>
      <c r="Q38" s="37"/>
      <c r="R38" s="37"/>
      <c r="S38" s="835">
        <f t="shared" si="5"/>
        <v>120000</v>
      </c>
      <c r="T38" s="38"/>
      <c r="U38" s="38"/>
      <c r="V38" s="38"/>
      <c r="W38" s="38"/>
      <c r="X38" s="37"/>
      <c r="Y38" s="38">
        <f t="shared" si="7"/>
        <v>0</v>
      </c>
      <c r="AC38" s="722">
        <f>SUM(AE38:AL38)-(BH38+1)</f>
        <v>0</v>
      </c>
      <c r="AD38" s="778">
        <f>+I38/(BH38+1)</f>
        <v>24000</v>
      </c>
      <c r="AF38" s="59">
        <v>3</v>
      </c>
      <c r="AG38" s="59">
        <v>2</v>
      </c>
      <c r="AO38" s="337">
        <f t="shared" ref="AO38:AO40" si="88">+$AD38*AE38</f>
        <v>0</v>
      </c>
      <c r="AP38" s="910">
        <v>80000</v>
      </c>
      <c r="AQ38" s="910">
        <v>40000</v>
      </c>
      <c r="AR38" s="910">
        <f t="shared" ref="AR38:AR40" si="89">+$AD38*AH38</f>
        <v>0</v>
      </c>
      <c r="AS38" s="910">
        <f t="shared" ref="AS38" si="90">+$AD38*AI38</f>
        <v>0</v>
      </c>
      <c r="AT38" s="910">
        <f t="shared" ref="AT38" si="91">+$AD38*AJ38</f>
        <v>0</v>
      </c>
      <c r="AU38" s="910">
        <f t="shared" ref="AU38:AU39" si="92">+$AD38*AK38</f>
        <v>0</v>
      </c>
      <c r="AV38" s="910">
        <f t="shared" ref="AV38:AW39" si="93">+$AD38*AL38</f>
        <v>0</v>
      </c>
      <c r="AW38" s="910">
        <f t="shared" si="93"/>
        <v>0</v>
      </c>
      <c r="AX38" s="910"/>
      <c r="AY38" s="910">
        <f t="shared" si="21"/>
        <v>120000</v>
      </c>
      <c r="AZ38" s="786">
        <f>+AY38-I38</f>
        <v>0</v>
      </c>
      <c r="BA38" s="23" t="s">
        <v>423</v>
      </c>
      <c r="BB38" s="722" t="s">
        <v>441</v>
      </c>
      <c r="BC38" s="722" t="s">
        <v>474</v>
      </c>
      <c r="BF38" s="539">
        <v>43009</v>
      </c>
      <c r="BG38" s="539">
        <f t="shared" ref="BG38:BG40" si="94">EOMONTH(BF38,BH38)</f>
        <v>43159</v>
      </c>
      <c r="BH38" s="722">
        <v>4</v>
      </c>
    </row>
    <row r="39" spans="2:61" ht="25.5" x14ac:dyDescent="0.2">
      <c r="B39" s="947"/>
      <c r="C39" s="50">
        <v>1</v>
      </c>
      <c r="D39" s="50">
        <v>3</v>
      </c>
      <c r="E39" s="50">
        <v>2</v>
      </c>
      <c r="F39" s="50">
        <v>1</v>
      </c>
      <c r="G39" s="32" t="str">
        <f t="shared" si="11"/>
        <v>1.3.2.1</v>
      </c>
      <c r="H39" s="2" t="s">
        <v>477</v>
      </c>
      <c r="I39" s="825">
        <f t="shared" si="0"/>
        <v>2380000</v>
      </c>
      <c r="J39" s="729">
        <f t="shared" si="1"/>
        <v>0</v>
      </c>
      <c r="K39" s="730">
        <f t="shared" si="3"/>
        <v>2380000</v>
      </c>
      <c r="L39" s="894">
        <v>1</v>
      </c>
      <c r="M39" s="895">
        <f t="shared" si="15"/>
        <v>0</v>
      </c>
      <c r="N39" s="37"/>
      <c r="O39" s="37">
        <f>+'1.3 ENV'!C8</f>
        <v>1350000</v>
      </c>
      <c r="P39" s="37">
        <f>+'1.3 ENV'!D8</f>
        <v>1030000</v>
      </c>
      <c r="Q39" s="37"/>
      <c r="R39" s="37"/>
      <c r="S39" s="835">
        <f t="shared" si="5"/>
        <v>2380000</v>
      </c>
      <c r="T39" s="38"/>
      <c r="U39" s="38"/>
      <c r="V39" s="38"/>
      <c r="W39" s="38"/>
      <c r="X39" s="37"/>
      <c r="Y39" s="38">
        <f t="shared" si="7"/>
        <v>0</v>
      </c>
      <c r="AC39" s="722">
        <f>SUM(AE39:AL39)-(BH39+1)</f>
        <v>0</v>
      </c>
      <c r="AD39" s="778">
        <f>+I39/(BH39+1)</f>
        <v>91538.461538461532</v>
      </c>
      <c r="AF39" s="59">
        <v>2</v>
      </c>
      <c r="AG39" s="59">
        <v>6</v>
      </c>
      <c r="AH39" s="59">
        <v>6</v>
      </c>
      <c r="AI39" s="59">
        <v>6</v>
      </c>
      <c r="AJ39" s="59">
        <v>6</v>
      </c>
      <c r="AO39" s="337">
        <f t="shared" si="88"/>
        <v>0</v>
      </c>
      <c r="AP39" s="910">
        <v>0</v>
      </c>
      <c r="AQ39" s="910">
        <v>500000</v>
      </c>
      <c r="AR39" s="910">
        <v>850000</v>
      </c>
      <c r="AS39" s="910">
        <v>530000</v>
      </c>
      <c r="AT39" s="910">
        <v>500000</v>
      </c>
      <c r="AU39" s="910">
        <f t="shared" si="92"/>
        <v>0</v>
      </c>
      <c r="AV39" s="910">
        <f t="shared" si="93"/>
        <v>0</v>
      </c>
      <c r="AW39" s="910">
        <f t="shared" si="93"/>
        <v>0</v>
      </c>
      <c r="AX39" s="910"/>
      <c r="AY39" s="910">
        <f t="shared" si="21"/>
        <v>2380000</v>
      </c>
      <c r="AZ39" s="786">
        <f>+AY39-I39</f>
        <v>0</v>
      </c>
      <c r="BA39" s="23" t="s">
        <v>132</v>
      </c>
      <c r="BB39" s="722" t="s">
        <v>438</v>
      </c>
      <c r="BF39" s="539">
        <v>43040</v>
      </c>
      <c r="BG39" s="539">
        <f t="shared" si="94"/>
        <v>43830</v>
      </c>
      <c r="BH39" s="722">
        <v>25</v>
      </c>
    </row>
    <row r="40" spans="2:61" x14ac:dyDescent="0.2">
      <c r="C40" s="50">
        <v>1</v>
      </c>
      <c r="D40" s="50">
        <v>3</v>
      </c>
      <c r="E40" s="50">
        <v>3</v>
      </c>
      <c r="F40" s="50">
        <v>1</v>
      </c>
      <c r="G40" s="32" t="str">
        <f t="shared" si="11"/>
        <v>1.3.3.1</v>
      </c>
      <c r="H40" s="2" t="s">
        <v>58</v>
      </c>
      <c r="I40" s="825">
        <f t="shared" si="0"/>
        <v>80000</v>
      </c>
      <c r="J40" s="729">
        <f t="shared" si="1"/>
        <v>0</v>
      </c>
      <c r="K40" s="730">
        <f t="shared" si="3"/>
        <v>80000</v>
      </c>
      <c r="L40" s="894">
        <v>1</v>
      </c>
      <c r="M40" s="895">
        <f t="shared" si="15"/>
        <v>0</v>
      </c>
      <c r="N40" s="37"/>
      <c r="O40" s="37"/>
      <c r="P40" s="37">
        <v>40000</v>
      </c>
      <c r="Q40" s="37">
        <v>20000</v>
      </c>
      <c r="R40" s="37">
        <v>20000</v>
      </c>
      <c r="S40" s="835">
        <f t="shared" si="5"/>
        <v>80000</v>
      </c>
      <c r="T40" s="38"/>
      <c r="U40" s="38"/>
      <c r="V40" s="38"/>
      <c r="W40" s="38"/>
      <c r="X40" s="37"/>
      <c r="Y40" s="38">
        <f t="shared" si="7"/>
        <v>0</v>
      </c>
      <c r="AC40" s="722">
        <f>SUM(AE40:AL40)-(BH40+1)</f>
        <v>-5</v>
      </c>
      <c r="AD40" s="778">
        <f>+I40/(BH40+1)</f>
        <v>2962.962962962963</v>
      </c>
      <c r="AI40" s="59">
        <v>5</v>
      </c>
      <c r="AJ40" s="59">
        <v>6</v>
      </c>
      <c r="AK40" s="59">
        <v>6</v>
      </c>
      <c r="AL40" s="59">
        <v>5</v>
      </c>
      <c r="AM40" s="59">
        <v>5</v>
      </c>
      <c r="AO40" s="337">
        <f t="shared" si="88"/>
        <v>0</v>
      </c>
      <c r="AP40" s="910">
        <f t="shared" ref="AP40" si="95">+$AD40*AF40</f>
        <v>0</v>
      </c>
      <c r="AQ40" s="910">
        <f t="shared" ref="AQ40" si="96">+$AD40*AG40</f>
        <v>0</v>
      </c>
      <c r="AR40" s="910">
        <f t="shared" si="89"/>
        <v>0</v>
      </c>
      <c r="AS40" s="910">
        <v>20000</v>
      </c>
      <c r="AT40" s="910">
        <v>20000</v>
      </c>
      <c r="AU40" s="910">
        <v>10000</v>
      </c>
      <c r="AV40" s="910">
        <v>10000</v>
      </c>
      <c r="AW40" s="910">
        <v>20000</v>
      </c>
      <c r="AX40" s="910"/>
      <c r="AY40" s="910">
        <f t="shared" si="21"/>
        <v>80000</v>
      </c>
      <c r="AZ40" s="786">
        <f>+AY40-I40</f>
        <v>0</v>
      </c>
      <c r="BA40" s="23" t="s">
        <v>433</v>
      </c>
      <c r="BB40" s="722" t="s">
        <v>442</v>
      </c>
      <c r="BC40" s="722" t="s">
        <v>440</v>
      </c>
      <c r="BF40" s="539">
        <v>43497</v>
      </c>
      <c r="BG40" s="539">
        <f t="shared" si="94"/>
        <v>44316</v>
      </c>
      <c r="BH40" s="722">
        <v>26</v>
      </c>
    </row>
    <row r="41" spans="2:61" s="41" customFormat="1" ht="38.25" x14ac:dyDescent="0.2">
      <c r="B41" s="46"/>
      <c r="C41" s="48">
        <v>2</v>
      </c>
      <c r="D41" s="48">
        <v>0</v>
      </c>
      <c r="E41" s="48">
        <v>0</v>
      </c>
      <c r="F41" s="48">
        <v>0</v>
      </c>
      <c r="G41" s="47" t="str">
        <f t="shared" si="11"/>
        <v>2.0.0.0</v>
      </c>
      <c r="H41" s="818" t="s">
        <v>92</v>
      </c>
      <c r="I41" s="821">
        <f t="shared" si="0"/>
        <v>7950000</v>
      </c>
      <c r="J41" s="813">
        <f t="shared" si="1"/>
        <v>2500000</v>
      </c>
      <c r="K41" s="822">
        <f t="shared" si="3"/>
        <v>10450000</v>
      </c>
      <c r="L41" s="888"/>
      <c r="M41" s="889"/>
      <c r="N41" s="811">
        <f>+N42+N52</f>
        <v>737500</v>
      </c>
      <c r="O41" s="811">
        <f t="shared" ref="O41:R41" si="97">+O42+O52</f>
        <v>3913000</v>
      </c>
      <c r="P41" s="811">
        <f t="shared" si="97"/>
        <v>3272000</v>
      </c>
      <c r="Q41" s="811">
        <f t="shared" si="97"/>
        <v>27500</v>
      </c>
      <c r="R41" s="811">
        <f t="shared" si="97"/>
        <v>0</v>
      </c>
      <c r="S41" s="832">
        <f t="shared" si="5"/>
        <v>7950000</v>
      </c>
      <c r="T41" s="811">
        <f t="shared" ref="T41" si="98">+T42+T52</f>
        <v>0</v>
      </c>
      <c r="U41" s="811">
        <f t="shared" ref="U41" si="99">+U42+U52</f>
        <v>0</v>
      </c>
      <c r="V41" s="811">
        <f t="shared" ref="V41" si="100">+V42+V52</f>
        <v>2500000</v>
      </c>
      <c r="W41" s="811">
        <f t="shared" ref="W41:X41" si="101">+W42+W52</f>
        <v>0</v>
      </c>
      <c r="X41" s="811">
        <f t="shared" si="101"/>
        <v>0</v>
      </c>
      <c r="Y41" s="811">
        <f t="shared" si="7"/>
        <v>2500000</v>
      </c>
      <c r="Z41" s="837"/>
      <c r="AA41" s="812"/>
      <c r="AD41" s="814"/>
      <c r="AE41" s="841"/>
      <c r="AF41" s="815"/>
      <c r="AG41" s="815"/>
      <c r="AH41" s="815"/>
      <c r="AI41" s="815"/>
      <c r="AJ41" s="815"/>
      <c r="AK41" s="815"/>
      <c r="AL41" s="815"/>
      <c r="AM41" s="815"/>
      <c r="AN41" s="842"/>
      <c r="AO41" s="816"/>
      <c r="AP41" s="905"/>
      <c r="AQ41" s="905"/>
      <c r="AR41" s="905"/>
      <c r="AS41" s="905"/>
      <c r="AT41" s="905"/>
      <c r="AU41" s="905"/>
      <c r="AV41" s="905"/>
      <c r="AW41" s="905"/>
      <c r="AX41" s="905"/>
      <c r="AY41" s="815">
        <f t="shared" si="21"/>
        <v>0</v>
      </c>
    </row>
    <row r="42" spans="2:61" s="54" customFormat="1" ht="25.5" x14ac:dyDescent="0.2">
      <c r="B42" s="51"/>
      <c r="C42" s="52">
        <v>2</v>
      </c>
      <c r="D42" s="52">
        <v>1</v>
      </c>
      <c r="E42" s="52">
        <v>0</v>
      </c>
      <c r="F42" s="52">
        <v>0</v>
      </c>
      <c r="G42" s="51" t="str">
        <f t="shared" si="11"/>
        <v>2.1.0.0</v>
      </c>
      <c r="H42" s="819" t="s">
        <v>44</v>
      </c>
      <c r="I42" s="828">
        <f t="shared" si="0"/>
        <v>6450000</v>
      </c>
      <c r="J42" s="725">
        <f t="shared" si="1"/>
        <v>2500000</v>
      </c>
      <c r="K42" s="726">
        <f t="shared" si="3"/>
        <v>8950000</v>
      </c>
      <c r="L42" s="901"/>
      <c r="M42" s="902"/>
      <c r="N42" s="53">
        <f>+N43+N47+N50</f>
        <v>580000</v>
      </c>
      <c r="O42" s="53">
        <f t="shared" ref="O42:R42" si="102">+O43+O47+O50</f>
        <v>3133000</v>
      </c>
      <c r="P42" s="53">
        <f t="shared" si="102"/>
        <v>2732000</v>
      </c>
      <c r="Q42" s="53">
        <f t="shared" si="102"/>
        <v>5000</v>
      </c>
      <c r="R42" s="53">
        <f t="shared" si="102"/>
        <v>0</v>
      </c>
      <c r="S42" s="833">
        <f t="shared" si="5"/>
        <v>6450000</v>
      </c>
      <c r="T42" s="53">
        <f t="shared" ref="T42" si="103">+T43+T47+T50</f>
        <v>0</v>
      </c>
      <c r="U42" s="53">
        <f t="shared" ref="U42" si="104">+U43+U47+U50</f>
        <v>0</v>
      </c>
      <c r="V42" s="53">
        <f t="shared" ref="V42" si="105">+V43+V47+V50</f>
        <v>2500000</v>
      </c>
      <c r="W42" s="53">
        <f t="shared" ref="W42:X42" si="106">+W43+W47+W50</f>
        <v>0</v>
      </c>
      <c r="X42" s="53">
        <f t="shared" si="106"/>
        <v>0</v>
      </c>
      <c r="Y42" s="53">
        <f t="shared" si="7"/>
        <v>2500000</v>
      </c>
      <c r="Z42" s="840"/>
      <c r="AC42" s="51"/>
      <c r="AD42" s="780"/>
      <c r="AE42" s="847"/>
      <c r="AF42" s="774"/>
      <c r="AG42" s="774"/>
      <c r="AH42" s="774"/>
      <c r="AI42" s="774"/>
      <c r="AJ42" s="774"/>
      <c r="AK42" s="774"/>
      <c r="AL42" s="774"/>
      <c r="AM42" s="774"/>
      <c r="AN42" s="775"/>
      <c r="AO42" s="785"/>
      <c r="AP42" s="913"/>
      <c r="AQ42" s="913"/>
      <c r="AR42" s="913"/>
      <c r="AS42" s="913"/>
      <c r="AT42" s="913"/>
      <c r="AU42" s="913"/>
      <c r="AV42" s="913"/>
      <c r="AW42" s="913"/>
      <c r="AX42" s="913"/>
      <c r="AY42" s="914">
        <f t="shared" si="21"/>
        <v>0</v>
      </c>
      <c r="AZ42" s="51"/>
      <c r="BB42" s="51"/>
      <c r="BC42" s="51"/>
      <c r="BD42" s="51"/>
      <c r="BE42" s="51"/>
      <c r="BF42" s="51"/>
      <c r="BG42" s="51"/>
      <c r="BH42" s="51"/>
      <c r="BI42" s="51"/>
    </row>
    <row r="43" spans="2:61" s="507" customFormat="1" x14ac:dyDescent="0.2">
      <c r="B43" s="505"/>
      <c r="C43" s="506">
        <v>2</v>
      </c>
      <c r="D43" s="506">
        <v>1</v>
      </c>
      <c r="E43" s="506">
        <v>1</v>
      </c>
      <c r="F43" s="506">
        <v>0</v>
      </c>
      <c r="G43" s="505" t="str">
        <f t="shared" si="11"/>
        <v>2.1.1.0</v>
      </c>
      <c r="H43" s="623" t="s">
        <v>582</v>
      </c>
      <c r="I43" s="826">
        <f>SUM(I44:I46)</f>
        <v>5500000</v>
      </c>
      <c r="J43" s="731">
        <f t="shared" ref="J43:K43" si="107">SUM(J44:J46)</f>
        <v>2500000</v>
      </c>
      <c r="K43" s="732">
        <f t="shared" si="107"/>
        <v>8000000</v>
      </c>
      <c r="L43" s="897"/>
      <c r="M43" s="898"/>
      <c r="N43" s="43">
        <f>SUM(N44:N46)</f>
        <v>490000</v>
      </c>
      <c r="O43" s="43">
        <f t="shared" ref="O43:R43" si="108">SUM(O44:O46)</f>
        <v>2660000</v>
      </c>
      <c r="P43" s="43">
        <f t="shared" si="108"/>
        <v>2350000</v>
      </c>
      <c r="Q43" s="43">
        <f t="shared" si="108"/>
        <v>0</v>
      </c>
      <c r="R43" s="43">
        <f t="shared" si="108"/>
        <v>0</v>
      </c>
      <c r="S43" s="834">
        <f t="shared" si="5"/>
        <v>5500000</v>
      </c>
      <c r="T43" s="43">
        <f t="shared" ref="T43:W43" si="109">SUM(T44:T46)</f>
        <v>0</v>
      </c>
      <c r="U43" s="43">
        <f t="shared" si="109"/>
        <v>0</v>
      </c>
      <c r="V43" s="43">
        <f t="shared" si="109"/>
        <v>2500000</v>
      </c>
      <c r="W43" s="43">
        <f t="shared" si="109"/>
        <v>0</v>
      </c>
      <c r="X43" s="43">
        <f t="shared" ref="X43" si="110">SUM(X44:X46)</f>
        <v>0</v>
      </c>
      <c r="Y43" s="43">
        <f t="shared" si="7"/>
        <v>2500000</v>
      </c>
      <c r="Z43" s="505">
        <v>2.1</v>
      </c>
      <c r="AC43" s="505"/>
      <c r="AD43" s="779"/>
      <c r="AE43" s="846"/>
      <c r="AF43" s="772"/>
      <c r="AG43" s="772"/>
      <c r="AH43" s="772"/>
      <c r="AI43" s="772"/>
      <c r="AJ43" s="772"/>
      <c r="AK43" s="772"/>
      <c r="AL43" s="772"/>
      <c r="AM43" s="772"/>
      <c r="AN43" s="773"/>
      <c r="AO43" s="784"/>
      <c r="AP43" s="911"/>
      <c r="AQ43" s="911"/>
      <c r="AR43" s="911"/>
      <c r="AS43" s="911"/>
      <c r="AT43" s="911"/>
      <c r="AU43" s="911"/>
      <c r="AV43" s="911"/>
      <c r="AW43" s="911"/>
      <c r="AX43" s="911"/>
      <c r="AY43" s="912">
        <f t="shared" si="21"/>
        <v>0</v>
      </c>
      <c r="AZ43" s="505"/>
      <c r="BB43" s="505"/>
      <c r="BC43" s="505"/>
      <c r="BD43" s="505"/>
      <c r="BE43" s="505"/>
      <c r="BF43" s="505"/>
      <c r="BG43" s="505"/>
      <c r="BH43" s="505"/>
      <c r="BI43" s="505"/>
    </row>
    <row r="44" spans="2:61" ht="25.5" x14ac:dyDescent="0.2">
      <c r="C44" s="50">
        <v>2</v>
      </c>
      <c r="D44" s="50">
        <v>1</v>
      </c>
      <c r="E44" s="50">
        <v>1</v>
      </c>
      <c r="F44" s="50">
        <v>1</v>
      </c>
      <c r="G44" s="32" t="str">
        <f t="shared" si="11"/>
        <v>2.1.1.1</v>
      </c>
      <c r="H44" s="2" t="s">
        <v>479</v>
      </c>
      <c r="I44" s="825">
        <f t="shared" ref="I44:I82" si="111">+S44</f>
        <v>450000</v>
      </c>
      <c r="J44" s="729">
        <f t="shared" ref="J44:J82" si="112">+Y44</f>
        <v>0</v>
      </c>
      <c r="K44" s="730">
        <f t="shared" si="3"/>
        <v>450000</v>
      </c>
      <c r="L44" s="894">
        <v>1</v>
      </c>
      <c r="M44" s="895">
        <f t="shared" si="15"/>
        <v>0</v>
      </c>
      <c r="N44" s="37">
        <v>450000</v>
      </c>
      <c r="O44" s="37">
        <v>0</v>
      </c>
      <c r="P44" s="37">
        <v>0</v>
      </c>
      <c r="Q44" s="37">
        <v>0</v>
      </c>
      <c r="R44" s="37"/>
      <c r="S44" s="835">
        <f t="shared" si="5"/>
        <v>450000</v>
      </c>
      <c r="T44" s="38"/>
      <c r="U44" s="38"/>
      <c r="V44" s="38"/>
      <c r="W44" s="38"/>
      <c r="X44" s="37"/>
      <c r="Y44" s="38">
        <f t="shared" si="7"/>
        <v>0</v>
      </c>
      <c r="AA44" s="25"/>
      <c r="AB44" s="24"/>
      <c r="AC44" s="722">
        <f>SUM(AE44:AL44)-(BH44+1)</f>
        <v>0</v>
      </c>
      <c r="AD44" s="778">
        <f>+I44/(BH44+1)</f>
        <v>225000</v>
      </c>
      <c r="AF44" s="59">
        <v>2</v>
      </c>
      <c r="AO44" s="337">
        <f t="shared" ref="AO44:AO46" si="113">+$AD44*AE44</f>
        <v>0</v>
      </c>
      <c r="AP44" s="910">
        <f t="shared" ref="AP44:AP45" si="114">+$AD44*AF44</f>
        <v>450000</v>
      </c>
      <c r="AQ44" s="910">
        <f t="shared" ref="AQ44" si="115">+$AD44*AG44</f>
        <v>0</v>
      </c>
      <c r="AR44" s="910">
        <f t="shared" ref="AR44" si="116">+$AD44*AH44</f>
        <v>0</v>
      </c>
      <c r="AS44" s="910">
        <f t="shared" ref="AS44" si="117">+$AD44*AI44</f>
        <v>0</v>
      </c>
      <c r="AT44" s="910">
        <f t="shared" ref="AT44" si="118">+$AD44*AJ44</f>
        <v>0</v>
      </c>
      <c r="AU44" s="910">
        <f t="shared" ref="AU44:AU46" si="119">+$AD44*AK44</f>
        <v>0</v>
      </c>
      <c r="AV44" s="910">
        <f>+$AD44*AL44</f>
        <v>0</v>
      </c>
      <c r="AW44" s="910">
        <f>+$AD44*AM44</f>
        <v>0</v>
      </c>
      <c r="AX44" s="910"/>
      <c r="AY44" s="910">
        <f t="shared" si="21"/>
        <v>450000</v>
      </c>
      <c r="AZ44" s="786">
        <f>+AY44-I44</f>
        <v>0</v>
      </c>
      <c r="BA44" s="23" t="s">
        <v>423</v>
      </c>
      <c r="BB44" s="722" t="s">
        <v>441</v>
      </c>
      <c r="BC44" s="722" t="s">
        <v>474</v>
      </c>
      <c r="BF44" s="539">
        <v>43040</v>
      </c>
      <c r="BG44" s="539">
        <f t="shared" ref="BG44:BG51" si="120">EOMONTH(BF44,BH44)</f>
        <v>43100</v>
      </c>
      <c r="BH44" s="722">
        <v>1</v>
      </c>
    </row>
    <row r="45" spans="2:61" ht="38.25" x14ac:dyDescent="0.2">
      <c r="C45" s="50">
        <v>2</v>
      </c>
      <c r="D45" s="50">
        <v>1</v>
      </c>
      <c r="E45" s="50">
        <v>1</v>
      </c>
      <c r="F45" s="50">
        <v>2</v>
      </c>
      <c r="G45" s="32" t="str">
        <f t="shared" si="11"/>
        <v>2.1.1.2</v>
      </c>
      <c r="H45" s="2" t="s">
        <v>325</v>
      </c>
      <c r="I45" s="825">
        <f t="shared" si="111"/>
        <v>4550000</v>
      </c>
      <c r="J45" s="729">
        <f t="shared" si="112"/>
        <v>2500000</v>
      </c>
      <c r="K45" s="730">
        <f t="shared" si="3"/>
        <v>7050000</v>
      </c>
      <c r="L45" s="894">
        <v>0</v>
      </c>
      <c r="M45" s="895">
        <f t="shared" si="15"/>
        <v>1</v>
      </c>
      <c r="N45" s="37"/>
      <c r="O45" s="37">
        <v>2500000</v>
      </c>
      <c r="P45" s="37">
        <v>2050000</v>
      </c>
      <c r="Q45" s="37">
        <v>0</v>
      </c>
      <c r="R45" s="37"/>
      <c r="S45" s="835">
        <f t="shared" si="5"/>
        <v>4550000</v>
      </c>
      <c r="T45" s="38"/>
      <c r="U45" s="38"/>
      <c r="V45" s="38">
        <v>2500000</v>
      </c>
      <c r="W45" s="38"/>
      <c r="X45" s="37"/>
      <c r="Y45" s="38">
        <f t="shared" si="7"/>
        <v>2500000</v>
      </c>
      <c r="AA45" s="25"/>
      <c r="AB45" s="24"/>
      <c r="AC45" s="722">
        <f>SUM(AE45:AL45)-(BH45+1)</f>
        <v>0</v>
      </c>
      <c r="AD45" s="778">
        <f>+I45/(BH45+1)</f>
        <v>252777.77777777778</v>
      </c>
      <c r="AH45" s="59">
        <v>6</v>
      </c>
      <c r="AI45" s="59">
        <v>6</v>
      </c>
      <c r="AJ45" s="59">
        <v>6</v>
      </c>
      <c r="AO45" s="337">
        <f t="shared" si="113"/>
        <v>0</v>
      </c>
      <c r="AP45" s="910">
        <f t="shared" si="114"/>
        <v>0</v>
      </c>
      <c r="AQ45" s="910">
        <v>800000</v>
      </c>
      <c r="AR45" s="910">
        <v>1700000</v>
      </c>
      <c r="AS45" s="910">
        <v>1500000</v>
      </c>
      <c r="AT45" s="910">
        <v>550000</v>
      </c>
      <c r="AU45" s="910">
        <f t="shared" si="119"/>
        <v>0</v>
      </c>
      <c r="AV45" s="910">
        <f t="shared" ref="AV45:AW46" si="121">+$AD45*AL45</f>
        <v>0</v>
      </c>
      <c r="AW45" s="910">
        <f t="shared" si="121"/>
        <v>0</v>
      </c>
      <c r="AX45" s="910"/>
      <c r="AY45" s="910">
        <f t="shared" si="21"/>
        <v>4550000</v>
      </c>
      <c r="AZ45" s="786">
        <f>+AY45-I45</f>
        <v>0</v>
      </c>
      <c r="BA45" s="23" t="s">
        <v>432</v>
      </c>
      <c r="BB45" s="722" t="s">
        <v>155</v>
      </c>
      <c r="BC45" s="722" t="s">
        <v>474</v>
      </c>
      <c r="BD45" s="539">
        <v>43070</v>
      </c>
      <c r="BE45" s="722">
        <v>6</v>
      </c>
      <c r="BF45" s="539">
        <v>43282</v>
      </c>
      <c r="BG45" s="539">
        <f t="shared" si="120"/>
        <v>43830</v>
      </c>
      <c r="BH45" s="722">
        <v>17</v>
      </c>
    </row>
    <row r="46" spans="2:61" ht="38.25" x14ac:dyDescent="0.2">
      <c r="C46" s="50">
        <v>2</v>
      </c>
      <c r="D46" s="50">
        <v>1</v>
      </c>
      <c r="E46" s="50">
        <v>1</v>
      </c>
      <c r="F46" s="50">
        <v>3</v>
      </c>
      <c r="G46" s="32" t="str">
        <f t="shared" si="11"/>
        <v>2.1.1.3</v>
      </c>
      <c r="H46" s="2" t="s">
        <v>483</v>
      </c>
      <c r="I46" s="825">
        <f t="shared" si="111"/>
        <v>500000</v>
      </c>
      <c r="J46" s="729">
        <f t="shared" si="112"/>
        <v>0</v>
      </c>
      <c r="K46" s="730">
        <f t="shared" si="3"/>
        <v>500000</v>
      </c>
      <c r="L46" s="894">
        <v>1</v>
      </c>
      <c r="M46" s="895">
        <f t="shared" si="15"/>
        <v>0</v>
      </c>
      <c r="N46" s="37">
        <v>40000</v>
      </c>
      <c r="O46" s="37">
        <v>160000</v>
      </c>
      <c r="P46" s="37">
        <v>300000</v>
      </c>
      <c r="Q46" s="37">
        <v>0</v>
      </c>
      <c r="R46" s="37"/>
      <c r="S46" s="835">
        <f t="shared" si="5"/>
        <v>500000</v>
      </c>
      <c r="T46" s="38"/>
      <c r="U46" s="38"/>
      <c r="V46" s="38"/>
      <c r="W46" s="38"/>
      <c r="X46" s="37"/>
      <c r="Y46" s="38">
        <f t="shared" si="7"/>
        <v>0</v>
      </c>
      <c r="AA46" s="25"/>
      <c r="AB46" s="24"/>
      <c r="AC46" s="722">
        <f>SUM(AE46:AL46)-(BH46+1)</f>
        <v>0</v>
      </c>
      <c r="AD46" s="778">
        <f>+I46/(BH46+1)</f>
        <v>18518.518518518518</v>
      </c>
      <c r="AF46" s="59">
        <v>3</v>
      </c>
      <c r="AG46" s="59">
        <v>6</v>
      </c>
      <c r="AH46" s="59">
        <v>6</v>
      </c>
      <c r="AI46" s="59">
        <v>6</v>
      </c>
      <c r="AJ46" s="59">
        <v>6</v>
      </c>
      <c r="AO46" s="337">
        <f t="shared" si="113"/>
        <v>0</v>
      </c>
      <c r="AP46" s="910">
        <v>40000</v>
      </c>
      <c r="AQ46" s="910">
        <v>80000</v>
      </c>
      <c r="AR46" s="910">
        <v>80000</v>
      </c>
      <c r="AS46" s="910">
        <v>150000</v>
      </c>
      <c r="AT46" s="910">
        <v>150000</v>
      </c>
      <c r="AU46" s="910">
        <f t="shared" si="119"/>
        <v>0</v>
      </c>
      <c r="AV46" s="910">
        <f t="shared" si="121"/>
        <v>0</v>
      </c>
      <c r="AW46" s="910">
        <f t="shared" si="121"/>
        <v>0</v>
      </c>
      <c r="AX46" s="910"/>
      <c r="AY46" s="910">
        <f t="shared" si="21"/>
        <v>500000</v>
      </c>
      <c r="AZ46" s="786">
        <f>+AY46-I46</f>
        <v>0</v>
      </c>
      <c r="BA46" s="23" t="s">
        <v>421</v>
      </c>
      <c r="BB46" s="722" t="s">
        <v>155</v>
      </c>
      <c r="BC46" s="722" t="s">
        <v>474</v>
      </c>
      <c r="BF46" s="539">
        <v>43009</v>
      </c>
      <c r="BG46" s="539">
        <f t="shared" si="120"/>
        <v>43830</v>
      </c>
      <c r="BH46" s="722">
        <v>26</v>
      </c>
    </row>
    <row r="47" spans="2:61" s="507" customFormat="1" x14ac:dyDescent="0.2">
      <c r="B47" s="505"/>
      <c r="C47" s="506">
        <v>2</v>
      </c>
      <c r="D47" s="506">
        <v>1</v>
      </c>
      <c r="E47" s="506">
        <v>2</v>
      </c>
      <c r="F47" s="506">
        <v>0</v>
      </c>
      <c r="G47" s="505" t="str">
        <f t="shared" ref="G47" si="122">CONCATENATE(C47,".",D47,".",E47,".",F47)</f>
        <v>2.1.2.0</v>
      </c>
      <c r="H47" s="623" t="s">
        <v>583</v>
      </c>
      <c r="I47" s="826">
        <f t="shared" si="111"/>
        <v>854000</v>
      </c>
      <c r="J47" s="731">
        <f t="shared" si="112"/>
        <v>0</v>
      </c>
      <c r="K47" s="732">
        <f t="shared" si="3"/>
        <v>854000</v>
      </c>
      <c r="L47" s="897"/>
      <c r="M47" s="898"/>
      <c r="N47" s="43">
        <f>SUM(N48:N49)</f>
        <v>90000</v>
      </c>
      <c r="O47" s="43">
        <f t="shared" ref="O47:R47" si="123">SUM(O48:O49)</f>
        <v>425000</v>
      </c>
      <c r="P47" s="43">
        <f t="shared" si="123"/>
        <v>334000</v>
      </c>
      <c r="Q47" s="43">
        <f t="shared" si="123"/>
        <v>5000</v>
      </c>
      <c r="R47" s="43">
        <f t="shared" si="123"/>
        <v>0</v>
      </c>
      <c r="S47" s="834">
        <f t="shared" si="5"/>
        <v>854000</v>
      </c>
      <c r="T47" s="43">
        <f t="shared" ref="T47:W47" si="124">SUM(T48:T49)</f>
        <v>0</v>
      </c>
      <c r="U47" s="43">
        <f t="shared" si="124"/>
        <v>0</v>
      </c>
      <c r="V47" s="43">
        <f t="shared" si="124"/>
        <v>0</v>
      </c>
      <c r="W47" s="43">
        <f t="shared" si="124"/>
        <v>0</v>
      </c>
      <c r="X47" s="43">
        <f t="shared" ref="X47" si="125">SUM(X48:X49)</f>
        <v>0</v>
      </c>
      <c r="Y47" s="43">
        <f t="shared" si="7"/>
        <v>0</v>
      </c>
      <c r="Z47" s="505"/>
      <c r="AC47" s="505"/>
      <c r="AD47" s="779"/>
      <c r="AE47" s="846"/>
      <c r="AF47" s="772"/>
      <c r="AG47" s="772"/>
      <c r="AH47" s="772"/>
      <c r="AI47" s="772"/>
      <c r="AJ47" s="772"/>
      <c r="AK47" s="772"/>
      <c r="AL47" s="772"/>
      <c r="AM47" s="772"/>
      <c r="AN47" s="773"/>
      <c r="AO47" s="784"/>
      <c r="AP47" s="911"/>
      <c r="AQ47" s="911"/>
      <c r="AR47" s="911"/>
      <c r="AS47" s="911"/>
      <c r="AT47" s="911"/>
      <c r="AU47" s="911"/>
      <c r="AV47" s="911"/>
      <c r="AW47" s="911"/>
      <c r="AX47" s="911"/>
      <c r="AY47" s="912">
        <f t="shared" si="21"/>
        <v>0</v>
      </c>
      <c r="AZ47" s="505"/>
      <c r="BB47" s="505"/>
      <c r="BC47" s="505"/>
      <c r="BD47" s="505"/>
      <c r="BE47" s="505"/>
      <c r="BF47" s="505"/>
      <c r="BG47" s="505"/>
      <c r="BH47" s="505"/>
      <c r="BI47" s="505"/>
    </row>
    <row r="48" spans="2:61" ht="25.5" x14ac:dyDescent="0.2">
      <c r="C48" s="50">
        <v>2</v>
      </c>
      <c r="D48" s="50">
        <v>1</v>
      </c>
      <c r="E48" s="50">
        <v>2</v>
      </c>
      <c r="F48" s="50">
        <v>1</v>
      </c>
      <c r="G48" s="32" t="str">
        <f>CONCATENATE(C46,".",D46,".",E46,".",F48)</f>
        <v>2.1.1.1</v>
      </c>
      <c r="H48" s="2" t="s">
        <v>324</v>
      </c>
      <c r="I48" s="825">
        <f t="shared" si="111"/>
        <v>504000</v>
      </c>
      <c r="J48" s="729">
        <f t="shared" si="112"/>
        <v>0</v>
      </c>
      <c r="K48" s="730">
        <f t="shared" si="3"/>
        <v>504000</v>
      </c>
      <c r="L48" s="894">
        <v>1</v>
      </c>
      <c r="M48" s="895">
        <f t="shared" si="15"/>
        <v>0</v>
      </c>
      <c r="N48" s="37">
        <v>60000</v>
      </c>
      <c r="O48" s="37">
        <v>250000</v>
      </c>
      <c r="P48" s="37">
        <v>194000</v>
      </c>
      <c r="Q48" s="37">
        <v>0</v>
      </c>
      <c r="R48" s="37"/>
      <c r="S48" s="835">
        <f t="shared" si="5"/>
        <v>504000</v>
      </c>
      <c r="T48" s="38"/>
      <c r="U48" s="38"/>
      <c r="V48" s="38"/>
      <c r="W48" s="38"/>
      <c r="X48" s="37"/>
      <c r="Y48" s="38">
        <f t="shared" si="7"/>
        <v>0</v>
      </c>
      <c r="Z48" s="839">
        <v>2.2000000000000002</v>
      </c>
      <c r="AA48" s="25"/>
      <c r="AB48" s="24"/>
      <c r="AC48" s="722">
        <f>SUM(AE48:AL48)-(BH48+1)</f>
        <v>0</v>
      </c>
      <c r="AD48" s="778">
        <f>+I48/(BH48+1)</f>
        <v>14000</v>
      </c>
      <c r="AF48" s="59">
        <v>4</v>
      </c>
      <c r="AG48" s="59">
        <v>6</v>
      </c>
      <c r="AH48" s="59">
        <v>6</v>
      </c>
      <c r="AI48" s="59">
        <v>6</v>
      </c>
      <c r="AJ48" s="59">
        <v>6</v>
      </c>
      <c r="AK48" s="59">
        <v>6</v>
      </c>
      <c r="AL48" s="59">
        <v>2</v>
      </c>
      <c r="AO48" s="337">
        <f t="shared" ref="AO48:AO49" si="126">+$AD48*AE48</f>
        <v>0</v>
      </c>
      <c r="AP48" s="910">
        <v>60000</v>
      </c>
      <c r="AQ48" s="910">
        <v>125000</v>
      </c>
      <c r="AR48" s="910">
        <v>125000</v>
      </c>
      <c r="AS48" s="910">
        <v>97000</v>
      </c>
      <c r="AT48" s="910">
        <v>97000</v>
      </c>
      <c r="AU48" s="910">
        <v>0</v>
      </c>
      <c r="AV48" s="910">
        <v>0</v>
      </c>
      <c r="AW48" s="910">
        <f t="shared" ref="AV48:AW49" si="127">+$AD48*AM48</f>
        <v>0</v>
      </c>
      <c r="AX48" s="910"/>
      <c r="AY48" s="910">
        <f t="shared" si="21"/>
        <v>504000</v>
      </c>
      <c r="AZ48" s="786">
        <f>+AY48-I48</f>
        <v>0</v>
      </c>
      <c r="BA48" s="23" t="s">
        <v>178</v>
      </c>
      <c r="BF48" s="539">
        <v>42979</v>
      </c>
      <c r="BG48" s="539">
        <f t="shared" si="120"/>
        <v>44074</v>
      </c>
      <c r="BH48" s="722">
        <v>35</v>
      </c>
    </row>
    <row r="49" spans="2:61" ht="25.5" x14ac:dyDescent="0.2">
      <c r="C49" s="23">
        <v>2</v>
      </c>
      <c r="D49" s="23">
        <v>1</v>
      </c>
      <c r="E49" s="23">
        <v>2</v>
      </c>
      <c r="F49" s="50">
        <v>2</v>
      </c>
      <c r="G49" s="32" t="str">
        <f>CONCATENATE(C48,".",D48,".",E48,".",F49)</f>
        <v>2.1.2.2</v>
      </c>
      <c r="H49" s="2" t="s">
        <v>407</v>
      </c>
      <c r="I49" s="825">
        <f t="shared" si="111"/>
        <v>350000</v>
      </c>
      <c r="J49" s="729">
        <f t="shared" si="112"/>
        <v>0</v>
      </c>
      <c r="K49" s="730">
        <f t="shared" si="3"/>
        <v>350000</v>
      </c>
      <c r="L49" s="894">
        <v>1</v>
      </c>
      <c r="M49" s="903">
        <f t="shared" si="15"/>
        <v>0</v>
      </c>
      <c r="N49" s="37">
        <v>30000</v>
      </c>
      <c r="O49" s="37">
        <v>175000</v>
      </c>
      <c r="P49" s="37">
        <v>140000</v>
      </c>
      <c r="Q49" s="37">
        <v>5000</v>
      </c>
      <c r="R49" s="37"/>
      <c r="S49" s="835">
        <f t="shared" si="5"/>
        <v>350000</v>
      </c>
      <c r="T49" s="38"/>
      <c r="U49" s="38"/>
      <c r="V49" s="38"/>
      <c r="W49" s="38"/>
      <c r="X49" s="37"/>
      <c r="Y49" s="38">
        <f t="shared" si="7"/>
        <v>0</v>
      </c>
      <c r="Z49" s="839">
        <v>2.2999999999999998</v>
      </c>
      <c r="AA49" s="440"/>
      <c r="AB49" s="24"/>
      <c r="AC49" s="722">
        <f>SUM(AE49:AL49)-(BH49+1)</f>
        <v>0</v>
      </c>
      <c r="AD49" s="778">
        <f>+I49/(BH49+1)</f>
        <v>10606.060606060606</v>
      </c>
      <c r="AF49" s="59">
        <v>3</v>
      </c>
      <c r="AG49" s="59">
        <v>6</v>
      </c>
      <c r="AH49" s="59">
        <v>6</v>
      </c>
      <c r="AI49" s="59">
        <v>6</v>
      </c>
      <c r="AJ49" s="59">
        <v>6</v>
      </c>
      <c r="AK49" s="59">
        <v>6</v>
      </c>
      <c r="AO49" s="337">
        <f t="shared" si="126"/>
        <v>0</v>
      </c>
      <c r="AP49" s="910">
        <v>30000</v>
      </c>
      <c r="AQ49" s="910">
        <v>80000</v>
      </c>
      <c r="AR49" s="910">
        <v>95000</v>
      </c>
      <c r="AS49" s="910">
        <v>90000</v>
      </c>
      <c r="AT49" s="910">
        <v>50000</v>
      </c>
      <c r="AU49" s="910">
        <v>5000</v>
      </c>
      <c r="AV49" s="910">
        <f t="shared" si="127"/>
        <v>0</v>
      </c>
      <c r="AW49" s="910">
        <f t="shared" si="127"/>
        <v>0</v>
      </c>
      <c r="AX49" s="910"/>
      <c r="AY49" s="910">
        <f t="shared" si="21"/>
        <v>350000</v>
      </c>
      <c r="AZ49" s="786">
        <f>+AY49-I49</f>
        <v>0</v>
      </c>
      <c r="BA49" s="23" t="s">
        <v>423</v>
      </c>
      <c r="BB49" s="722" t="s">
        <v>441</v>
      </c>
      <c r="BC49" s="722" t="s">
        <v>474</v>
      </c>
      <c r="BF49" s="539">
        <v>43009</v>
      </c>
      <c r="BG49" s="539">
        <f t="shared" si="120"/>
        <v>44012</v>
      </c>
      <c r="BH49" s="722">
        <v>32</v>
      </c>
    </row>
    <row r="50" spans="2:61" s="507" customFormat="1" x14ac:dyDescent="0.2">
      <c r="B50" s="505"/>
      <c r="C50" s="506">
        <v>2</v>
      </c>
      <c r="D50" s="506">
        <v>1</v>
      </c>
      <c r="E50" s="506">
        <v>3</v>
      </c>
      <c r="F50" s="506">
        <v>0</v>
      </c>
      <c r="G50" s="505" t="str">
        <f>CONCATENATE(C50,".",D50,".",E50,".",F50)</f>
        <v>2.1.3.0</v>
      </c>
      <c r="H50" s="623" t="s">
        <v>481</v>
      </c>
      <c r="I50" s="826">
        <f t="shared" si="111"/>
        <v>96000</v>
      </c>
      <c r="J50" s="731">
        <f t="shared" si="112"/>
        <v>0</v>
      </c>
      <c r="K50" s="732">
        <f>SUM(I50:J50)</f>
        <v>96000</v>
      </c>
      <c r="L50" s="897"/>
      <c r="M50" s="898"/>
      <c r="N50" s="43">
        <f>+N51</f>
        <v>0</v>
      </c>
      <c r="O50" s="43">
        <f t="shared" ref="O50:R50" si="128">+O51</f>
        <v>48000</v>
      </c>
      <c r="P50" s="43">
        <f t="shared" si="128"/>
        <v>48000</v>
      </c>
      <c r="Q50" s="43">
        <f t="shared" si="128"/>
        <v>0</v>
      </c>
      <c r="R50" s="43">
        <f t="shared" si="128"/>
        <v>0</v>
      </c>
      <c r="S50" s="834">
        <f t="shared" si="5"/>
        <v>96000</v>
      </c>
      <c r="T50" s="43">
        <f t="shared" ref="T50:X50" si="129">+T51</f>
        <v>0</v>
      </c>
      <c r="U50" s="43">
        <f t="shared" si="129"/>
        <v>0</v>
      </c>
      <c r="V50" s="43">
        <f t="shared" si="129"/>
        <v>0</v>
      </c>
      <c r="W50" s="43">
        <f t="shared" si="129"/>
        <v>0</v>
      </c>
      <c r="X50" s="43">
        <f t="shared" si="129"/>
        <v>0</v>
      </c>
      <c r="Y50" s="43">
        <f t="shared" si="7"/>
        <v>0</v>
      </c>
      <c r="Z50" s="505"/>
      <c r="AC50" s="505"/>
      <c r="AD50" s="779"/>
      <c r="AE50" s="846"/>
      <c r="AF50" s="772"/>
      <c r="AG50" s="772"/>
      <c r="AH50" s="772"/>
      <c r="AI50" s="772"/>
      <c r="AJ50" s="772"/>
      <c r="AK50" s="772"/>
      <c r="AL50" s="772"/>
      <c r="AM50" s="772"/>
      <c r="AN50" s="773"/>
      <c r="AO50" s="784"/>
      <c r="AP50" s="911"/>
      <c r="AQ50" s="911"/>
      <c r="AR50" s="911"/>
      <c r="AS50" s="911"/>
      <c r="AT50" s="911"/>
      <c r="AU50" s="911"/>
      <c r="AV50" s="911"/>
      <c r="AW50" s="911"/>
      <c r="AX50" s="911"/>
      <c r="AY50" s="912">
        <f t="shared" si="21"/>
        <v>0</v>
      </c>
      <c r="AZ50" s="505"/>
      <c r="BB50" s="505"/>
      <c r="BC50" s="505"/>
      <c r="BD50" s="505"/>
      <c r="BE50" s="505"/>
      <c r="BF50" s="505"/>
      <c r="BG50" s="505"/>
      <c r="BH50" s="505"/>
      <c r="BI50" s="505"/>
    </row>
    <row r="51" spans="2:61" x14ac:dyDescent="0.2">
      <c r="C51" s="50">
        <v>2</v>
      </c>
      <c r="D51" s="50">
        <v>1</v>
      </c>
      <c r="E51" s="50">
        <v>3</v>
      </c>
      <c r="F51" s="50">
        <v>1</v>
      </c>
      <c r="G51" s="32" t="str">
        <f>CONCATENATE(C51,".",D51,".",E51,".",F51)</f>
        <v>2.1.3.1</v>
      </c>
      <c r="H51" s="2" t="s">
        <v>482</v>
      </c>
      <c r="I51" s="825">
        <f t="shared" si="111"/>
        <v>96000</v>
      </c>
      <c r="J51" s="729">
        <f t="shared" si="112"/>
        <v>0</v>
      </c>
      <c r="K51" s="730">
        <f>SUM(I51:J51)</f>
        <v>96000</v>
      </c>
      <c r="L51" s="894">
        <v>1</v>
      </c>
      <c r="M51" s="895">
        <f t="shared" si="15"/>
        <v>0</v>
      </c>
      <c r="N51" s="37"/>
      <c r="O51" s="37">
        <f>12*BI51*2000</f>
        <v>48000</v>
      </c>
      <c r="P51" s="37">
        <f>12*BI51*2000</f>
        <v>48000</v>
      </c>
      <c r="Q51" s="37"/>
      <c r="R51" s="37"/>
      <c r="S51" s="835">
        <f t="shared" si="5"/>
        <v>96000</v>
      </c>
      <c r="T51" s="38"/>
      <c r="U51" s="38"/>
      <c r="V51" s="38"/>
      <c r="W51" s="38"/>
      <c r="X51" s="37"/>
      <c r="Y51" s="38">
        <f t="shared" si="7"/>
        <v>0</v>
      </c>
      <c r="AA51" s="25"/>
      <c r="AB51" s="24"/>
      <c r="AC51" s="722">
        <f>SUM(AE51:AL51)-(BH51+1)</f>
        <v>0</v>
      </c>
      <c r="AD51" s="778">
        <f>+I51/(BH51+1)</f>
        <v>4000</v>
      </c>
      <c r="AG51" s="59">
        <v>6</v>
      </c>
      <c r="AH51" s="59">
        <v>6</v>
      </c>
      <c r="AI51" s="59">
        <v>6</v>
      </c>
      <c r="AJ51" s="59">
        <v>6</v>
      </c>
      <c r="AO51" s="337">
        <f>+$AD51*AE51</f>
        <v>0</v>
      </c>
      <c r="AP51" s="910">
        <f t="shared" ref="AP51" si="130">+$AD51*AF51</f>
        <v>0</v>
      </c>
      <c r="AQ51" s="910">
        <f t="shared" ref="AQ51" si="131">+$AD51*AG51</f>
        <v>24000</v>
      </c>
      <c r="AR51" s="910">
        <f t="shared" ref="AR51" si="132">+$AD51*AH51</f>
        <v>24000</v>
      </c>
      <c r="AS51" s="910">
        <f t="shared" ref="AS51" si="133">+$AD51*AI51</f>
        <v>24000</v>
      </c>
      <c r="AT51" s="910">
        <f t="shared" ref="AT51" si="134">+$AD51*AJ51</f>
        <v>24000</v>
      </c>
      <c r="AU51" s="910">
        <f>+$AD51*AK51</f>
        <v>0</v>
      </c>
      <c r="AV51" s="910">
        <f t="shared" ref="AV51:AW51" si="135">+$AD51*AL51</f>
        <v>0</v>
      </c>
      <c r="AW51" s="910">
        <f t="shared" si="135"/>
        <v>0</v>
      </c>
      <c r="AX51" s="910"/>
      <c r="AY51" s="910">
        <f t="shared" si="21"/>
        <v>96000</v>
      </c>
      <c r="AZ51" s="786">
        <f>+AY51-I51</f>
        <v>0</v>
      </c>
      <c r="BA51" s="23" t="s">
        <v>433</v>
      </c>
      <c r="BB51" s="722" t="s">
        <v>442</v>
      </c>
      <c r="BC51" s="722" t="s">
        <v>440</v>
      </c>
      <c r="BF51" s="539">
        <v>43101</v>
      </c>
      <c r="BG51" s="539">
        <f t="shared" si="120"/>
        <v>43830</v>
      </c>
      <c r="BH51" s="722">
        <v>23</v>
      </c>
      <c r="BI51" s="722">
        <v>2</v>
      </c>
    </row>
    <row r="52" spans="2:61" s="54" customFormat="1" ht="25.5" x14ac:dyDescent="0.2">
      <c r="B52" s="51"/>
      <c r="C52" s="52">
        <v>2</v>
      </c>
      <c r="D52" s="52">
        <v>2</v>
      </c>
      <c r="E52" s="52">
        <v>0</v>
      </c>
      <c r="F52" s="52">
        <v>0</v>
      </c>
      <c r="G52" s="52" t="str">
        <f t="shared" si="11"/>
        <v>2.2.0.0</v>
      </c>
      <c r="H52" s="819" t="s">
        <v>65</v>
      </c>
      <c r="I52" s="828">
        <f t="shared" si="111"/>
        <v>1500000</v>
      </c>
      <c r="J52" s="725">
        <f t="shared" si="112"/>
        <v>0</v>
      </c>
      <c r="K52" s="726">
        <f t="shared" si="3"/>
        <v>1500000</v>
      </c>
      <c r="L52" s="901"/>
      <c r="M52" s="902"/>
      <c r="N52" s="53">
        <f>SUM(N53:N56)</f>
        <v>157500</v>
      </c>
      <c r="O52" s="53">
        <f t="shared" ref="O52:R52" si="136">SUM(O53:O56)</f>
        <v>780000</v>
      </c>
      <c r="P52" s="53">
        <f t="shared" si="136"/>
        <v>540000</v>
      </c>
      <c r="Q52" s="53">
        <f t="shared" si="136"/>
        <v>22500</v>
      </c>
      <c r="R52" s="53">
        <f t="shared" si="136"/>
        <v>0</v>
      </c>
      <c r="S52" s="833">
        <f t="shared" si="5"/>
        <v>1500000</v>
      </c>
      <c r="T52" s="53">
        <f t="shared" ref="T52:W52" si="137">SUM(T53:T56)</f>
        <v>0</v>
      </c>
      <c r="U52" s="53">
        <f t="shared" si="137"/>
        <v>0</v>
      </c>
      <c r="V52" s="53">
        <f t="shared" si="137"/>
        <v>0</v>
      </c>
      <c r="W52" s="53">
        <f t="shared" si="137"/>
        <v>0</v>
      </c>
      <c r="X52" s="53">
        <f t="shared" ref="X52" si="138">SUM(X53:X56)</f>
        <v>0</v>
      </c>
      <c r="Y52" s="53">
        <f t="shared" si="7"/>
        <v>0</v>
      </c>
      <c r="Z52" s="840">
        <v>2.4</v>
      </c>
      <c r="AC52" s="51"/>
      <c r="AD52" s="780"/>
      <c r="AE52" s="847"/>
      <c r="AF52" s="774"/>
      <c r="AG52" s="774"/>
      <c r="AH52" s="774"/>
      <c r="AI52" s="774"/>
      <c r="AJ52" s="774"/>
      <c r="AK52" s="774"/>
      <c r="AL52" s="774"/>
      <c r="AM52" s="774"/>
      <c r="AN52" s="775"/>
      <c r="AO52" s="785"/>
      <c r="AP52" s="913"/>
      <c r="AQ52" s="913"/>
      <c r="AR52" s="913"/>
      <c r="AS52" s="913"/>
      <c r="AT52" s="913"/>
      <c r="AU52" s="913"/>
      <c r="AV52" s="913"/>
      <c r="AW52" s="913"/>
      <c r="AX52" s="913"/>
      <c r="AY52" s="914">
        <f t="shared" si="21"/>
        <v>0</v>
      </c>
      <c r="AZ52" s="51"/>
      <c r="BB52" s="51"/>
      <c r="BC52" s="51"/>
      <c r="BD52" s="51"/>
      <c r="BE52" s="51"/>
      <c r="BF52" s="51"/>
      <c r="BG52" s="51"/>
      <c r="BH52" s="51"/>
      <c r="BI52" s="51"/>
    </row>
    <row r="53" spans="2:61" ht="38.25" x14ac:dyDescent="0.2">
      <c r="C53" s="50">
        <v>2</v>
      </c>
      <c r="D53" s="50">
        <v>2</v>
      </c>
      <c r="E53" s="50">
        <v>1</v>
      </c>
      <c r="F53" s="50">
        <v>1</v>
      </c>
      <c r="G53" s="32" t="str">
        <f t="shared" si="11"/>
        <v>2.2.1.1</v>
      </c>
      <c r="H53" s="2" t="s">
        <v>509</v>
      </c>
      <c r="I53" s="825">
        <f t="shared" si="111"/>
        <v>108000</v>
      </c>
      <c r="J53" s="729">
        <f t="shared" si="112"/>
        <v>0</v>
      </c>
      <c r="K53" s="730">
        <f t="shared" si="3"/>
        <v>108000</v>
      </c>
      <c r="L53" s="894">
        <v>1</v>
      </c>
      <c r="M53" s="895">
        <f t="shared" si="15"/>
        <v>0</v>
      </c>
      <c r="N53" s="37">
        <f>+'2.2'!D13</f>
        <v>43000</v>
      </c>
      <c r="O53" s="37">
        <f>+'2.2'!E13</f>
        <v>65000</v>
      </c>
      <c r="P53" s="37">
        <f>+'2.2'!F13</f>
        <v>0</v>
      </c>
      <c r="Q53" s="37">
        <f>+'2.2'!G13</f>
        <v>0</v>
      </c>
      <c r="R53" s="37"/>
      <c r="S53" s="835">
        <f t="shared" si="5"/>
        <v>108000</v>
      </c>
      <c r="T53" s="38"/>
      <c r="U53" s="38"/>
      <c r="V53" s="38"/>
      <c r="W53" s="38"/>
      <c r="X53" s="37"/>
      <c r="Y53" s="38">
        <f t="shared" si="7"/>
        <v>0</v>
      </c>
      <c r="AA53" s="25"/>
      <c r="AB53" s="24"/>
      <c r="AC53" s="722">
        <f>SUM(AE53:AL53)-(BH53+1)</f>
        <v>0</v>
      </c>
      <c r="AD53" s="778">
        <f>+I53/(BH53+1)</f>
        <v>10800</v>
      </c>
      <c r="AF53" s="59">
        <v>3</v>
      </c>
      <c r="AG53" s="59">
        <v>6</v>
      </c>
      <c r="AH53" s="59">
        <v>1</v>
      </c>
      <c r="AO53" s="337">
        <f t="shared" ref="AO53:AO56" si="139">+$AD53*AE53</f>
        <v>0</v>
      </c>
      <c r="AP53" s="910">
        <v>43000</v>
      </c>
      <c r="AQ53" s="910">
        <v>40000</v>
      </c>
      <c r="AR53" s="910">
        <v>25000</v>
      </c>
      <c r="AS53" s="910">
        <f t="shared" ref="AS53:AS54" si="140">+$AD53*AI53</f>
        <v>0</v>
      </c>
      <c r="AT53" s="910">
        <f t="shared" ref="AT53:AT54" si="141">+$AD53*AJ53</f>
        <v>0</v>
      </c>
      <c r="AU53" s="910">
        <f t="shared" ref="AU53:AU54" si="142">+$AD53*AK53</f>
        <v>0</v>
      </c>
      <c r="AV53" s="910">
        <f t="shared" ref="AV53:AW56" si="143">+$AD53*AL53</f>
        <v>0</v>
      </c>
      <c r="AW53" s="910">
        <f t="shared" si="143"/>
        <v>0</v>
      </c>
      <c r="AX53" s="910"/>
      <c r="AY53" s="910">
        <f t="shared" si="21"/>
        <v>108000</v>
      </c>
      <c r="AZ53" s="786">
        <f>+AY53-I53</f>
        <v>0</v>
      </c>
      <c r="BA53" s="23" t="s">
        <v>508</v>
      </c>
      <c r="BB53" s="722" t="s">
        <v>441</v>
      </c>
      <c r="BC53" s="722" t="s">
        <v>474</v>
      </c>
      <c r="BF53" s="539">
        <v>43009</v>
      </c>
      <c r="BG53" s="539">
        <f t="shared" ref="BG53:BG56" si="144">EOMONTH(BF53,BH53)</f>
        <v>43312</v>
      </c>
      <c r="BH53" s="722">
        <v>9</v>
      </c>
    </row>
    <row r="54" spans="2:61" ht="25.5" x14ac:dyDescent="0.2">
      <c r="C54" s="50">
        <v>2</v>
      </c>
      <c r="D54" s="50">
        <v>2</v>
      </c>
      <c r="E54" s="50">
        <v>2</v>
      </c>
      <c r="F54" s="50">
        <v>1</v>
      </c>
      <c r="G54" s="32" t="str">
        <f>CONCATENATE(C54,".",D54,".",E54,".",F54)</f>
        <v>2.2.2.1</v>
      </c>
      <c r="H54" s="2" t="s">
        <v>513</v>
      </c>
      <c r="I54" s="825">
        <f t="shared" si="111"/>
        <v>20000</v>
      </c>
      <c r="J54" s="729">
        <f t="shared" si="112"/>
        <v>0</v>
      </c>
      <c r="K54" s="730">
        <f t="shared" si="3"/>
        <v>20000</v>
      </c>
      <c r="L54" s="894">
        <v>1</v>
      </c>
      <c r="M54" s="895">
        <f t="shared" si="15"/>
        <v>0</v>
      </c>
      <c r="N54" s="37">
        <v>0</v>
      </c>
      <c r="O54" s="37">
        <v>20000</v>
      </c>
      <c r="P54" s="37">
        <v>0</v>
      </c>
      <c r="Q54" s="37">
        <v>0</v>
      </c>
      <c r="R54" s="37"/>
      <c r="S54" s="835">
        <f t="shared" si="5"/>
        <v>20000</v>
      </c>
      <c r="T54" s="38"/>
      <c r="U54" s="38"/>
      <c r="V54" s="38"/>
      <c r="W54" s="38"/>
      <c r="X54" s="37"/>
      <c r="Y54" s="38">
        <f t="shared" si="7"/>
        <v>0</v>
      </c>
      <c r="AA54" s="25"/>
      <c r="AB54" s="24"/>
      <c r="AC54" s="722">
        <f>SUM(AE54:AL54)-(BH54+1)</f>
        <v>0</v>
      </c>
      <c r="AD54" s="778">
        <f>+I54/(BH54+1)</f>
        <v>6666.666666666667</v>
      </c>
      <c r="AF54" s="59">
        <v>3</v>
      </c>
      <c r="AO54" s="337">
        <f t="shared" si="139"/>
        <v>0</v>
      </c>
      <c r="AP54" s="910">
        <v>0</v>
      </c>
      <c r="AQ54" s="910">
        <v>20000</v>
      </c>
      <c r="AR54" s="910">
        <f t="shared" ref="AR54" si="145">+$AD54*AH54</f>
        <v>0</v>
      </c>
      <c r="AS54" s="910">
        <f t="shared" si="140"/>
        <v>0</v>
      </c>
      <c r="AT54" s="910">
        <f t="shared" si="141"/>
        <v>0</v>
      </c>
      <c r="AU54" s="910">
        <f t="shared" si="142"/>
        <v>0</v>
      </c>
      <c r="AV54" s="910">
        <f t="shared" si="143"/>
        <v>0</v>
      </c>
      <c r="AW54" s="910">
        <f t="shared" si="143"/>
        <v>0</v>
      </c>
      <c r="AX54" s="910"/>
      <c r="AY54" s="910">
        <f t="shared" si="21"/>
        <v>20000</v>
      </c>
      <c r="AZ54" s="786">
        <f>+AY54-I54</f>
        <v>0</v>
      </c>
      <c r="BA54" s="23" t="s">
        <v>433</v>
      </c>
      <c r="BB54" s="722" t="s">
        <v>442</v>
      </c>
      <c r="BC54" s="722" t="s">
        <v>440</v>
      </c>
      <c r="BF54" s="539">
        <v>43009</v>
      </c>
      <c r="BG54" s="539">
        <f t="shared" si="144"/>
        <v>43100</v>
      </c>
      <c r="BH54" s="722">
        <v>2</v>
      </c>
    </row>
    <row r="55" spans="2:61" ht="25.5" x14ac:dyDescent="0.2">
      <c r="C55" s="50">
        <v>2</v>
      </c>
      <c r="D55" s="50">
        <v>2</v>
      </c>
      <c r="E55" s="50">
        <v>3</v>
      </c>
      <c r="F55" s="50">
        <v>1</v>
      </c>
      <c r="G55" s="32" t="str">
        <f t="shared" ref="G55" si="146">CONCATENATE(C55,".",D55,".",E55,".",F55)</f>
        <v>2.2.3.1</v>
      </c>
      <c r="H55" s="2" t="s">
        <v>434</v>
      </c>
      <c r="I55" s="825">
        <f t="shared" si="111"/>
        <v>322000</v>
      </c>
      <c r="J55" s="729">
        <f t="shared" si="112"/>
        <v>0</v>
      </c>
      <c r="K55" s="730">
        <f t="shared" si="3"/>
        <v>322000</v>
      </c>
      <c r="M55" s="895">
        <f t="shared" si="15"/>
        <v>1</v>
      </c>
      <c r="N55" s="37">
        <f>+'2.2'!D19</f>
        <v>20000</v>
      </c>
      <c r="O55" s="37">
        <f>+'2.2'!E19</f>
        <v>170000</v>
      </c>
      <c r="P55" s="37">
        <f>+'2.2'!F19</f>
        <v>120000</v>
      </c>
      <c r="Q55" s="37">
        <f>+'2.2'!G19</f>
        <v>12000</v>
      </c>
      <c r="R55" s="37"/>
      <c r="S55" s="835">
        <f t="shared" si="5"/>
        <v>322000</v>
      </c>
      <c r="T55" s="38"/>
      <c r="U55" s="38"/>
      <c r="V55" s="38"/>
      <c r="W55" s="38"/>
      <c r="X55" s="37"/>
      <c r="Y55" s="38">
        <f t="shared" si="7"/>
        <v>0</v>
      </c>
      <c r="AA55" s="25"/>
      <c r="AB55" s="24"/>
      <c r="AC55" s="722">
        <f>SUM(AE55:AL55)-(BH55+1)</f>
        <v>0</v>
      </c>
      <c r="AD55" s="778">
        <f>+I55/(BH55+1)</f>
        <v>15333.333333333334</v>
      </c>
      <c r="AH55" s="59">
        <v>6</v>
      </c>
      <c r="AI55" s="59">
        <v>6</v>
      </c>
      <c r="AJ55" s="59">
        <v>6</v>
      </c>
      <c r="AK55" s="59">
        <v>3</v>
      </c>
      <c r="AO55" s="337">
        <f t="shared" si="139"/>
        <v>0</v>
      </c>
      <c r="AP55" s="910">
        <v>20000</v>
      </c>
      <c r="AQ55" s="910">
        <v>70000</v>
      </c>
      <c r="AR55" s="910">
        <v>100000</v>
      </c>
      <c r="AS55" s="910">
        <v>60000</v>
      </c>
      <c r="AT55" s="910">
        <v>60000</v>
      </c>
      <c r="AU55" s="910">
        <v>12000</v>
      </c>
      <c r="AV55" s="910">
        <f t="shared" si="143"/>
        <v>0</v>
      </c>
      <c r="AW55" s="910">
        <f t="shared" si="143"/>
        <v>0</v>
      </c>
      <c r="AX55" s="910"/>
      <c r="AY55" s="910">
        <f t="shared" si="21"/>
        <v>322000</v>
      </c>
      <c r="AZ55" s="786">
        <f>+AY55-I55</f>
        <v>0</v>
      </c>
      <c r="BA55" s="23" t="s">
        <v>421</v>
      </c>
      <c r="BB55" s="722" t="s">
        <v>155</v>
      </c>
      <c r="BC55" s="722" t="s">
        <v>474</v>
      </c>
      <c r="BF55" s="539">
        <v>43282</v>
      </c>
      <c r="BG55" s="539">
        <f t="shared" si="144"/>
        <v>43921</v>
      </c>
      <c r="BH55" s="722">
        <v>20</v>
      </c>
    </row>
    <row r="56" spans="2:61" ht="38.25" x14ac:dyDescent="0.2">
      <c r="C56" s="50">
        <v>2</v>
      </c>
      <c r="D56" s="50">
        <v>2</v>
      </c>
      <c r="E56" s="50">
        <v>4</v>
      </c>
      <c r="F56" s="50">
        <v>1</v>
      </c>
      <c r="G56" s="32" t="str">
        <f t="shared" si="11"/>
        <v>2.2.4.1</v>
      </c>
      <c r="H56" s="2" t="s">
        <v>66</v>
      </c>
      <c r="I56" s="825">
        <f t="shared" si="111"/>
        <v>1050000</v>
      </c>
      <c r="J56" s="729">
        <f t="shared" si="112"/>
        <v>0</v>
      </c>
      <c r="K56" s="730">
        <f t="shared" si="3"/>
        <v>1050000</v>
      </c>
      <c r="L56" s="894">
        <v>1</v>
      </c>
      <c r="M56" s="895">
        <f t="shared" si="15"/>
        <v>0</v>
      </c>
      <c r="N56" s="37">
        <f>+'2.2'!D17+'2.2'!D18</f>
        <v>94500</v>
      </c>
      <c r="O56" s="37">
        <f>+'2.2'!E17+'2.2'!E18</f>
        <v>525000</v>
      </c>
      <c r="P56" s="37">
        <f>+'2.2'!F17+'2.2'!F18</f>
        <v>420000</v>
      </c>
      <c r="Q56" s="37">
        <f>+'2.2'!G17+'2.2'!G18</f>
        <v>10500</v>
      </c>
      <c r="R56" s="37"/>
      <c r="S56" s="835">
        <f t="shared" si="5"/>
        <v>1050000</v>
      </c>
      <c r="T56" s="38"/>
      <c r="U56" s="38"/>
      <c r="V56" s="38"/>
      <c r="W56" s="38"/>
      <c r="X56" s="37"/>
      <c r="Y56" s="38">
        <f t="shared" si="7"/>
        <v>0</v>
      </c>
      <c r="AA56" s="25"/>
      <c r="AB56" s="24"/>
      <c r="AC56" s="722">
        <f>SUM(AE56:AL56)-(BH56+1)</f>
        <v>0</v>
      </c>
      <c r="AD56" s="778">
        <f>+I56/(BH56+1)</f>
        <v>29166.666666666668</v>
      </c>
      <c r="AF56" s="59">
        <v>6</v>
      </c>
      <c r="AG56" s="59">
        <v>6</v>
      </c>
      <c r="AH56" s="59">
        <v>6</v>
      </c>
      <c r="AI56" s="59">
        <v>6</v>
      </c>
      <c r="AJ56" s="59">
        <v>6</v>
      </c>
      <c r="AK56" s="59">
        <v>6</v>
      </c>
      <c r="AO56" s="337">
        <f t="shared" si="139"/>
        <v>0</v>
      </c>
      <c r="AP56" s="910">
        <v>94500</v>
      </c>
      <c r="AQ56" s="910">
        <v>200000</v>
      </c>
      <c r="AR56" s="910">
        <v>325000</v>
      </c>
      <c r="AS56" s="910">
        <v>250000</v>
      </c>
      <c r="AT56" s="910">
        <v>170000</v>
      </c>
      <c r="AU56" s="910">
        <v>10500</v>
      </c>
      <c r="AV56" s="910">
        <f t="shared" si="143"/>
        <v>0</v>
      </c>
      <c r="AW56" s="910">
        <f t="shared" si="143"/>
        <v>0</v>
      </c>
      <c r="AX56" s="910"/>
      <c r="AY56" s="910">
        <f t="shared" si="21"/>
        <v>1050000</v>
      </c>
      <c r="AZ56" s="786">
        <f>+AY56-I56</f>
        <v>0</v>
      </c>
      <c r="BA56" s="23" t="s">
        <v>423</v>
      </c>
      <c r="BB56" s="722" t="s">
        <v>441</v>
      </c>
      <c r="BC56" s="722" t="s">
        <v>474</v>
      </c>
      <c r="BF56" s="539">
        <v>42917</v>
      </c>
      <c r="BG56" s="539">
        <f t="shared" si="144"/>
        <v>44012</v>
      </c>
      <c r="BH56" s="722">
        <v>35</v>
      </c>
    </row>
    <row r="57" spans="2:61" s="41" customFormat="1" ht="25.5" x14ac:dyDescent="0.2">
      <c r="B57" s="46"/>
      <c r="C57" s="48">
        <v>3</v>
      </c>
      <c r="D57" s="48">
        <v>0</v>
      </c>
      <c r="E57" s="48">
        <v>0</v>
      </c>
      <c r="F57" s="48">
        <v>0</v>
      </c>
      <c r="G57" s="47" t="str">
        <f t="shared" si="11"/>
        <v>3.0.0.0</v>
      </c>
      <c r="H57" s="818" t="s">
        <v>93</v>
      </c>
      <c r="I57" s="821">
        <f t="shared" si="111"/>
        <v>9700000</v>
      </c>
      <c r="J57" s="813">
        <f t="shared" si="112"/>
        <v>0</v>
      </c>
      <c r="K57" s="822">
        <f t="shared" si="3"/>
        <v>9700000</v>
      </c>
      <c r="L57" s="888"/>
      <c r="M57" s="889"/>
      <c r="N57" s="811">
        <f>+N58+N71</f>
        <v>655000</v>
      </c>
      <c r="O57" s="811">
        <f t="shared" ref="O57:R57" si="147">+O58+O71</f>
        <v>4859905</v>
      </c>
      <c r="P57" s="811">
        <f t="shared" si="147"/>
        <v>3771495</v>
      </c>
      <c r="Q57" s="811">
        <f t="shared" si="147"/>
        <v>363600</v>
      </c>
      <c r="R57" s="811">
        <f t="shared" si="147"/>
        <v>50000</v>
      </c>
      <c r="S57" s="832">
        <f t="shared" si="5"/>
        <v>9700000</v>
      </c>
      <c r="T57" s="811">
        <f t="shared" ref="T57:X57" si="148">+T58+T71</f>
        <v>0</v>
      </c>
      <c r="U57" s="811">
        <f t="shared" si="148"/>
        <v>0</v>
      </c>
      <c r="V57" s="811">
        <f t="shared" si="148"/>
        <v>0</v>
      </c>
      <c r="W57" s="811">
        <f t="shared" si="148"/>
        <v>0</v>
      </c>
      <c r="X57" s="811">
        <f t="shared" si="148"/>
        <v>0</v>
      </c>
      <c r="Y57" s="811">
        <f t="shared" si="7"/>
        <v>0</v>
      </c>
      <c r="Z57" s="837"/>
      <c r="AA57" s="812"/>
      <c r="AD57" s="814"/>
      <c r="AE57" s="841"/>
      <c r="AF57" s="815"/>
      <c r="AG57" s="815"/>
      <c r="AH57" s="815"/>
      <c r="AI57" s="815"/>
      <c r="AJ57" s="815"/>
      <c r="AK57" s="815"/>
      <c r="AL57" s="815"/>
      <c r="AM57" s="815"/>
      <c r="AN57" s="842"/>
      <c r="AO57" s="816"/>
      <c r="AP57" s="905"/>
      <c r="AQ57" s="905"/>
      <c r="AR57" s="905"/>
      <c r="AS57" s="905"/>
      <c r="AT57" s="905"/>
      <c r="AU57" s="905"/>
      <c r="AV57" s="905"/>
      <c r="AW57" s="905"/>
      <c r="AX57" s="905"/>
      <c r="AY57" s="815">
        <f t="shared" si="21"/>
        <v>0</v>
      </c>
    </row>
    <row r="58" spans="2:61" s="54" customFormat="1" x14ac:dyDescent="0.2">
      <c r="B58" s="51"/>
      <c r="C58" s="52">
        <v>3</v>
      </c>
      <c r="D58" s="52">
        <v>1</v>
      </c>
      <c r="E58" s="52">
        <v>0</v>
      </c>
      <c r="F58" s="52">
        <v>0</v>
      </c>
      <c r="G58" s="51" t="str">
        <f>CONCATENATE(C58,".",D58,".",E58,".",F58)</f>
        <v>3.1.0.0</v>
      </c>
      <c r="H58" s="819" t="s">
        <v>53</v>
      </c>
      <c r="I58" s="828">
        <f t="shared" si="111"/>
        <v>3300000</v>
      </c>
      <c r="J58" s="725">
        <f t="shared" si="112"/>
        <v>0</v>
      </c>
      <c r="K58" s="726">
        <f t="shared" si="3"/>
        <v>3300000</v>
      </c>
      <c r="L58" s="901"/>
      <c r="M58" s="902"/>
      <c r="N58" s="53">
        <f>+N59+N65</f>
        <v>130000</v>
      </c>
      <c r="O58" s="53">
        <f t="shared" ref="O58:R58" si="149">+O59+O65</f>
        <v>1621500</v>
      </c>
      <c r="P58" s="53">
        <f t="shared" si="149"/>
        <v>1306500</v>
      </c>
      <c r="Q58" s="53">
        <f t="shared" si="149"/>
        <v>192000</v>
      </c>
      <c r="R58" s="53">
        <f t="shared" si="149"/>
        <v>50000</v>
      </c>
      <c r="S58" s="833">
        <f t="shared" si="5"/>
        <v>3300000</v>
      </c>
      <c r="T58" s="53">
        <f t="shared" ref="T58:X58" si="150">+T59+T65</f>
        <v>0</v>
      </c>
      <c r="U58" s="53">
        <f t="shared" si="150"/>
        <v>0</v>
      </c>
      <c r="V58" s="53">
        <f t="shared" si="150"/>
        <v>0</v>
      </c>
      <c r="W58" s="53">
        <f t="shared" si="150"/>
        <v>0</v>
      </c>
      <c r="X58" s="53">
        <f t="shared" si="150"/>
        <v>0</v>
      </c>
      <c r="Y58" s="53">
        <f t="shared" si="7"/>
        <v>0</v>
      </c>
      <c r="Z58" s="840"/>
      <c r="AC58" s="51"/>
      <c r="AD58" s="780"/>
      <c r="AE58" s="847"/>
      <c r="AF58" s="774"/>
      <c r="AG58" s="774"/>
      <c r="AH58" s="774"/>
      <c r="AI58" s="774"/>
      <c r="AJ58" s="774"/>
      <c r="AK58" s="774"/>
      <c r="AL58" s="774"/>
      <c r="AM58" s="774"/>
      <c r="AN58" s="775"/>
      <c r="AO58" s="785"/>
      <c r="AP58" s="913"/>
      <c r="AQ58" s="913"/>
      <c r="AR58" s="913"/>
      <c r="AS58" s="913"/>
      <c r="AT58" s="913"/>
      <c r="AU58" s="913"/>
      <c r="AV58" s="913"/>
      <c r="AW58" s="913"/>
      <c r="AX58" s="913"/>
      <c r="AY58" s="914">
        <f t="shared" si="21"/>
        <v>0</v>
      </c>
      <c r="AZ58" s="51"/>
      <c r="BB58" s="51"/>
      <c r="BC58" s="51"/>
      <c r="BD58" s="51"/>
      <c r="BE58" s="51"/>
      <c r="BF58" s="51"/>
      <c r="BG58" s="51"/>
      <c r="BH58" s="51"/>
      <c r="BI58" s="51"/>
    </row>
    <row r="59" spans="2:61" s="507" customFormat="1" ht="51" x14ac:dyDescent="0.2">
      <c r="B59" s="505"/>
      <c r="C59" s="506">
        <v>3</v>
      </c>
      <c r="D59" s="506">
        <v>1</v>
      </c>
      <c r="E59" s="506">
        <v>1</v>
      </c>
      <c r="F59" s="506">
        <v>0</v>
      </c>
      <c r="G59" s="505" t="str">
        <f>CONCATENATE(C59,".",D59,".",E59,".",F59)</f>
        <v>3.1.1.0</v>
      </c>
      <c r="H59" s="623" t="s">
        <v>314</v>
      </c>
      <c r="I59" s="826">
        <f t="shared" si="111"/>
        <v>1795000</v>
      </c>
      <c r="J59" s="731">
        <f t="shared" si="112"/>
        <v>0</v>
      </c>
      <c r="K59" s="732">
        <f t="shared" si="3"/>
        <v>1795000</v>
      </c>
      <c r="L59" s="897"/>
      <c r="M59" s="898"/>
      <c r="N59" s="43">
        <f>SUM(N60:N64)</f>
        <v>75000</v>
      </c>
      <c r="O59" s="43">
        <f t="shared" ref="O59:R59" si="151">SUM(O60:O64)</f>
        <v>400000</v>
      </c>
      <c r="P59" s="43">
        <f t="shared" si="151"/>
        <v>1080000</v>
      </c>
      <c r="Q59" s="43">
        <f t="shared" si="151"/>
        <v>190000</v>
      </c>
      <c r="R59" s="43">
        <f t="shared" si="151"/>
        <v>50000</v>
      </c>
      <c r="S59" s="834">
        <f t="shared" si="5"/>
        <v>1795000</v>
      </c>
      <c r="T59" s="43">
        <f t="shared" ref="T59:W59" si="152">SUM(T60:T64)</f>
        <v>0</v>
      </c>
      <c r="U59" s="43">
        <f t="shared" si="152"/>
        <v>0</v>
      </c>
      <c r="V59" s="43">
        <f t="shared" si="152"/>
        <v>0</v>
      </c>
      <c r="W59" s="43">
        <f t="shared" si="152"/>
        <v>0</v>
      </c>
      <c r="X59" s="43">
        <f t="shared" ref="X59" si="153">SUM(X60:X64)</f>
        <v>0</v>
      </c>
      <c r="Y59" s="43">
        <f t="shared" si="7"/>
        <v>0</v>
      </c>
      <c r="Z59" s="505">
        <f>+'Matriz de Resultados'!B42</f>
        <v>3.1</v>
      </c>
      <c r="AC59" s="505"/>
      <c r="AD59" s="779"/>
      <c r="AE59" s="846"/>
      <c r="AF59" s="772"/>
      <c r="AG59" s="772"/>
      <c r="AH59" s="772"/>
      <c r="AI59" s="772"/>
      <c r="AJ59" s="772"/>
      <c r="AK59" s="772"/>
      <c r="AL59" s="772"/>
      <c r="AM59" s="772"/>
      <c r="AN59" s="773"/>
      <c r="AO59" s="784"/>
      <c r="AP59" s="911"/>
      <c r="AQ59" s="911"/>
      <c r="AR59" s="911"/>
      <c r="AS59" s="911"/>
      <c r="AT59" s="911"/>
      <c r="AU59" s="911"/>
      <c r="AV59" s="911"/>
      <c r="AW59" s="911"/>
      <c r="AX59" s="911"/>
      <c r="AY59" s="912">
        <f t="shared" si="21"/>
        <v>0</v>
      </c>
      <c r="AZ59" s="505"/>
      <c r="BB59" s="505"/>
      <c r="BC59" s="505"/>
      <c r="BD59" s="505"/>
      <c r="BE59" s="505"/>
      <c r="BF59" s="505"/>
      <c r="BG59" s="505"/>
      <c r="BH59" s="505"/>
      <c r="BI59" s="505"/>
    </row>
    <row r="60" spans="2:61" ht="38.25" x14ac:dyDescent="0.2">
      <c r="C60" s="50">
        <v>3</v>
      </c>
      <c r="D60" s="50">
        <v>1</v>
      </c>
      <c r="E60" s="50">
        <v>1</v>
      </c>
      <c r="F60" s="50">
        <v>1</v>
      </c>
      <c r="G60" s="32" t="str">
        <f t="shared" si="11"/>
        <v>3.1.1.1</v>
      </c>
      <c r="H60" s="2" t="str">
        <f>+'3.1 nuevo'!B6</f>
        <v>Consultorías para diagnóstico, propuesta de modelo de organización y elaboración de guía de recursos, en cada departamento priorizado</v>
      </c>
      <c r="I60" s="825">
        <f t="shared" si="111"/>
        <v>475000</v>
      </c>
      <c r="J60" s="729">
        <f t="shared" si="112"/>
        <v>0</v>
      </c>
      <c r="K60" s="730">
        <f t="shared" si="3"/>
        <v>475000</v>
      </c>
      <c r="L60" s="894">
        <v>1</v>
      </c>
      <c r="M60" s="895">
        <f t="shared" si="15"/>
        <v>0</v>
      </c>
      <c r="N60" s="37">
        <f>+'3.1 nuevo'!I6</f>
        <v>75000</v>
      </c>
      <c r="O60" s="37">
        <f>+'3.1 nuevo'!J6</f>
        <v>400000</v>
      </c>
      <c r="P60" s="37">
        <f>+'3.1 nuevo'!K6</f>
        <v>0</v>
      </c>
      <c r="Q60" s="37">
        <f>+'3.1 nuevo'!L6</f>
        <v>0</v>
      </c>
      <c r="R60" s="37"/>
      <c r="S60" s="835">
        <f t="shared" si="5"/>
        <v>475000</v>
      </c>
      <c r="T60" s="38"/>
      <c r="U60" s="38"/>
      <c r="V60" s="38"/>
      <c r="W60" s="38"/>
      <c r="X60" s="37"/>
      <c r="Y60" s="38">
        <f t="shared" si="7"/>
        <v>0</v>
      </c>
      <c r="AC60" s="722">
        <f>SUM(AE60:AL60)-(BH60+1)</f>
        <v>0</v>
      </c>
      <c r="AD60" s="778">
        <f>+I60/(BH60+1)</f>
        <v>39583.333333333336</v>
      </c>
      <c r="AF60" s="59">
        <v>3</v>
      </c>
      <c r="AG60" s="59">
        <v>6</v>
      </c>
      <c r="AH60" s="59">
        <v>3</v>
      </c>
      <c r="AO60" s="337">
        <f t="shared" ref="AO60:AO64" si="154">+$AD60*AE60</f>
        <v>0</v>
      </c>
      <c r="AP60" s="910">
        <v>75000</v>
      </c>
      <c r="AQ60" s="910">
        <v>200000</v>
      </c>
      <c r="AR60" s="910">
        <v>200000</v>
      </c>
      <c r="AS60" s="910">
        <f t="shared" ref="AS60:AS64" si="155">+$AD60*AI60</f>
        <v>0</v>
      </c>
      <c r="AT60" s="910">
        <f t="shared" ref="AT60:AT64" si="156">+$AD60*AJ60</f>
        <v>0</v>
      </c>
      <c r="AU60" s="910">
        <f t="shared" ref="AU60:AU61" si="157">+$AD60*AK60</f>
        <v>0</v>
      </c>
      <c r="AV60" s="910">
        <f t="shared" ref="AV60:AW63" si="158">+$AD60*AL60</f>
        <v>0</v>
      </c>
      <c r="AW60" s="910">
        <f t="shared" si="158"/>
        <v>0</v>
      </c>
      <c r="AX60" s="910"/>
      <c r="AY60" s="910">
        <f t="shared" si="21"/>
        <v>475000</v>
      </c>
      <c r="AZ60" s="786">
        <f>+AY60-I60</f>
        <v>0</v>
      </c>
      <c r="BA60" s="23" t="s">
        <v>423</v>
      </c>
      <c r="BB60" s="722" t="s">
        <v>600</v>
      </c>
      <c r="BC60" s="722" t="s">
        <v>474</v>
      </c>
      <c r="BF60" s="539">
        <v>43009</v>
      </c>
      <c r="BG60" s="539">
        <f t="shared" ref="BG60:BG64" si="159">EOMONTH(BF60,BH60)</f>
        <v>43373</v>
      </c>
      <c r="BH60" s="722">
        <v>11</v>
      </c>
    </row>
    <row r="61" spans="2:61" ht="63.75" x14ac:dyDescent="0.2">
      <c r="C61" s="50">
        <v>3</v>
      </c>
      <c r="D61" s="50">
        <v>1</v>
      </c>
      <c r="E61" s="50">
        <v>1</v>
      </c>
      <c r="F61" s="50">
        <v>2</v>
      </c>
      <c r="G61" s="32" t="str">
        <f t="shared" si="11"/>
        <v>3.1.1.2</v>
      </c>
      <c r="H61" s="2" t="str">
        <f>+'3.1 nuevo'!B10</f>
        <v>Capacitación de funcionarios y equipos técnicos provinciales en metodologías de diseño, implementación y evaluacion de programas de seguridad, y en estrategias de patrullamiento basado en hot spot policing.</v>
      </c>
      <c r="I61" s="825">
        <f t="shared" si="111"/>
        <v>200000</v>
      </c>
      <c r="J61" s="729">
        <f t="shared" si="112"/>
        <v>0</v>
      </c>
      <c r="K61" s="730">
        <f t="shared" si="3"/>
        <v>200000</v>
      </c>
      <c r="L61" s="894">
        <v>1</v>
      </c>
      <c r="M61" s="895">
        <f t="shared" si="15"/>
        <v>0</v>
      </c>
      <c r="N61" s="37">
        <f>+'3.1 nuevo'!I10</f>
        <v>0</v>
      </c>
      <c r="O61" s="37">
        <f>+'3.1 nuevo'!J10</f>
        <v>0</v>
      </c>
      <c r="P61" s="37">
        <f>+'3.1 nuevo'!K10</f>
        <v>200000</v>
      </c>
      <c r="Q61" s="37">
        <f>+'3.1 nuevo'!L10</f>
        <v>0</v>
      </c>
      <c r="R61" s="37"/>
      <c r="S61" s="835">
        <f t="shared" si="5"/>
        <v>200000</v>
      </c>
      <c r="T61" s="38"/>
      <c r="U61" s="38"/>
      <c r="V61" s="38"/>
      <c r="W61" s="38"/>
      <c r="X61" s="37"/>
      <c r="Y61" s="38">
        <f t="shared" si="7"/>
        <v>0</v>
      </c>
      <c r="AC61" s="722">
        <f>SUM(AE61:AL61)-(BH61+1)</f>
        <v>0</v>
      </c>
      <c r="AD61" s="778">
        <f>+I61/(BH61+1)</f>
        <v>18181.81818181818</v>
      </c>
      <c r="AI61" s="59">
        <v>5</v>
      </c>
      <c r="AJ61" s="59">
        <v>6</v>
      </c>
      <c r="AO61" s="337">
        <f t="shared" si="154"/>
        <v>0</v>
      </c>
      <c r="AP61" s="910">
        <f t="shared" ref="AP61:AP64" si="160">+$AD61*AF61</f>
        <v>0</v>
      </c>
      <c r="AQ61" s="910">
        <f t="shared" ref="AQ61:AQ64" si="161">+$AD61*AG61</f>
        <v>0</v>
      </c>
      <c r="AR61" s="910">
        <f t="shared" ref="AR61:AR64" si="162">+$AD61*AH61</f>
        <v>0</v>
      </c>
      <c r="AS61" s="910">
        <v>100000</v>
      </c>
      <c r="AT61" s="910">
        <v>100000</v>
      </c>
      <c r="AU61" s="910">
        <f t="shared" si="157"/>
        <v>0</v>
      </c>
      <c r="AV61" s="910">
        <f t="shared" si="158"/>
        <v>0</v>
      </c>
      <c r="AW61" s="910">
        <f t="shared" si="158"/>
        <v>0</v>
      </c>
      <c r="AX61" s="910"/>
      <c r="AY61" s="910">
        <f t="shared" si="21"/>
        <v>200000</v>
      </c>
      <c r="AZ61" s="786">
        <f>+AY61-I61</f>
        <v>0</v>
      </c>
      <c r="BA61" s="23" t="s">
        <v>178</v>
      </c>
      <c r="BF61" s="539">
        <v>43497</v>
      </c>
      <c r="BG61" s="539">
        <f t="shared" si="159"/>
        <v>43830</v>
      </c>
      <c r="BH61" s="722">
        <v>10</v>
      </c>
    </row>
    <row r="62" spans="2:61" ht="25.5" x14ac:dyDescent="0.2">
      <c r="C62" s="50">
        <v>3</v>
      </c>
      <c r="D62" s="50">
        <v>1</v>
      </c>
      <c r="E62" s="50">
        <v>1</v>
      </c>
      <c r="F62" s="50">
        <v>3</v>
      </c>
      <c r="G62" s="32" t="str">
        <f t="shared" si="11"/>
        <v>3.1.1.3</v>
      </c>
      <c r="H62" s="2" t="str">
        <f>+'3.1 nuevo'!B13</f>
        <v>Consultorías de apoyo al diseño e implementación de programas piloto</v>
      </c>
      <c r="I62" s="825">
        <f t="shared" si="111"/>
        <v>570000</v>
      </c>
      <c r="J62" s="729">
        <f t="shared" si="112"/>
        <v>0</v>
      </c>
      <c r="K62" s="730">
        <f t="shared" si="3"/>
        <v>570000</v>
      </c>
      <c r="L62" s="894">
        <v>1</v>
      </c>
      <c r="M62" s="895">
        <f t="shared" si="15"/>
        <v>0</v>
      </c>
      <c r="N62" s="37">
        <f>+'3.1 nuevo'!I13</f>
        <v>0</v>
      </c>
      <c r="O62" s="37">
        <f>+'3.1 nuevo'!J13</f>
        <v>0</v>
      </c>
      <c r="P62" s="37">
        <f>+'3.1 nuevo'!K13</f>
        <v>520000</v>
      </c>
      <c r="Q62" s="37">
        <f>+'3.1 nuevo'!L13</f>
        <v>50000</v>
      </c>
      <c r="R62" s="37"/>
      <c r="S62" s="835">
        <f t="shared" si="5"/>
        <v>570000</v>
      </c>
      <c r="T62" s="38"/>
      <c r="U62" s="38"/>
      <c r="V62" s="38"/>
      <c r="W62" s="38"/>
      <c r="X62" s="37"/>
      <c r="Y62" s="38">
        <f t="shared" si="7"/>
        <v>0</v>
      </c>
      <c r="AC62" s="722">
        <f>SUM(AE62:AL62)-(BH62+1)</f>
        <v>0</v>
      </c>
      <c r="AD62" s="778">
        <f>+I62/(BH62+1)</f>
        <v>35625</v>
      </c>
      <c r="AI62" s="59">
        <v>5</v>
      </c>
      <c r="AJ62" s="59">
        <v>6</v>
      </c>
      <c r="AK62" s="59">
        <v>5</v>
      </c>
      <c r="AO62" s="337">
        <f t="shared" si="154"/>
        <v>0</v>
      </c>
      <c r="AP62" s="910">
        <f t="shared" si="160"/>
        <v>0</v>
      </c>
      <c r="AQ62" s="910">
        <f t="shared" si="161"/>
        <v>0</v>
      </c>
      <c r="AR62" s="910">
        <f t="shared" si="162"/>
        <v>0</v>
      </c>
      <c r="AS62" s="910">
        <v>250000</v>
      </c>
      <c r="AT62" s="910">
        <v>270000</v>
      </c>
      <c r="AU62" s="910">
        <v>50000</v>
      </c>
      <c r="AV62" s="910">
        <f t="shared" si="158"/>
        <v>0</v>
      </c>
      <c r="AW62" s="910">
        <f t="shared" si="158"/>
        <v>0</v>
      </c>
      <c r="AX62" s="910"/>
      <c r="AY62" s="910">
        <f t="shared" si="21"/>
        <v>570000</v>
      </c>
      <c r="AZ62" s="786">
        <f>+AY62-I62</f>
        <v>0</v>
      </c>
      <c r="BA62" s="23" t="s">
        <v>423</v>
      </c>
      <c r="BB62" s="722" t="s">
        <v>600</v>
      </c>
      <c r="BC62" s="722" t="s">
        <v>474</v>
      </c>
      <c r="BF62" s="539">
        <v>43497</v>
      </c>
      <c r="BG62" s="539">
        <f t="shared" si="159"/>
        <v>43982</v>
      </c>
      <c r="BH62" s="722">
        <v>15</v>
      </c>
    </row>
    <row r="63" spans="2:61" ht="51" x14ac:dyDescent="0.2">
      <c r="C63" s="50">
        <v>3</v>
      </c>
      <c r="D63" s="50">
        <v>1</v>
      </c>
      <c r="E63" s="50">
        <v>1</v>
      </c>
      <c r="F63" s="50">
        <v>4</v>
      </c>
      <c r="G63" s="32" t="str">
        <f t="shared" si="11"/>
        <v>3.1.1.4</v>
      </c>
      <c r="H63" s="2" t="str">
        <f>+'3.1 nuevo'!B17</f>
        <v>Diagnóstico, fortalecimiento y propuesta de plan de monitoreo y evaluación para un programa de seguridad en ejecución en cada municipio</v>
      </c>
      <c r="I63" s="825">
        <f t="shared" si="111"/>
        <v>450000</v>
      </c>
      <c r="J63" s="729">
        <f t="shared" si="112"/>
        <v>0</v>
      </c>
      <c r="K63" s="730">
        <f t="shared" si="3"/>
        <v>450000</v>
      </c>
      <c r="L63" s="894">
        <v>1</v>
      </c>
      <c r="M63" s="895">
        <f t="shared" si="15"/>
        <v>0</v>
      </c>
      <c r="N63" s="37">
        <f>+'3.1 nuevo'!I17</f>
        <v>0</v>
      </c>
      <c r="O63" s="37">
        <f>+'3.1 nuevo'!J17</f>
        <v>0</v>
      </c>
      <c r="P63" s="37">
        <f>+'3.1 nuevo'!K17</f>
        <v>360000</v>
      </c>
      <c r="Q63" s="37">
        <f>+'3.1 nuevo'!L17</f>
        <v>90000</v>
      </c>
      <c r="R63" s="37"/>
      <c r="S63" s="835">
        <f t="shared" si="5"/>
        <v>450000</v>
      </c>
      <c r="T63" s="38"/>
      <c r="U63" s="38"/>
      <c r="V63" s="38"/>
      <c r="W63" s="38"/>
      <c r="X63" s="37"/>
      <c r="Y63" s="38">
        <f t="shared" si="7"/>
        <v>0</v>
      </c>
      <c r="AC63" s="722">
        <f>SUM(AE63:AL63)-(BH63+1)</f>
        <v>0</v>
      </c>
      <c r="AD63" s="778">
        <f>+I63/(BH63+1)</f>
        <v>28125</v>
      </c>
      <c r="AI63" s="59">
        <v>5</v>
      </c>
      <c r="AJ63" s="59">
        <v>6</v>
      </c>
      <c r="AK63" s="59">
        <v>5</v>
      </c>
      <c r="AO63" s="337">
        <f t="shared" si="154"/>
        <v>0</v>
      </c>
      <c r="AP63" s="910">
        <f t="shared" si="160"/>
        <v>0</v>
      </c>
      <c r="AQ63" s="910">
        <f t="shared" si="161"/>
        <v>0</v>
      </c>
      <c r="AR63" s="910">
        <f t="shared" si="162"/>
        <v>0</v>
      </c>
      <c r="AS63" s="910">
        <v>180000</v>
      </c>
      <c r="AT63" s="910">
        <v>180000</v>
      </c>
      <c r="AU63" s="910">
        <v>90000</v>
      </c>
      <c r="AV63" s="910">
        <f t="shared" si="158"/>
        <v>0</v>
      </c>
      <c r="AW63" s="910">
        <f t="shared" si="158"/>
        <v>0</v>
      </c>
      <c r="AX63" s="910"/>
      <c r="AY63" s="910">
        <f t="shared" si="21"/>
        <v>450000</v>
      </c>
      <c r="AZ63" s="786">
        <f>+AY63-I63</f>
        <v>0</v>
      </c>
      <c r="BA63" s="23" t="s">
        <v>423</v>
      </c>
      <c r="BB63" s="722" t="s">
        <v>441</v>
      </c>
      <c r="BC63" s="722" t="s">
        <v>474</v>
      </c>
      <c r="BF63" s="539">
        <v>43497</v>
      </c>
      <c r="BG63" s="539">
        <f t="shared" si="159"/>
        <v>43982</v>
      </c>
      <c r="BH63" s="722">
        <v>15</v>
      </c>
    </row>
    <row r="64" spans="2:61" ht="39" customHeight="1" x14ac:dyDescent="0.2">
      <c r="C64" s="50">
        <v>3</v>
      </c>
      <c r="D64" s="50">
        <v>1</v>
      </c>
      <c r="E64" s="50">
        <v>1</v>
      </c>
      <c r="F64" s="50">
        <v>5</v>
      </c>
      <c r="G64" s="32" t="str">
        <f t="shared" si="11"/>
        <v>3.1.1.5</v>
      </c>
      <c r="H64" s="2" t="str">
        <f>+'3.1 nuevo'!B18</f>
        <v>Consultoría para desarrollo de propuestas de evaluación local sobre el desempeño policial en cada departamento priorizado</v>
      </c>
      <c r="I64" s="825">
        <f t="shared" si="111"/>
        <v>100000</v>
      </c>
      <c r="J64" s="729">
        <f t="shared" si="112"/>
        <v>0</v>
      </c>
      <c r="K64" s="730">
        <f t="shared" si="3"/>
        <v>100000</v>
      </c>
      <c r="L64" s="894">
        <v>1</v>
      </c>
      <c r="M64" s="895">
        <f t="shared" si="15"/>
        <v>0</v>
      </c>
      <c r="N64" s="37">
        <f>+'3.1 nuevo'!I18</f>
        <v>0</v>
      </c>
      <c r="O64" s="37">
        <f>+'3.1 nuevo'!J18</f>
        <v>0</v>
      </c>
      <c r="P64" s="37">
        <f>+'3.1 nuevo'!K18</f>
        <v>0</v>
      </c>
      <c r="Q64" s="37">
        <f>+'3.1 nuevo'!L18</f>
        <v>50000</v>
      </c>
      <c r="R64" s="37">
        <f>+'3.1 nuevo'!M18</f>
        <v>50000</v>
      </c>
      <c r="S64" s="835">
        <f t="shared" si="5"/>
        <v>100000</v>
      </c>
      <c r="T64" s="38"/>
      <c r="U64" s="38"/>
      <c r="V64" s="38"/>
      <c r="W64" s="38"/>
      <c r="X64" s="37"/>
      <c r="Y64" s="38">
        <f t="shared" si="7"/>
        <v>0</v>
      </c>
      <c r="AC64" s="722">
        <f>SUM(AE64:AL64)-(BH64+1)</f>
        <v>-7</v>
      </c>
      <c r="AD64" s="778">
        <f>+I64/(BH64+1)</f>
        <v>5263.1578947368425</v>
      </c>
      <c r="AK64" s="59">
        <v>6</v>
      </c>
      <c r="AL64" s="59">
        <v>6</v>
      </c>
      <c r="AM64" s="59">
        <v>7</v>
      </c>
      <c r="AO64" s="337">
        <f t="shared" si="154"/>
        <v>0</v>
      </c>
      <c r="AP64" s="910">
        <f t="shared" si="160"/>
        <v>0</v>
      </c>
      <c r="AQ64" s="910">
        <f t="shared" si="161"/>
        <v>0</v>
      </c>
      <c r="AR64" s="910">
        <f t="shared" si="162"/>
        <v>0</v>
      </c>
      <c r="AS64" s="910">
        <f t="shared" si="155"/>
        <v>0</v>
      </c>
      <c r="AT64" s="910">
        <f t="shared" si="156"/>
        <v>0</v>
      </c>
      <c r="AU64" s="910">
        <v>25000</v>
      </c>
      <c r="AV64" s="910">
        <v>25000</v>
      </c>
      <c r="AW64" s="910">
        <v>50000</v>
      </c>
      <c r="AX64" s="910"/>
      <c r="AY64" s="910">
        <f>SUM(AO64:AX64)</f>
        <v>100000</v>
      </c>
      <c r="AZ64" s="786">
        <f>+AY64-I64</f>
        <v>0</v>
      </c>
      <c r="BA64" s="23" t="s">
        <v>423</v>
      </c>
      <c r="BB64" s="722" t="s">
        <v>600</v>
      </c>
      <c r="BC64" s="722" t="s">
        <v>474</v>
      </c>
      <c r="BD64" s="539">
        <v>43770</v>
      </c>
      <c r="BE64" s="722">
        <v>3</v>
      </c>
      <c r="BF64" s="539">
        <v>43831</v>
      </c>
      <c r="BG64" s="539">
        <f t="shared" si="159"/>
        <v>44408</v>
      </c>
      <c r="BH64" s="722">
        <v>18</v>
      </c>
    </row>
    <row r="65" spans="2:61" s="507" customFormat="1" ht="38.25" x14ac:dyDescent="0.2">
      <c r="B65" s="505"/>
      <c r="C65" s="506">
        <v>3</v>
      </c>
      <c r="D65" s="506">
        <v>1</v>
      </c>
      <c r="E65" s="506">
        <v>2</v>
      </c>
      <c r="F65" s="506">
        <v>0</v>
      </c>
      <c r="G65" s="505" t="str">
        <f>CONCATENATE(C65,".",D65,".",E65,".",F65)</f>
        <v>3.1.2.0</v>
      </c>
      <c r="H65" s="623" t="s">
        <v>315</v>
      </c>
      <c r="I65" s="826">
        <f t="shared" si="111"/>
        <v>1505000</v>
      </c>
      <c r="J65" s="731">
        <f t="shared" si="112"/>
        <v>0</v>
      </c>
      <c r="K65" s="732">
        <f t="shared" si="3"/>
        <v>1505000</v>
      </c>
      <c r="L65" s="897"/>
      <c r="M65" s="898"/>
      <c r="N65" s="43">
        <f>SUM(N66:N70)</f>
        <v>55000</v>
      </c>
      <c r="O65" s="43">
        <f t="shared" ref="O65:R65" si="163">SUM(O66:O70)</f>
        <v>1221500</v>
      </c>
      <c r="P65" s="43">
        <f t="shared" si="163"/>
        <v>226500</v>
      </c>
      <c r="Q65" s="43">
        <f t="shared" si="163"/>
        <v>2000</v>
      </c>
      <c r="R65" s="43">
        <f t="shared" si="163"/>
        <v>0</v>
      </c>
      <c r="S65" s="834">
        <f t="shared" si="5"/>
        <v>1505000</v>
      </c>
      <c r="T65" s="43">
        <f t="shared" ref="T65:W65" si="164">SUM(T66:T70)</f>
        <v>0</v>
      </c>
      <c r="U65" s="43">
        <f t="shared" si="164"/>
        <v>0</v>
      </c>
      <c r="V65" s="43">
        <f t="shared" si="164"/>
        <v>0</v>
      </c>
      <c r="W65" s="43">
        <f t="shared" si="164"/>
        <v>0</v>
      </c>
      <c r="X65" s="43">
        <f t="shared" ref="X65" si="165">SUM(X66:X70)</f>
        <v>0</v>
      </c>
      <c r="Y65" s="43">
        <f t="shared" si="7"/>
        <v>0</v>
      </c>
      <c r="Z65" s="505">
        <f>+'Matriz de Resultados'!B43</f>
        <v>3.2</v>
      </c>
      <c r="AC65" s="505"/>
      <c r="AD65" s="779"/>
      <c r="AE65" s="846"/>
      <c r="AF65" s="772"/>
      <c r="AG65" s="772"/>
      <c r="AH65" s="772"/>
      <c r="AI65" s="772"/>
      <c r="AJ65" s="772"/>
      <c r="AK65" s="772"/>
      <c r="AL65" s="772"/>
      <c r="AM65" s="772"/>
      <c r="AN65" s="773"/>
      <c r="AO65" s="784"/>
      <c r="AP65" s="911"/>
      <c r="AQ65" s="911"/>
      <c r="AR65" s="911"/>
      <c r="AS65" s="911"/>
      <c r="AT65" s="911"/>
      <c r="AU65" s="911"/>
      <c r="AV65" s="911"/>
      <c r="AW65" s="911"/>
      <c r="AX65" s="911"/>
      <c r="AY65" s="912">
        <f t="shared" si="21"/>
        <v>0</v>
      </c>
      <c r="AZ65" s="505"/>
      <c r="BB65" s="505"/>
      <c r="BC65" s="505"/>
      <c r="BD65" s="505"/>
      <c r="BE65" s="505"/>
      <c r="BF65" s="505"/>
      <c r="BG65" s="505"/>
      <c r="BH65" s="505"/>
      <c r="BI65" s="505"/>
    </row>
    <row r="66" spans="2:61" ht="42.75" customHeight="1" x14ac:dyDescent="0.2">
      <c r="C66" s="50">
        <v>3</v>
      </c>
      <c r="D66" s="50">
        <v>1</v>
      </c>
      <c r="E66" s="50">
        <v>2</v>
      </c>
      <c r="F66" s="50">
        <v>1</v>
      </c>
      <c r="G66" s="32" t="str">
        <f>CONCATENATE(C66,".",D66,".",E66,".",F66)</f>
        <v>3.1.2.1</v>
      </c>
      <c r="H66" s="2" t="str">
        <f>+'3.1 nuevo'!B20</f>
        <v>Consultorías de elaboración de protocolos de gestión de datos de homicidios y robos en los departamentos priorizados</v>
      </c>
      <c r="I66" s="825">
        <f t="shared" si="111"/>
        <v>300000</v>
      </c>
      <c r="J66" s="729">
        <f t="shared" si="112"/>
        <v>0</v>
      </c>
      <c r="K66" s="730">
        <f t="shared" si="3"/>
        <v>300000</v>
      </c>
      <c r="L66" s="894">
        <v>1</v>
      </c>
      <c r="M66" s="895">
        <f t="shared" si="15"/>
        <v>0</v>
      </c>
      <c r="N66" s="37">
        <f>+'3.1 nuevo'!I20</f>
        <v>25000</v>
      </c>
      <c r="O66" s="37">
        <f>+'3.1 nuevo'!J20</f>
        <v>200000</v>
      </c>
      <c r="P66" s="37">
        <f>+'3.1 nuevo'!K20</f>
        <v>75000</v>
      </c>
      <c r="Q66" s="37">
        <f>+'3.1 nuevo'!L20</f>
        <v>0</v>
      </c>
      <c r="R66" s="37"/>
      <c r="S66" s="835">
        <f t="shared" si="5"/>
        <v>300000</v>
      </c>
      <c r="T66" s="38"/>
      <c r="U66" s="38"/>
      <c r="V66" s="38"/>
      <c r="W66" s="38"/>
      <c r="X66" s="37"/>
      <c r="Y66" s="38">
        <f t="shared" si="7"/>
        <v>0</v>
      </c>
      <c r="AC66" s="722">
        <f>SUM(AE66:AL66)-(BH66+1)</f>
        <v>0</v>
      </c>
      <c r="AD66" s="778">
        <f>+I66/(BH66+1)</f>
        <v>14285.714285714286</v>
      </c>
      <c r="AF66" s="59">
        <v>3</v>
      </c>
      <c r="AG66" s="59">
        <v>6</v>
      </c>
      <c r="AH66" s="59">
        <v>6</v>
      </c>
      <c r="AI66" s="59">
        <v>6</v>
      </c>
      <c r="AO66" s="337">
        <f t="shared" ref="AO66:AO70" si="166">+$AD66*AE66</f>
        <v>0</v>
      </c>
      <c r="AP66" s="910">
        <v>25000</v>
      </c>
      <c r="AQ66" s="910">
        <v>100000</v>
      </c>
      <c r="AR66" s="910">
        <v>100000</v>
      </c>
      <c r="AS66" s="910">
        <v>75000</v>
      </c>
      <c r="AT66" s="910">
        <f t="shared" ref="AT66:AT68" si="167">+$AD66*AJ66</f>
        <v>0</v>
      </c>
      <c r="AU66" s="910">
        <f t="shared" ref="AU66:AU70" si="168">+$AD66*AK66</f>
        <v>0</v>
      </c>
      <c r="AV66" s="910">
        <f t="shared" ref="AV66:AW70" si="169">+$AD66*AL66</f>
        <v>0</v>
      </c>
      <c r="AW66" s="910">
        <f t="shared" si="169"/>
        <v>0</v>
      </c>
      <c r="AX66" s="910"/>
      <c r="AY66" s="910">
        <f t="shared" si="21"/>
        <v>300000</v>
      </c>
      <c r="AZ66" s="786">
        <f>+AY66-I66</f>
        <v>0</v>
      </c>
      <c r="BA66" s="23" t="s">
        <v>423</v>
      </c>
      <c r="BB66" s="722" t="s">
        <v>442</v>
      </c>
      <c r="BC66" s="722" t="s">
        <v>474</v>
      </c>
      <c r="BF66" s="539">
        <v>43009</v>
      </c>
      <c r="BG66" s="539">
        <f t="shared" ref="BG66:BG70" si="170">EOMONTH(BF66,BH66)</f>
        <v>43646</v>
      </c>
      <c r="BH66" s="722">
        <v>20</v>
      </c>
    </row>
    <row r="67" spans="2:61" ht="25.5" x14ac:dyDescent="0.2">
      <c r="C67" s="50">
        <v>3</v>
      </c>
      <c r="D67" s="50">
        <v>1</v>
      </c>
      <c r="E67" s="50">
        <v>2</v>
      </c>
      <c r="F67" s="50">
        <v>2</v>
      </c>
      <c r="G67" s="32" t="str">
        <f t="shared" ref="G67:G70" si="171">CONCATENATE(C67,".",D67,".",E67,".",F67)</f>
        <v>3.1.2.2</v>
      </c>
      <c r="H67" s="2" t="str">
        <f>+'3.1 nuevo'!B21</f>
        <v>Adquisición de equipamiento, mobiliario y materiales para los observatorios</v>
      </c>
      <c r="I67" s="825">
        <f t="shared" si="111"/>
        <v>555000</v>
      </c>
      <c r="J67" s="729">
        <f t="shared" si="112"/>
        <v>0</v>
      </c>
      <c r="K67" s="730">
        <f t="shared" si="3"/>
        <v>555000</v>
      </c>
      <c r="L67" s="894">
        <v>1</v>
      </c>
      <c r="M67" s="895">
        <f t="shared" si="15"/>
        <v>0</v>
      </c>
      <c r="N67" s="37">
        <f>+'3.1 nuevo'!I21</f>
        <v>30000</v>
      </c>
      <c r="O67" s="37">
        <f>+'3.1 nuevo'!J21</f>
        <v>521500</v>
      </c>
      <c r="P67" s="37">
        <f>+'3.1 nuevo'!K21</f>
        <v>1500</v>
      </c>
      <c r="Q67" s="37">
        <f>+'3.1 nuevo'!L21</f>
        <v>2000</v>
      </c>
      <c r="R67" s="37"/>
      <c r="S67" s="835">
        <f t="shared" si="5"/>
        <v>555000</v>
      </c>
      <c r="T67" s="38"/>
      <c r="U67" s="38"/>
      <c r="V67" s="38"/>
      <c r="W67" s="38"/>
      <c r="X67" s="37"/>
      <c r="Y67" s="38">
        <f t="shared" si="7"/>
        <v>0</v>
      </c>
      <c r="AC67" s="722">
        <f>SUM(AE67:AL67)-(BH67+1)</f>
        <v>0</v>
      </c>
      <c r="AD67" s="778">
        <f>+I67/(BH67+1)</f>
        <v>26428.571428571428</v>
      </c>
      <c r="AF67" s="59">
        <v>3</v>
      </c>
      <c r="AG67" s="59">
        <v>6</v>
      </c>
      <c r="AH67" s="59">
        <v>6</v>
      </c>
      <c r="AI67" s="59">
        <v>6</v>
      </c>
      <c r="AO67" s="337">
        <f t="shared" si="166"/>
        <v>0</v>
      </c>
      <c r="AP67" s="910">
        <v>30000</v>
      </c>
      <c r="AQ67" s="910">
        <v>250000</v>
      </c>
      <c r="AR67" s="910">
        <v>271500</v>
      </c>
      <c r="AS67" s="910">
        <v>1500</v>
      </c>
      <c r="AT67" s="910">
        <v>0</v>
      </c>
      <c r="AU67" s="910">
        <v>2000</v>
      </c>
      <c r="AV67" s="910">
        <f t="shared" si="169"/>
        <v>0</v>
      </c>
      <c r="AW67" s="910">
        <f t="shared" si="169"/>
        <v>0</v>
      </c>
      <c r="AX67" s="910"/>
      <c r="AY67" s="910">
        <f t="shared" si="21"/>
        <v>555000</v>
      </c>
      <c r="AZ67" s="786">
        <f>+AY67-I67</f>
        <v>0</v>
      </c>
      <c r="BA67" s="23" t="s">
        <v>421</v>
      </c>
      <c r="BB67" s="722" t="s">
        <v>155</v>
      </c>
      <c r="BC67" s="722" t="s">
        <v>474</v>
      </c>
      <c r="BF67" s="539">
        <v>43009</v>
      </c>
      <c r="BG67" s="539">
        <f t="shared" si="170"/>
        <v>43646</v>
      </c>
      <c r="BH67" s="722">
        <v>20</v>
      </c>
    </row>
    <row r="68" spans="2:61" x14ac:dyDescent="0.2">
      <c r="C68" s="50">
        <v>3</v>
      </c>
      <c r="D68" s="50">
        <v>1</v>
      </c>
      <c r="E68" s="50">
        <v>2</v>
      </c>
      <c r="F68" s="50">
        <v>3</v>
      </c>
      <c r="G68" s="32" t="str">
        <f t="shared" si="171"/>
        <v>3.1.2.3</v>
      </c>
      <c r="H68" s="2" t="str">
        <f>+'3.1 nuevo'!B26</f>
        <v>Adquisición de licencias de software</v>
      </c>
      <c r="I68" s="825">
        <f t="shared" si="111"/>
        <v>400000</v>
      </c>
      <c r="J68" s="729">
        <f t="shared" si="112"/>
        <v>0</v>
      </c>
      <c r="K68" s="730">
        <f t="shared" si="3"/>
        <v>400000</v>
      </c>
      <c r="L68" s="894">
        <v>1</v>
      </c>
      <c r="M68" s="895">
        <f t="shared" si="15"/>
        <v>0</v>
      </c>
      <c r="N68" s="37">
        <f>+'3.1 nuevo'!I26</f>
        <v>0</v>
      </c>
      <c r="O68" s="37">
        <f>+'3.1 nuevo'!J26</f>
        <v>400000</v>
      </c>
      <c r="P68" s="37">
        <f>+'3.1 nuevo'!K26</f>
        <v>0</v>
      </c>
      <c r="Q68" s="37">
        <f>+'3.1 nuevo'!L26</f>
        <v>0</v>
      </c>
      <c r="R68" s="37"/>
      <c r="S68" s="835">
        <f t="shared" ref="S68:S81" si="172">SUM(N68:R68)</f>
        <v>400000</v>
      </c>
      <c r="T68" s="38"/>
      <c r="U68" s="38"/>
      <c r="V68" s="38"/>
      <c r="W68" s="38"/>
      <c r="X68" s="37"/>
      <c r="Y68" s="38">
        <f t="shared" ref="Y68:Y82" si="173">SUM(T68:X68)</f>
        <v>0</v>
      </c>
      <c r="AC68" s="722">
        <f>SUM(AE68:AL68)-(BH68+1)</f>
        <v>0</v>
      </c>
      <c r="AD68" s="778">
        <f>+I68/(BH68+1)</f>
        <v>66666.666666666672</v>
      </c>
      <c r="AG68" s="59">
        <v>5</v>
      </c>
      <c r="AH68" s="59">
        <v>1</v>
      </c>
      <c r="AO68" s="337">
        <f t="shared" si="166"/>
        <v>0</v>
      </c>
      <c r="AP68" s="910">
        <f t="shared" ref="AP68:AP70" si="174">+$AD68*AF68</f>
        <v>0</v>
      </c>
      <c r="AQ68" s="910">
        <v>200000</v>
      </c>
      <c r="AR68" s="910">
        <v>200000</v>
      </c>
      <c r="AS68" s="910">
        <f t="shared" ref="AS68" si="175">+$AD68*AI68</f>
        <v>0</v>
      </c>
      <c r="AT68" s="910">
        <f t="shared" si="167"/>
        <v>0</v>
      </c>
      <c r="AU68" s="910">
        <f t="shared" si="168"/>
        <v>0</v>
      </c>
      <c r="AV68" s="910">
        <f t="shared" si="169"/>
        <v>0</v>
      </c>
      <c r="AW68" s="910">
        <f t="shared" si="169"/>
        <v>0</v>
      </c>
      <c r="AX68" s="910"/>
      <c r="AY68" s="910">
        <f t="shared" si="21"/>
        <v>400000</v>
      </c>
      <c r="AZ68" s="786">
        <f>+AY68-I68</f>
        <v>0</v>
      </c>
      <c r="BA68" s="23" t="s">
        <v>421</v>
      </c>
      <c r="BB68" s="722" t="s">
        <v>464</v>
      </c>
      <c r="BC68" s="722" t="s">
        <v>474</v>
      </c>
      <c r="BF68" s="539">
        <v>43132</v>
      </c>
      <c r="BG68" s="539">
        <f t="shared" si="170"/>
        <v>43312</v>
      </c>
      <c r="BH68" s="722">
        <v>5</v>
      </c>
    </row>
    <row r="69" spans="2:61" ht="25.5" x14ac:dyDescent="0.2">
      <c r="C69" s="50">
        <v>3</v>
      </c>
      <c r="D69" s="50">
        <v>1</v>
      </c>
      <c r="E69" s="50">
        <v>2</v>
      </c>
      <c r="F69" s="50">
        <v>4</v>
      </c>
      <c r="G69" s="32" t="str">
        <f t="shared" si="171"/>
        <v>3.1.2.4</v>
      </c>
      <c r="H69" s="2" t="str">
        <f>+'3.1 nuevo'!B27</f>
        <v>Servicio de diseño de una página web para cada observatorio</v>
      </c>
      <c r="I69" s="825">
        <f t="shared" si="111"/>
        <v>50000</v>
      </c>
      <c r="J69" s="729">
        <f t="shared" si="112"/>
        <v>0</v>
      </c>
      <c r="K69" s="730">
        <f t="shared" si="3"/>
        <v>50000</v>
      </c>
      <c r="L69" s="894">
        <v>1</v>
      </c>
      <c r="M69" s="895">
        <f t="shared" si="15"/>
        <v>0</v>
      </c>
      <c r="N69" s="37">
        <f>+'3.1 nuevo'!I27</f>
        <v>0</v>
      </c>
      <c r="O69" s="37">
        <f>+'3.1 nuevo'!J27</f>
        <v>0</v>
      </c>
      <c r="P69" s="37">
        <f>+'3.1 nuevo'!K27</f>
        <v>50000</v>
      </c>
      <c r="Q69" s="37">
        <f>+'3.1 nuevo'!L27</f>
        <v>0</v>
      </c>
      <c r="R69" s="37"/>
      <c r="S69" s="835">
        <f t="shared" si="172"/>
        <v>50000</v>
      </c>
      <c r="T69" s="38"/>
      <c r="U69" s="38"/>
      <c r="V69" s="38"/>
      <c r="W69" s="38"/>
      <c r="X69" s="37"/>
      <c r="Y69" s="38">
        <f t="shared" si="173"/>
        <v>0</v>
      </c>
      <c r="AC69" s="722">
        <f>SUM(AE69:AL69)-(BH69+1)</f>
        <v>0</v>
      </c>
      <c r="AD69" s="778">
        <f>+I69/(BH69+1)</f>
        <v>8333.3333333333339</v>
      </c>
      <c r="AI69" s="59">
        <v>5</v>
      </c>
      <c r="AJ69" s="59">
        <v>1</v>
      </c>
      <c r="AO69" s="337">
        <f t="shared" si="166"/>
        <v>0</v>
      </c>
      <c r="AP69" s="910">
        <f t="shared" si="174"/>
        <v>0</v>
      </c>
      <c r="AQ69" s="910">
        <f t="shared" ref="AQ69" si="176">+$AD69*AG69</f>
        <v>0</v>
      </c>
      <c r="AR69" s="910">
        <f t="shared" ref="AR69" si="177">+$AD69*AH69</f>
        <v>0</v>
      </c>
      <c r="AS69" s="910">
        <v>20000</v>
      </c>
      <c r="AT69" s="910">
        <v>30000</v>
      </c>
      <c r="AU69" s="910">
        <f t="shared" si="168"/>
        <v>0</v>
      </c>
      <c r="AV69" s="910">
        <f t="shared" si="169"/>
        <v>0</v>
      </c>
      <c r="AW69" s="910">
        <f t="shared" si="169"/>
        <v>0</v>
      </c>
      <c r="AX69" s="910"/>
      <c r="AY69" s="910">
        <f t="shared" si="21"/>
        <v>50000</v>
      </c>
      <c r="AZ69" s="786">
        <f>+AY69-I69</f>
        <v>0</v>
      </c>
      <c r="BA69" s="23" t="s">
        <v>423</v>
      </c>
      <c r="BB69" s="722" t="s">
        <v>465</v>
      </c>
      <c r="BC69" s="722" t="s">
        <v>474</v>
      </c>
      <c r="BF69" s="539">
        <v>43497</v>
      </c>
      <c r="BG69" s="539">
        <f t="shared" si="170"/>
        <v>43677</v>
      </c>
      <c r="BH69" s="722">
        <v>5</v>
      </c>
    </row>
    <row r="70" spans="2:61" ht="38.25" x14ac:dyDescent="0.2">
      <c r="C70" s="50">
        <v>3</v>
      </c>
      <c r="D70" s="50">
        <v>1</v>
      </c>
      <c r="E70" s="50">
        <v>2</v>
      </c>
      <c r="F70" s="50">
        <v>5</v>
      </c>
      <c r="G70" s="32" t="str">
        <f t="shared" si="171"/>
        <v>3.1.2.5</v>
      </c>
      <c r="H70" s="2" t="str">
        <f>+'3.1 nuevo'!B28</f>
        <v>Diseño e implementación de cursos de capacitación para los integrantes de los observatorios</v>
      </c>
      <c r="I70" s="825">
        <f t="shared" si="111"/>
        <v>200000</v>
      </c>
      <c r="J70" s="729">
        <f t="shared" si="112"/>
        <v>0</v>
      </c>
      <c r="K70" s="730">
        <f t="shared" si="3"/>
        <v>200000</v>
      </c>
      <c r="L70" s="894">
        <v>1</v>
      </c>
      <c r="M70" s="895">
        <f t="shared" si="15"/>
        <v>0</v>
      </c>
      <c r="N70" s="37">
        <f>+'3.1 nuevo'!I28</f>
        <v>0</v>
      </c>
      <c r="O70" s="37">
        <f>+'3.1 nuevo'!J28</f>
        <v>100000</v>
      </c>
      <c r="P70" s="37">
        <f>+'3.1 nuevo'!K28</f>
        <v>100000</v>
      </c>
      <c r="Q70" s="37">
        <f>+'3.1 nuevo'!L28</f>
        <v>0</v>
      </c>
      <c r="R70" s="37"/>
      <c r="S70" s="835">
        <f t="shared" si="172"/>
        <v>200000</v>
      </c>
      <c r="T70" s="38"/>
      <c r="U70" s="38"/>
      <c r="V70" s="38"/>
      <c r="W70" s="38"/>
      <c r="X70" s="37"/>
      <c r="Y70" s="38">
        <f t="shared" si="173"/>
        <v>0</v>
      </c>
      <c r="AC70" s="722">
        <f>SUM(AE70:AL70)-(BH70+1)</f>
        <v>0</v>
      </c>
      <c r="AD70" s="778">
        <f>+I70/(BH70+1)</f>
        <v>9523.8095238095229</v>
      </c>
      <c r="AG70" s="59">
        <v>5</v>
      </c>
      <c r="AH70" s="59">
        <v>6</v>
      </c>
      <c r="AI70" s="59">
        <v>6</v>
      </c>
      <c r="AJ70" s="59">
        <v>4</v>
      </c>
      <c r="AO70" s="337">
        <f t="shared" si="166"/>
        <v>0</v>
      </c>
      <c r="AP70" s="910">
        <f t="shared" si="174"/>
        <v>0</v>
      </c>
      <c r="AQ70" s="910">
        <v>50000</v>
      </c>
      <c r="AR70" s="910">
        <v>50000</v>
      </c>
      <c r="AS70" s="910">
        <v>50000</v>
      </c>
      <c r="AT70" s="910">
        <v>50000</v>
      </c>
      <c r="AU70" s="910">
        <f t="shared" si="168"/>
        <v>0</v>
      </c>
      <c r="AV70" s="910">
        <f t="shared" si="169"/>
        <v>0</v>
      </c>
      <c r="AW70" s="910">
        <f t="shared" si="169"/>
        <v>0</v>
      </c>
      <c r="AX70" s="910"/>
      <c r="AY70" s="910">
        <f t="shared" si="21"/>
        <v>200000</v>
      </c>
      <c r="AZ70" s="786">
        <f>+AY70-I70</f>
        <v>0</v>
      </c>
      <c r="BA70" s="23" t="s">
        <v>178</v>
      </c>
      <c r="BB70" s="539"/>
      <c r="BF70" s="539">
        <v>43132</v>
      </c>
      <c r="BG70" s="539">
        <f t="shared" si="170"/>
        <v>43769</v>
      </c>
      <c r="BH70" s="722">
        <v>20</v>
      </c>
    </row>
    <row r="71" spans="2:61" s="54" customFormat="1" ht="25.5" x14ac:dyDescent="0.2">
      <c r="B71" s="51"/>
      <c r="C71" s="52">
        <v>3</v>
      </c>
      <c r="D71" s="52">
        <v>2</v>
      </c>
      <c r="E71" s="52">
        <v>0</v>
      </c>
      <c r="F71" s="52">
        <v>0</v>
      </c>
      <c r="G71" s="51" t="str">
        <f t="shared" si="11"/>
        <v>3.2.0.0</v>
      </c>
      <c r="H71" s="819" t="s">
        <v>52</v>
      </c>
      <c r="I71" s="828">
        <f t="shared" si="111"/>
        <v>6400000</v>
      </c>
      <c r="J71" s="725">
        <f t="shared" si="112"/>
        <v>0</v>
      </c>
      <c r="K71" s="726">
        <f t="shared" si="3"/>
        <v>6400000</v>
      </c>
      <c r="L71" s="901"/>
      <c r="M71" s="902"/>
      <c r="N71" s="53">
        <f>SUM(N72:N74)</f>
        <v>525000</v>
      </c>
      <c r="O71" s="53">
        <f>SUM(O72:O74)</f>
        <v>3238405</v>
      </c>
      <c r="P71" s="53">
        <f>SUM(P72:P74)</f>
        <v>2464995</v>
      </c>
      <c r="Q71" s="53">
        <f>SUM(Q72:Q74)</f>
        <v>171600</v>
      </c>
      <c r="R71" s="53">
        <f>SUM(R72:R74)</f>
        <v>0</v>
      </c>
      <c r="S71" s="833">
        <f t="shared" si="172"/>
        <v>6400000</v>
      </c>
      <c r="T71" s="53">
        <f t="shared" ref="T71:W71" si="178">SUM(T72:T74)</f>
        <v>0</v>
      </c>
      <c r="U71" s="53">
        <f t="shared" si="178"/>
        <v>0</v>
      </c>
      <c r="V71" s="53">
        <f t="shared" si="178"/>
        <v>0</v>
      </c>
      <c r="W71" s="53">
        <f t="shared" si="178"/>
        <v>0</v>
      </c>
      <c r="X71" s="53">
        <f>SUM(X72:X74)</f>
        <v>0</v>
      </c>
      <c r="Y71" s="53">
        <f t="shared" si="173"/>
        <v>0</v>
      </c>
      <c r="Z71" s="840"/>
      <c r="AC71" s="51"/>
      <c r="AD71" s="780"/>
      <c r="AE71" s="847"/>
      <c r="AF71" s="774"/>
      <c r="AG71" s="774"/>
      <c r="AH71" s="774"/>
      <c r="AI71" s="774"/>
      <c r="AJ71" s="774"/>
      <c r="AK71" s="774"/>
      <c r="AL71" s="774"/>
      <c r="AM71" s="774"/>
      <c r="AN71" s="775"/>
      <c r="AO71" s="785"/>
      <c r="AP71" s="913"/>
      <c r="AQ71" s="913"/>
      <c r="AR71" s="913"/>
      <c r="AS71" s="913"/>
      <c r="AT71" s="913"/>
      <c r="AU71" s="913"/>
      <c r="AV71" s="913"/>
      <c r="AW71" s="913"/>
      <c r="AX71" s="913"/>
      <c r="AY71" s="914">
        <f t="shared" ref="AY71:AY82" si="179">SUM(AO71:AX71)</f>
        <v>0</v>
      </c>
      <c r="AZ71" s="51"/>
      <c r="BB71" s="51"/>
      <c r="BC71" s="51"/>
      <c r="BD71" s="51"/>
      <c r="BE71" s="51"/>
      <c r="BF71" s="51"/>
      <c r="BG71" s="51"/>
      <c r="BH71" s="51"/>
      <c r="BI71" s="51"/>
    </row>
    <row r="72" spans="2:61" s="463" customFormat="1" ht="19.5" customHeight="1" x14ac:dyDescent="0.2">
      <c r="B72" s="490"/>
      <c r="C72" s="491">
        <v>3</v>
      </c>
      <c r="D72" s="491">
        <v>2</v>
      </c>
      <c r="E72" s="491">
        <v>1</v>
      </c>
      <c r="F72" s="491">
        <v>1</v>
      </c>
      <c r="G72" s="750" t="str">
        <f t="shared" si="11"/>
        <v>3.2.1.1</v>
      </c>
      <c r="H72" s="622" t="s">
        <v>51</v>
      </c>
      <c r="I72" s="829">
        <f t="shared" si="111"/>
        <v>2750000</v>
      </c>
      <c r="J72" s="733">
        <f t="shared" si="112"/>
        <v>0</v>
      </c>
      <c r="K72" s="734">
        <f t="shared" ref="K72:K82" si="180">SUM(I72:J72)</f>
        <v>2750000</v>
      </c>
      <c r="L72" s="900">
        <v>1</v>
      </c>
      <c r="M72" s="904">
        <f t="shared" si="15"/>
        <v>0</v>
      </c>
      <c r="N72" s="492">
        <f>+'3.2 ultimo'!K6</f>
        <v>495000</v>
      </c>
      <c r="O72" s="492">
        <f>+'3.2 ultimo'!L6</f>
        <v>1500000</v>
      </c>
      <c r="P72" s="492">
        <f>+'3.2 ultimo'!M6</f>
        <v>755000</v>
      </c>
      <c r="Q72" s="492">
        <f>+'3.2 ultimo'!N6</f>
        <v>0</v>
      </c>
      <c r="R72" s="492"/>
      <c r="S72" s="835">
        <f t="shared" si="172"/>
        <v>2750000</v>
      </c>
      <c r="T72" s="38"/>
      <c r="U72" s="38"/>
      <c r="V72" s="38"/>
      <c r="W72" s="38"/>
      <c r="X72" s="492"/>
      <c r="Y72" s="38">
        <f t="shared" si="173"/>
        <v>0</v>
      </c>
      <c r="Z72" s="490">
        <f>+'Matriz de Resultados'!B44</f>
        <v>3.3</v>
      </c>
      <c r="AC72" s="722">
        <f>SUM(AE72:AL72)-(BH72+1)</f>
        <v>0</v>
      </c>
      <c r="AD72" s="778">
        <f>+I72/(BH72+1)</f>
        <v>130952.38095238095</v>
      </c>
      <c r="AE72" s="845"/>
      <c r="AF72" s="59">
        <v>3</v>
      </c>
      <c r="AG72" s="59">
        <v>6</v>
      </c>
      <c r="AH72" s="59">
        <v>6</v>
      </c>
      <c r="AI72" s="59">
        <v>6</v>
      </c>
      <c r="AJ72" s="59"/>
      <c r="AK72" s="59"/>
      <c r="AL72" s="59"/>
      <c r="AM72" s="59"/>
      <c r="AN72" s="771"/>
      <c r="AO72" s="337">
        <f t="shared" ref="AO72:AO73" si="181">+$AD72*AE72</f>
        <v>0</v>
      </c>
      <c r="AP72" s="910">
        <v>495000</v>
      </c>
      <c r="AQ72" s="910">
        <v>750000</v>
      </c>
      <c r="AR72" s="910">
        <v>750000</v>
      </c>
      <c r="AS72" s="910">
        <v>755000</v>
      </c>
      <c r="AT72" s="910">
        <f t="shared" ref="AT72" si="182">+$AD72*AJ72</f>
        <v>0</v>
      </c>
      <c r="AU72" s="910">
        <f t="shared" ref="AU72:AU73" si="183">+$AD72*AK72</f>
        <v>0</v>
      </c>
      <c r="AV72" s="910">
        <f t="shared" ref="AV72:AW73" si="184">+$AD72*AL72</f>
        <v>0</v>
      </c>
      <c r="AW72" s="910">
        <f t="shared" si="184"/>
        <v>0</v>
      </c>
      <c r="AX72" s="910"/>
      <c r="AY72" s="910">
        <f t="shared" si="179"/>
        <v>2750000</v>
      </c>
      <c r="AZ72" s="786">
        <f>+AY72-I72</f>
        <v>0</v>
      </c>
      <c r="BA72" s="463" t="s">
        <v>421</v>
      </c>
      <c r="BB72" s="490" t="s">
        <v>465</v>
      </c>
      <c r="BC72" s="722" t="s">
        <v>440</v>
      </c>
      <c r="BD72" s="490"/>
      <c r="BE72" s="490"/>
      <c r="BF72" s="751">
        <v>43009</v>
      </c>
      <c r="BG72" s="751">
        <f t="shared" ref="BG72:BG73" si="185">EOMONTH(BF72,BH72)</f>
        <v>43646</v>
      </c>
      <c r="BH72" s="490">
        <v>20</v>
      </c>
      <c r="BI72" s="490"/>
    </row>
    <row r="73" spans="2:61" s="463" customFormat="1" ht="19.5" customHeight="1" x14ac:dyDescent="0.2">
      <c r="B73" s="490"/>
      <c r="C73" s="491">
        <v>3</v>
      </c>
      <c r="D73" s="491">
        <v>2</v>
      </c>
      <c r="E73" s="491">
        <v>2</v>
      </c>
      <c r="F73" s="491">
        <v>1</v>
      </c>
      <c r="G73" s="750" t="str">
        <f t="shared" si="11"/>
        <v>3.2.2.1</v>
      </c>
      <c r="H73" s="622" t="s">
        <v>555</v>
      </c>
      <c r="I73" s="829">
        <f t="shared" si="111"/>
        <v>1800000</v>
      </c>
      <c r="J73" s="733">
        <f t="shared" si="112"/>
        <v>0</v>
      </c>
      <c r="K73" s="734">
        <f t="shared" si="180"/>
        <v>1800000</v>
      </c>
      <c r="L73" s="900">
        <v>1</v>
      </c>
      <c r="M73" s="904">
        <f t="shared" ref="M73:M81" si="186">100%-L73</f>
        <v>0</v>
      </c>
      <c r="N73" s="492">
        <f>+'3.2 ultimo'!K11</f>
        <v>0</v>
      </c>
      <c r="O73" s="492">
        <f>+'3.2 ultimo'!L11</f>
        <v>720000</v>
      </c>
      <c r="P73" s="492">
        <f>+'3.2 ultimo'!M11</f>
        <v>1080000</v>
      </c>
      <c r="Q73" s="492">
        <f>+'3.2 ultimo'!N11</f>
        <v>0</v>
      </c>
      <c r="R73" s="492"/>
      <c r="S73" s="835">
        <f t="shared" si="172"/>
        <v>1800000</v>
      </c>
      <c r="T73" s="38"/>
      <c r="U73" s="38"/>
      <c r="V73" s="38"/>
      <c r="W73" s="38"/>
      <c r="X73" s="492"/>
      <c r="Y73" s="38">
        <f t="shared" si="173"/>
        <v>0</v>
      </c>
      <c r="Z73" s="490">
        <f>+'Matriz de Resultados'!B45</f>
        <v>3.4</v>
      </c>
      <c r="AC73" s="722">
        <f>SUM(AE73:AL73)-(BH73+1)</f>
        <v>0</v>
      </c>
      <c r="AD73" s="778">
        <f>+I73/(BH73+1)</f>
        <v>94736.84210526316</v>
      </c>
      <c r="AE73" s="845"/>
      <c r="AF73" s="59"/>
      <c r="AG73" s="59">
        <v>3</v>
      </c>
      <c r="AH73" s="59">
        <v>6</v>
      </c>
      <c r="AI73" s="59">
        <v>6</v>
      </c>
      <c r="AJ73" s="59">
        <v>4</v>
      </c>
      <c r="AK73" s="59"/>
      <c r="AL73" s="59"/>
      <c r="AM73" s="59"/>
      <c r="AN73" s="771"/>
      <c r="AO73" s="337">
        <f t="shared" si="181"/>
        <v>0</v>
      </c>
      <c r="AP73" s="910">
        <f t="shared" ref="AP73" si="187">+$AD73*AF73</f>
        <v>0</v>
      </c>
      <c r="AQ73" s="910">
        <v>300000</v>
      </c>
      <c r="AR73" s="910">
        <v>420000</v>
      </c>
      <c r="AS73" s="910">
        <v>600000</v>
      </c>
      <c r="AT73" s="910">
        <v>480000</v>
      </c>
      <c r="AU73" s="910">
        <f t="shared" si="183"/>
        <v>0</v>
      </c>
      <c r="AV73" s="910">
        <f t="shared" si="184"/>
        <v>0</v>
      </c>
      <c r="AW73" s="910">
        <f t="shared" si="184"/>
        <v>0</v>
      </c>
      <c r="AX73" s="910"/>
      <c r="AY73" s="910">
        <f t="shared" si="179"/>
        <v>1800000</v>
      </c>
      <c r="AZ73" s="786">
        <f>+AY73-I73</f>
        <v>0</v>
      </c>
      <c r="BA73" s="463" t="s">
        <v>421</v>
      </c>
      <c r="BB73" s="490" t="s">
        <v>465</v>
      </c>
      <c r="BC73" s="722" t="s">
        <v>440</v>
      </c>
      <c r="BD73" s="490"/>
      <c r="BE73" s="490"/>
      <c r="BF73" s="751">
        <v>43191</v>
      </c>
      <c r="BG73" s="751">
        <f t="shared" si="185"/>
        <v>43769</v>
      </c>
      <c r="BH73" s="490">
        <v>18</v>
      </c>
      <c r="BI73" s="490"/>
    </row>
    <row r="74" spans="2:61" s="507" customFormat="1" ht="38.25" x14ac:dyDescent="0.2">
      <c r="B74" s="505"/>
      <c r="C74" s="506">
        <v>3</v>
      </c>
      <c r="D74" s="506">
        <v>2</v>
      </c>
      <c r="E74" s="506">
        <v>3</v>
      </c>
      <c r="F74" s="506">
        <v>0</v>
      </c>
      <c r="G74" s="505" t="str">
        <f t="shared" si="11"/>
        <v>3.2.3.0</v>
      </c>
      <c r="H74" s="623" t="s">
        <v>21</v>
      </c>
      <c r="I74" s="826">
        <f t="shared" si="111"/>
        <v>1850000</v>
      </c>
      <c r="J74" s="731">
        <f t="shared" si="112"/>
        <v>0</v>
      </c>
      <c r="K74" s="732">
        <f t="shared" si="180"/>
        <v>1850000</v>
      </c>
      <c r="L74" s="897"/>
      <c r="M74" s="898"/>
      <c r="N74" s="43">
        <f>SUM(N75:N78)</f>
        <v>30000</v>
      </c>
      <c r="O74" s="43">
        <f t="shared" ref="O74:W74" si="188">SUM(O75:O78)</f>
        <v>1018405</v>
      </c>
      <c r="P74" s="43">
        <f t="shared" si="188"/>
        <v>629995</v>
      </c>
      <c r="Q74" s="43">
        <f t="shared" si="188"/>
        <v>171600</v>
      </c>
      <c r="R74" s="43">
        <f t="shared" si="188"/>
        <v>0</v>
      </c>
      <c r="S74" s="834">
        <f t="shared" si="172"/>
        <v>1850000</v>
      </c>
      <c r="T74" s="43">
        <f t="shared" si="188"/>
        <v>0</v>
      </c>
      <c r="U74" s="43">
        <f t="shared" si="188"/>
        <v>0</v>
      </c>
      <c r="V74" s="43">
        <f t="shared" si="188"/>
        <v>0</v>
      </c>
      <c r="W74" s="43">
        <f t="shared" si="188"/>
        <v>0</v>
      </c>
      <c r="X74" s="43">
        <f t="shared" ref="X74" si="189">SUM(X75:X78)</f>
        <v>0</v>
      </c>
      <c r="Y74" s="43">
        <f t="shared" si="173"/>
        <v>0</v>
      </c>
      <c r="Z74" s="505">
        <v>3.5</v>
      </c>
      <c r="AC74" s="505"/>
      <c r="AD74" s="779"/>
      <c r="AE74" s="846"/>
      <c r="AF74" s="772"/>
      <c r="AG74" s="772"/>
      <c r="AH74" s="772"/>
      <c r="AI74" s="772"/>
      <c r="AJ74" s="772"/>
      <c r="AK74" s="772"/>
      <c r="AL74" s="772"/>
      <c r="AM74" s="772"/>
      <c r="AN74" s="773"/>
      <c r="AO74" s="784"/>
      <c r="AP74" s="911"/>
      <c r="AQ74" s="911"/>
      <c r="AR74" s="911"/>
      <c r="AS74" s="911"/>
      <c r="AT74" s="911"/>
      <c r="AU74" s="911"/>
      <c r="AV74" s="911"/>
      <c r="AW74" s="911"/>
      <c r="AX74" s="911"/>
      <c r="AY74" s="912">
        <f t="shared" si="179"/>
        <v>0</v>
      </c>
      <c r="AZ74" s="505"/>
      <c r="BB74" s="505"/>
      <c r="BC74" s="505"/>
      <c r="BD74" s="505"/>
      <c r="BE74" s="505"/>
      <c r="BF74" s="505"/>
      <c r="BG74" s="505"/>
      <c r="BH74" s="505"/>
      <c r="BI74" s="505"/>
    </row>
    <row r="75" spans="2:61" ht="38.25" x14ac:dyDescent="0.2">
      <c r="C75" s="50">
        <v>3</v>
      </c>
      <c r="D75" s="50">
        <v>2</v>
      </c>
      <c r="E75" s="50">
        <v>3</v>
      </c>
      <c r="F75" s="50">
        <v>1</v>
      </c>
      <c r="G75" s="207" t="str">
        <f t="shared" si="11"/>
        <v>3.2.3.1</v>
      </c>
      <c r="H75" s="2" t="str">
        <f>+'3.2.3 RP'!G18</f>
        <v>Programa de prevención de factores de riesgo de violencia en niños de 2 a 11 años (Triple P) en 5 barrios</v>
      </c>
      <c r="I75" s="825">
        <f t="shared" si="111"/>
        <v>205000</v>
      </c>
      <c r="J75" s="729">
        <f t="shared" si="112"/>
        <v>0</v>
      </c>
      <c r="K75" s="730">
        <f t="shared" si="180"/>
        <v>205000</v>
      </c>
      <c r="L75" s="894">
        <v>1</v>
      </c>
      <c r="M75" s="895">
        <f t="shared" si="186"/>
        <v>0</v>
      </c>
      <c r="N75" s="37">
        <f>+'3.2 ultimo'!K26</f>
        <v>0</v>
      </c>
      <c r="O75" s="37">
        <f>+'3.2 ultimo'!L26</f>
        <v>141950</v>
      </c>
      <c r="P75" s="37">
        <f>+'3.2 ultimo'!M26</f>
        <v>63050</v>
      </c>
      <c r="Q75" s="37">
        <f>+'3.2 ultimo'!N26</f>
        <v>0</v>
      </c>
      <c r="R75" s="37"/>
      <c r="S75" s="835">
        <f t="shared" si="172"/>
        <v>205000</v>
      </c>
      <c r="T75" s="38"/>
      <c r="U75" s="38"/>
      <c r="V75" s="38"/>
      <c r="W75" s="38"/>
      <c r="X75" s="37"/>
      <c r="Y75" s="38">
        <f t="shared" si="173"/>
        <v>0</v>
      </c>
      <c r="AC75" s="722">
        <f>SUM(AE75:AL75)-(BH75+1)</f>
        <v>0</v>
      </c>
      <c r="AD75" s="778">
        <f>+I75/(BH75+1)</f>
        <v>10789.473684210527</v>
      </c>
      <c r="AG75" s="59">
        <v>3</v>
      </c>
      <c r="AH75" s="59">
        <v>6</v>
      </c>
      <c r="AI75" s="59">
        <v>6</v>
      </c>
      <c r="AJ75" s="59">
        <v>4</v>
      </c>
      <c r="AO75" s="337">
        <f t="shared" ref="AO75:AO78" si="190">+$AD75*AE75</f>
        <v>0</v>
      </c>
      <c r="AP75" s="910">
        <f t="shared" ref="AP75:AP77" si="191">+$AD75*AF75</f>
        <v>0</v>
      </c>
      <c r="AQ75" s="910">
        <v>70000</v>
      </c>
      <c r="AR75" s="910">
        <v>71950</v>
      </c>
      <c r="AS75" s="910">
        <v>50000</v>
      </c>
      <c r="AT75" s="910">
        <v>13050</v>
      </c>
      <c r="AU75" s="910">
        <f t="shared" ref="AU75:AU78" si="192">+$AD75*AK75</f>
        <v>0</v>
      </c>
      <c r="AV75" s="910">
        <f t="shared" ref="AV75:AW78" si="193">+$AD75*AL75</f>
        <v>0</v>
      </c>
      <c r="AW75" s="910">
        <f t="shared" si="193"/>
        <v>0</v>
      </c>
      <c r="AX75" s="910"/>
      <c r="AY75" s="910">
        <f t="shared" si="179"/>
        <v>205000</v>
      </c>
      <c r="AZ75" s="786">
        <f>+AY75-I75</f>
        <v>0</v>
      </c>
      <c r="BA75" s="23" t="s">
        <v>423</v>
      </c>
      <c r="BB75" s="722" t="s">
        <v>600</v>
      </c>
      <c r="BC75" s="722" t="s">
        <v>474</v>
      </c>
      <c r="BF75" s="539">
        <v>43191</v>
      </c>
      <c r="BG75" s="539">
        <f t="shared" ref="BG75:BG78" si="194">EOMONTH(BF75,BH75)</f>
        <v>43769</v>
      </c>
      <c r="BH75" s="722">
        <v>18</v>
      </c>
      <c r="BI75" s="722">
        <v>5</v>
      </c>
    </row>
    <row r="76" spans="2:61" ht="25.5" x14ac:dyDescent="0.2">
      <c r="C76" s="50">
        <v>3</v>
      </c>
      <c r="D76" s="50">
        <v>2</v>
      </c>
      <c r="E76" s="50">
        <v>3</v>
      </c>
      <c r="F76" s="50">
        <v>2</v>
      </c>
      <c r="G76" s="207" t="str">
        <f t="shared" si="11"/>
        <v>3.2.3.2</v>
      </c>
      <c r="H76" s="2" t="str">
        <f>+'3.2.3 RP'!G22</f>
        <v>Programa de prevención de la violencia contra la mujer (SASA!) en 5 barrios</v>
      </c>
      <c r="I76" s="825">
        <f t="shared" si="111"/>
        <v>314000</v>
      </c>
      <c r="J76" s="729">
        <f t="shared" si="112"/>
        <v>0</v>
      </c>
      <c r="K76" s="730">
        <f t="shared" si="180"/>
        <v>314000</v>
      </c>
      <c r="L76" s="894">
        <v>1</v>
      </c>
      <c r="M76" s="895">
        <f t="shared" si="186"/>
        <v>0</v>
      </c>
      <c r="N76" s="37">
        <f>+'3.2 ultimo'!K31</f>
        <v>0</v>
      </c>
      <c r="O76" s="37">
        <f>+'3.2 ultimo'!L31</f>
        <v>141200</v>
      </c>
      <c r="P76" s="37">
        <f>+'3.2 ultimo'!M31</f>
        <v>115200</v>
      </c>
      <c r="Q76" s="37">
        <f>+'3.2 ultimo'!N31</f>
        <v>57600</v>
      </c>
      <c r="R76" s="37"/>
      <c r="S76" s="835">
        <f t="shared" si="172"/>
        <v>314000</v>
      </c>
      <c r="T76" s="38"/>
      <c r="U76" s="38"/>
      <c r="V76" s="38"/>
      <c r="W76" s="38"/>
      <c r="X76" s="37"/>
      <c r="Y76" s="38">
        <f t="shared" si="173"/>
        <v>0</v>
      </c>
      <c r="AC76" s="722">
        <f>SUM(AE76:AL76)-(BH76+1)</f>
        <v>0</v>
      </c>
      <c r="AD76" s="778">
        <f>+I76/(BH76+1)</f>
        <v>11629.62962962963</v>
      </c>
      <c r="AG76" s="59">
        <v>3</v>
      </c>
      <c r="AH76" s="59">
        <v>6</v>
      </c>
      <c r="AI76" s="59">
        <v>6</v>
      </c>
      <c r="AJ76" s="59">
        <v>6</v>
      </c>
      <c r="AK76" s="59">
        <v>6</v>
      </c>
      <c r="AO76" s="337">
        <f t="shared" si="190"/>
        <v>0</v>
      </c>
      <c r="AP76" s="910">
        <f t="shared" si="191"/>
        <v>0</v>
      </c>
      <c r="AQ76" s="910">
        <v>70000</v>
      </c>
      <c r="AR76" s="910">
        <v>71200</v>
      </c>
      <c r="AS76" s="910">
        <v>60000</v>
      </c>
      <c r="AT76" s="910">
        <v>55200</v>
      </c>
      <c r="AU76" s="910">
        <v>57600</v>
      </c>
      <c r="AV76" s="910">
        <f t="shared" si="193"/>
        <v>0</v>
      </c>
      <c r="AW76" s="910">
        <f t="shared" si="193"/>
        <v>0</v>
      </c>
      <c r="AX76" s="910"/>
      <c r="AY76" s="910">
        <f t="shared" si="179"/>
        <v>314000</v>
      </c>
      <c r="AZ76" s="786">
        <f>+AY76-I76</f>
        <v>0</v>
      </c>
      <c r="BA76" s="23" t="s">
        <v>423</v>
      </c>
      <c r="BB76" s="722" t="s">
        <v>600</v>
      </c>
      <c r="BC76" s="722" t="s">
        <v>474</v>
      </c>
      <c r="BF76" s="539">
        <v>43191</v>
      </c>
      <c r="BG76" s="539">
        <f t="shared" si="194"/>
        <v>44012</v>
      </c>
      <c r="BH76" s="722">
        <v>26</v>
      </c>
      <c r="BI76" s="722">
        <v>5</v>
      </c>
    </row>
    <row r="77" spans="2:61" ht="38.25" x14ac:dyDescent="0.2">
      <c r="C77" s="50">
        <v>3</v>
      </c>
      <c r="D77" s="50">
        <v>2</v>
      </c>
      <c r="E77" s="50">
        <v>3</v>
      </c>
      <c r="F77" s="50">
        <v>3</v>
      </c>
      <c r="G77" s="207" t="str">
        <f t="shared" si="11"/>
        <v>3.2.3.3</v>
      </c>
      <c r="H77" s="2" t="str">
        <f>+'3.2.3 RP'!G27</f>
        <v>Programa de prevención de la violencia en adolescentes de 11 a 17 años (Becoming a man - BAM Sports Edition) en 5 barrios</v>
      </c>
      <c r="I77" s="825">
        <f t="shared" si="111"/>
        <v>633500</v>
      </c>
      <c r="J77" s="729">
        <f t="shared" si="112"/>
        <v>0</v>
      </c>
      <c r="K77" s="730">
        <f t="shared" si="180"/>
        <v>633500</v>
      </c>
      <c r="L77" s="894">
        <v>1</v>
      </c>
      <c r="M77" s="895">
        <f t="shared" si="186"/>
        <v>0</v>
      </c>
      <c r="N77" s="37">
        <f>+'3.2 ultimo'!K37</f>
        <v>0</v>
      </c>
      <c r="O77" s="37">
        <f>+'3.2 ultimo'!L37</f>
        <v>275500</v>
      </c>
      <c r="P77" s="37">
        <f>+'3.2 ultimo'!M37</f>
        <v>244000</v>
      </c>
      <c r="Q77" s="37">
        <f>+'3.2 ultimo'!N37</f>
        <v>114000</v>
      </c>
      <c r="R77" s="37"/>
      <c r="S77" s="835">
        <f t="shared" si="172"/>
        <v>633500</v>
      </c>
      <c r="T77" s="38"/>
      <c r="U77" s="38"/>
      <c r="V77" s="38"/>
      <c r="W77" s="38"/>
      <c r="X77" s="37"/>
      <c r="Y77" s="38">
        <f t="shared" si="173"/>
        <v>0</v>
      </c>
      <c r="AC77" s="722">
        <f>SUM(AE77:AL77)-(BH77+1)</f>
        <v>0</v>
      </c>
      <c r="AD77" s="778">
        <f>+I77/(BH77+1)</f>
        <v>23462.962962962964</v>
      </c>
      <c r="AG77" s="59">
        <v>3</v>
      </c>
      <c r="AH77" s="59">
        <v>6</v>
      </c>
      <c r="AI77" s="59">
        <v>6</v>
      </c>
      <c r="AJ77" s="59">
        <v>6</v>
      </c>
      <c r="AK77" s="59">
        <v>6</v>
      </c>
      <c r="AO77" s="337">
        <f t="shared" si="190"/>
        <v>0</v>
      </c>
      <c r="AP77" s="910">
        <f t="shared" si="191"/>
        <v>0</v>
      </c>
      <c r="AQ77" s="910">
        <v>125500</v>
      </c>
      <c r="AR77" s="910">
        <v>150000</v>
      </c>
      <c r="AS77" s="910">
        <v>130000</v>
      </c>
      <c r="AT77" s="910">
        <v>114000</v>
      </c>
      <c r="AU77" s="910">
        <v>114000</v>
      </c>
      <c r="AV77" s="910">
        <f t="shared" si="193"/>
        <v>0</v>
      </c>
      <c r="AW77" s="910">
        <f t="shared" si="193"/>
        <v>0</v>
      </c>
      <c r="AX77" s="910"/>
      <c r="AY77" s="910">
        <f t="shared" si="179"/>
        <v>633500</v>
      </c>
      <c r="AZ77" s="786">
        <f>+AY77-I77</f>
        <v>0</v>
      </c>
      <c r="BA77" s="23" t="s">
        <v>423</v>
      </c>
      <c r="BB77" s="722" t="s">
        <v>600</v>
      </c>
      <c r="BC77" s="722" t="s">
        <v>474</v>
      </c>
      <c r="BF77" s="539">
        <v>43191</v>
      </c>
      <c r="BG77" s="539">
        <f t="shared" si="194"/>
        <v>44012</v>
      </c>
      <c r="BH77" s="722">
        <v>26</v>
      </c>
      <c r="BI77" s="722">
        <v>5</v>
      </c>
    </row>
    <row r="78" spans="2:61" ht="25.5" x14ac:dyDescent="0.2">
      <c r="C78" s="50">
        <v>3</v>
      </c>
      <c r="D78" s="50">
        <v>2</v>
      </c>
      <c r="E78" s="50">
        <v>3</v>
      </c>
      <c r="F78" s="50">
        <v>4</v>
      </c>
      <c r="G78" s="207" t="str">
        <f t="shared" si="11"/>
        <v>3.2.3.4</v>
      </c>
      <c r="H78" s="2" t="str">
        <f>+'3.2.3 RP'!G37</f>
        <v>Programa de prevención del delito mediante reconversión laboral</v>
      </c>
      <c r="I78" s="825">
        <f t="shared" si="111"/>
        <v>697500</v>
      </c>
      <c r="J78" s="729">
        <f t="shared" si="112"/>
        <v>0</v>
      </c>
      <c r="K78" s="730">
        <f t="shared" si="180"/>
        <v>697500</v>
      </c>
      <c r="L78" s="894">
        <v>1</v>
      </c>
      <c r="M78" s="895">
        <f t="shared" si="186"/>
        <v>0</v>
      </c>
      <c r="N78" s="37">
        <f>+'3.2 ultimo'!K16+'3.2 ultimo'!K20</f>
        <v>30000</v>
      </c>
      <c r="O78" s="37">
        <f>+'3.2 ultimo'!L16+'3.2 ultimo'!L20</f>
        <v>459755</v>
      </c>
      <c r="P78" s="37">
        <f>+'3.2 ultimo'!M16+'3.2 ultimo'!M20</f>
        <v>207745</v>
      </c>
      <c r="Q78" s="37">
        <f>+'3.2 ultimo'!N16+'3.2 ultimo'!N20</f>
        <v>0</v>
      </c>
      <c r="R78" s="37"/>
      <c r="S78" s="835">
        <f t="shared" si="172"/>
        <v>697500</v>
      </c>
      <c r="T78" s="38"/>
      <c r="U78" s="38"/>
      <c r="V78" s="38"/>
      <c r="W78" s="38"/>
      <c r="X78" s="37"/>
      <c r="Y78" s="38">
        <f t="shared" si="173"/>
        <v>0</v>
      </c>
      <c r="AC78" s="722">
        <f>SUM(AE78:AL78)-(BH78+1)</f>
        <v>0</v>
      </c>
      <c r="AD78" s="778">
        <f>+I78/(BH78+1)</f>
        <v>36710.526315789473</v>
      </c>
      <c r="AG78" s="59">
        <v>3</v>
      </c>
      <c r="AH78" s="59">
        <v>6</v>
      </c>
      <c r="AI78" s="59">
        <v>6</v>
      </c>
      <c r="AJ78" s="59">
        <v>4</v>
      </c>
      <c r="AO78" s="337">
        <f t="shared" si="190"/>
        <v>0</v>
      </c>
      <c r="AP78" s="910">
        <v>30000</v>
      </c>
      <c r="AQ78" s="910">
        <v>200000</v>
      </c>
      <c r="AR78" s="910">
        <v>259755</v>
      </c>
      <c r="AS78" s="910">
        <v>207745</v>
      </c>
      <c r="AT78" s="910"/>
      <c r="AU78" s="910">
        <f t="shared" si="192"/>
        <v>0</v>
      </c>
      <c r="AV78" s="910">
        <f t="shared" si="193"/>
        <v>0</v>
      </c>
      <c r="AW78" s="910">
        <f t="shared" si="193"/>
        <v>0</v>
      </c>
      <c r="AX78" s="910"/>
      <c r="AY78" s="910">
        <f t="shared" si="179"/>
        <v>697500</v>
      </c>
      <c r="AZ78" s="786">
        <f>+AY78-I78</f>
        <v>0</v>
      </c>
      <c r="BA78" s="23" t="s">
        <v>423</v>
      </c>
      <c r="BB78" s="722" t="s">
        <v>600</v>
      </c>
      <c r="BC78" s="722" t="s">
        <v>474</v>
      </c>
      <c r="BF78" s="539">
        <v>43191</v>
      </c>
      <c r="BG78" s="539">
        <f t="shared" si="194"/>
        <v>43769</v>
      </c>
      <c r="BH78" s="722">
        <v>18</v>
      </c>
      <c r="BI78" s="722">
        <v>5</v>
      </c>
    </row>
    <row r="79" spans="2:61" s="41" customFormat="1" ht="21.95" customHeight="1" x14ac:dyDescent="0.2">
      <c r="B79" s="46"/>
      <c r="C79" s="48">
        <v>4</v>
      </c>
      <c r="D79" s="48">
        <v>0</v>
      </c>
      <c r="E79" s="48">
        <v>0</v>
      </c>
      <c r="F79" s="48">
        <v>0</v>
      </c>
      <c r="G79" s="47" t="str">
        <f t="shared" si="11"/>
        <v>4.0.0.0</v>
      </c>
      <c r="H79" s="818" t="s">
        <v>54</v>
      </c>
      <c r="I79" s="821">
        <f t="shared" si="111"/>
        <v>200000</v>
      </c>
      <c r="J79" s="813">
        <f t="shared" si="112"/>
        <v>2300000</v>
      </c>
      <c r="K79" s="822">
        <f t="shared" si="180"/>
        <v>2500000</v>
      </c>
      <c r="L79" s="888"/>
      <c r="M79" s="889"/>
      <c r="N79" s="811">
        <f>SUM(N80:N81)</f>
        <v>0</v>
      </c>
      <c r="O79" s="811">
        <f>SUM(O80:O81)</f>
        <v>50000</v>
      </c>
      <c r="P79" s="811">
        <f>SUM(P80:P81)</f>
        <v>50000</v>
      </c>
      <c r="Q79" s="811">
        <f>SUM(Q80:Q81)</f>
        <v>50000</v>
      </c>
      <c r="R79" s="811">
        <f>SUM(R80:R81)</f>
        <v>50000</v>
      </c>
      <c r="S79" s="832">
        <f t="shared" si="172"/>
        <v>200000</v>
      </c>
      <c r="T79" s="811">
        <f t="shared" ref="T79:W79" si="195">SUM(T80:T81)</f>
        <v>200000</v>
      </c>
      <c r="U79" s="811">
        <f t="shared" si="195"/>
        <v>850000</v>
      </c>
      <c r="V79" s="811">
        <f t="shared" si="195"/>
        <v>850000</v>
      </c>
      <c r="W79" s="811">
        <f t="shared" si="195"/>
        <v>300000</v>
      </c>
      <c r="X79" s="811">
        <f>SUM(X80:X81)</f>
        <v>100000</v>
      </c>
      <c r="Y79" s="811">
        <f t="shared" si="173"/>
        <v>2300000</v>
      </c>
      <c r="Z79" s="837"/>
      <c r="AA79" s="812"/>
      <c r="AD79" s="814"/>
      <c r="AE79" s="841"/>
      <c r="AF79" s="815"/>
      <c r="AG79" s="815"/>
      <c r="AH79" s="815"/>
      <c r="AI79" s="815"/>
      <c r="AJ79" s="815"/>
      <c r="AK79" s="815"/>
      <c r="AL79" s="815"/>
      <c r="AM79" s="815"/>
      <c r="AN79" s="842"/>
      <c r="AO79" s="816"/>
      <c r="AP79" s="905"/>
      <c r="AQ79" s="905"/>
      <c r="AR79" s="905"/>
      <c r="AS79" s="905"/>
      <c r="AT79" s="905"/>
      <c r="AU79" s="905"/>
      <c r="AV79" s="905"/>
      <c r="AW79" s="905"/>
      <c r="AX79" s="905"/>
      <c r="AY79" s="815">
        <f t="shared" si="179"/>
        <v>0</v>
      </c>
    </row>
    <row r="80" spans="2:61" ht="18.75" customHeight="1" x14ac:dyDescent="0.2">
      <c r="C80" s="50">
        <v>4</v>
      </c>
      <c r="D80" s="50">
        <v>1</v>
      </c>
      <c r="E80" s="50">
        <v>0</v>
      </c>
      <c r="F80" s="50">
        <v>1</v>
      </c>
      <c r="G80" s="32" t="str">
        <f t="shared" si="11"/>
        <v>4.1.0.1</v>
      </c>
      <c r="H80" s="2" t="s">
        <v>55</v>
      </c>
      <c r="I80" s="825">
        <f t="shared" si="111"/>
        <v>0</v>
      </c>
      <c r="J80" s="729">
        <f t="shared" si="112"/>
        <v>2300000</v>
      </c>
      <c r="K80" s="730">
        <f t="shared" si="180"/>
        <v>2300000</v>
      </c>
      <c r="L80" s="894">
        <v>0</v>
      </c>
      <c r="M80" s="895">
        <f t="shared" si="186"/>
        <v>1</v>
      </c>
      <c r="N80" s="37">
        <v>0</v>
      </c>
      <c r="O80" s="37">
        <v>0</v>
      </c>
      <c r="P80" s="37">
        <v>0</v>
      </c>
      <c r="Q80" s="37">
        <v>0</v>
      </c>
      <c r="R80" s="37"/>
      <c r="S80" s="835">
        <f t="shared" si="172"/>
        <v>0</v>
      </c>
      <c r="T80" s="38">
        <v>200000</v>
      </c>
      <c r="U80" s="38">
        <v>850000</v>
      </c>
      <c r="V80" s="38">
        <v>850000</v>
      </c>
      <c r="W80" s="38">
        <v>300000</v>
      </c>
      <c r="X80" s="37">
        <v>100000</v>
      </c>
      <c r="Y80" s="38">
        <f t="shared" si="173"/>
        <v>2300000</v>
      </c>
      <c r="AD80" s="778">
        <f>+I80/(BH80+1)</f>
        <v>0</v>
      </c>
      <c r="AO80" s="337">
        <f t="shared" ref="AO80:AO81" si="196">+$AD80*AE80</f>
        <v>0</v>
      </c>
      <c r="AP80" s="910">
        <f t="shared" ref="AP80:AP81" si="197">+$AD80*AF80</f>
        <v>0</v>
      </c>
      <c r="AQ80" s="910">
        <f t="shared" ref="AQ80:AQ81" si="198">+$AD80*AG80</f>
        <v>0</v>
      </c>
      <c r="AR80" s="910">
        <f t="shared" ref="AR80:AR81" si="199">+$AD80*AH80</f>
        <v>0</v>
      </c>
      <c r="AS80" s="910">
        <f t="shared" ref="AS80:AS81" si="200">+$AD80*AI80</f>
        <v>0</v>
      </c>
      <c r="AT80" s="910">
        <f t="shared" ref="AT80:AT81" si="201">+$AD80*AJ80</f>
        <v>0</v>
      </c>
      <c r="AU80" s="910">
        <f t="shared" ref="AU80:AU81" si="202">+$AD80*AK80</f>
        <v>0</v>
      </c>
      <c r="AV80" s="910">
        <f t="shared" ref="AV80:AW81" si="203">+$AD80*AL80</f>
        <v>0</v>
      </c>
      <c r="AW80" s="910">
        <f t="shared" si="203"/>
        <v>0</v>
      </c>
      <c r="AX80" s="910"/>
      <c r="AY80" s="910">
        <f t="shared" si="179"/>
        <v>0</v>
      </c>
      <c r="AZ80" s="786">
        <f>+AY80-I80</f>
        <v>0</v>
      </c>
      <c r="BA80" s="23" t="s">
        <v>295</v>
      </c>
      <c r="BG80" s="539">
        <f t="shared" ref="BG80:BG81" si="204">EOMONTH(BF80,BH80)</f>
        <v>31</v>
      </c>
    </row>
    <row r="81" spans="2:59" ht="18.75" customHeight="1" x14ac:dyDescent="0.2">
      <c r="C81" s="50">
        <v>4</v>
      </c>
      <c r="D81" s="50">
        <v>2</v>
      </c>
      <c r="E81" s="50">
        <v>0</v>
      </c>
      <c r="F81" s="50">
        <v>1</v>
      </c>
      <c r="G81" s="32" t="str">
        <f t="shared" si="11"/>
        <v>4.2.0.1</v>
      </c>
      <c r="H81" s="2" t="s">
        <v>624</v>
      </c>
      <c r="I81" s="825">
        <f t="shared" si="111"/>
        <v>200000</v>
      </c>
      <c r="J81" s="729">
        <f t="shared" si="112"/>
        <v>0</v>
      </c>
      <c r="K81" s="730">
        <f t="shared" si="180"/>
        <v>200000</v>
      </c>
      <c r="L81" s="894">
        <v>1</v>
      </c>
      <c r="M81" s="895">
        <f t="shared" si="186"/>
        <v>0</v>
      </c>
      <c r="N81" s="37">
        <v>0</v>
      </c>
      <c r="O81" s="37">
        <v>50000</v>
      </c>
      <c r="P81" s="37">
        <v>50000</v>
      </c>
      <c r="Q81" s="37">
        <v>50000</v>
      </c>
      <c r="R81" s="37">
        <v>50000</v>
      </c>
      <c r="S81" s="835">
        <f t="shared" si="172"/>
        <v>200000</v>
      </c>
      <c r="T81" s="38"/>
      <c r="U81" s="38"/>
      <c r="V81" s="38"/>
      <c r="W81" s="38"/>
      <c r="X81" s="37"/>
      <c r="Y81" s="38">
        <f t="shared" si="173"/>
        <v>0</v>
      </c>
      <c r="AD81" s="778">
        <f>+I81/(BH81+1)</f>
        <v>200000</v>
      </c>
      <c r="AO81" s="337">
        <f t="shared" si="196"/>
        <v>0</v>
      </c>
      <c r="AP81" s="910">
        <f t="shared" si="197"/>
        <v>0</v>
      </c>
      <c r="AQ81" s="910">
        <f t="shared" si="198"/>
        <v>0</v>
      </c>
      <c r="AR81" s="910">
        <f t="shared" si="199"/>
        <v>0</v>
      </c>
      <c r="AS81" s="910">
        <f t="shared" si="200"/>
        <v>0</v>
      </c>
      <c r="AT81" s="910">
        <f t="shared" si="201"/>
        <v>0</v>
      </c>
      <c r="AU81" s="910">
        <f t="shared" si="202"/>
        <v>0</v>
      </c>
      <c r="AV81" s="910">
        <f t="shared" si="203"/>
        <v>0</v>
      </c>
      <c r="AW81" s="910">
        <f t="shared" si="203"/>
        <v>0</v>
      </c>
      <c r="AX81" s="910"/>
      <c r="AY81" s="910">
        <f t="shared" si="179"/>
        <v>0</v>
      </c>
      <c r="AZ81" s="786">
        <f>+AY81-I81</f>
        <v>-200000</v>
      </c>
      <c r="BG81" s="539">
        <f t="shared" si="204"/>
        <v>31</v>
      </c>
    </row>
    <row r="82" spans="2:59" s="41" customFormat="1" ht="21.95" customHeight="1" x14ac:dyDescent="0.2">
      <c r="B82" s="46"/>
      <c r="C82" s="48"/>
      <c r="D82" s="48"/>
      <c r="E82" s="48"/>
      <c r="F82" s="48"/>
      <c r="G82" s="47"/>
      <c r="H82" s="818" t="s">
        <v>10</v>
      </c>
      <c r="I82" s="821">
        <f t="shared" si="111"/>
        <v>25000000</v>
      </c>
      <c r="J82" s="813">
        <f t="shared" si="112"/>
        <v>5000000</v>
      </c>
      <c r="K82" s="822">
        <f t="shared" si="180"/>
        <v>30000000</v>
      </c>
      <c r="L82" s="888"/>
      <c r="M82" s="889"/>
      <c r="N82" s="811">
        <f t="shared" ref="N82:W82" si="205">+N57+N41+N3+N79</f>
        <v>1737500</v>
      </c>
      <c r="O82" s="811">
        <f t="shared" si="205"/>
        <v>12857905</v>
      </c>
      <c r="P82" s="811">
        <f t="shared" si="205"/>
        <v>9713495</v>
      </c>
      <c r="Q82" s="811">
        <f>+Q57+Q41+Q3+Q79</f>
        <v>531100</v>
      </c>
      <c r="R82" s="811">
        <f>+R57+R41+R3+R79</f>
        <v>160000</v>
      </c>
      <c r="S82" s="832">
        <f>SUM(N82:R82)</f>
        <v>25000000</v>
      </c>
      <c r="T82" s="811">
        <f t="shared" si="205"/>
        <v>200000</v>
      </c>
      <c r="U82" s="811">
        <f t="shared" si="205"/>
        <v>950000</v>
      </c>
      <c r="V82" s="811">
        <f t="shared" si="205"/>
        <v>3450000</v>
      </c>
      <c r="W82" s="811">
        <f t="shared" si="205"/>
        <v>300000</v>
      </c>
      <c r="X82" s="811">
        <f>+X57+X41+X3+X79</f>
        <v>100000</v>
      </c>
      <c r="Y82" s="811">
        <f t="shared" si="173"/>
        <v>5000000</v>
      </c>
      <c r="Z82" s="837"/>
      <c r="AA82" s="812"/>
      <c r="AD82" s="814"/>
      <c r="AE82" s="841"/>
      <c r="AF82" s="815"/>
      <c r="AG82" s="815"/>
      <c r="AH82" s="815"/>
      <c r="AI82" s="815"/>
      <c r="AJ82" s="815"/>
      <c r="AK82" s="815"/>
      <c r="AL82" s="815"/>
      <c r="AM82" s="815"/>
      <c r="AN82" s="842"/>
      <c r="AO82" s="817">
        <f>SUM(AO4:AO81)</f>
        <v>0</v>
      </c>
      <c r="AP82" s="915">
        <f>SUM(AP4:AP81)</f>
        <v>1737500</v>
      </c>
      <c r="AQ82" s="915">
        <f t="shared" ref="AQ82:AV82" si="206">SUM(AQ4:AQ81)</f>
        <v>5394500</v>
      </c>
      <c r="AR82" s="915">
        <f t="shared" si="206"/>
        <v>7513405</v>
      </c>
      <c r="AS82" s="915">
        <f t="shared" si="206"/>
        <v>6450245</v>
      </c>
      <c r="AT82" s="915">
        <f t="shared" si="206"/>
        <v>3313250</v>
      </c>
      <c r="AU82" s="915">
        <f t="shared" si="206"/>
        <v>421100</v>
      </c>
      <c r="AV82" s="915">
        <f t="shared" si="206"/>
        <v>60000</v>
      </c>
      <c r="AW82" s="915">
        <f t="shared" ref="AW82" si="207">SUM(AW4:AW81)</f>
        <v>110000</v>
      </c>
      <c r="AX82" s="915"/>
      <c r="AY82" s="915">
        <f t="shared" si="179"/>
        <v>25000000</v>
      </c>
    </row>
    <row r="83" spans="2:59" x14ac:dyDescent="0.2">
      <c r="G83" s="33"/>
      <c r="N83" s="39">
        <f>+N82/$S$82</f>
        <v>6.9500000000000006E-2</v>
      </c>
      <c r="O83" s="39">
        <f>+O82/$S$82</f>
        <v>0.5143162</v>
      </c>
      <c r="P83" s="39">
        <f>+P82/$S$82</f>
        <v>0.38853979999999999</v>
      </c>
      <c r="Q83" s="39">
        <f>+Q82/$S$82</f>
        <v>2.1243999999999999E-2</v>
      </c>
      <c r="R83" s="39"/>
      <c r="X83" s="39"/>
      <c r="AO83" s="787">
        <f>+AO82/$AY$82</f>
        <v>0</v>
      </c>
      <c r="AP83" s="916">
        <f>+AP82/$AY$82</f>
        <v>6.9500000000000006E-2</v>
      </c>
      <c r="AQ83" s="916">
        <f t="shared" ref="AQ83:AV83" si="208">+AQ82/$AY$82</f>
        <v>0.21578</v>
      </c>
      <c r="AR83" s="916">
        <f t="shared" si="208"/>
        <v>0.30053619999999998</v>
      </c>
      <c r="AS83" s="916">
        <f t="shared" si="208"/>
        <v>0.25800980000000001</v>
      </c>
      <c r="AT83" s="916">
        <f t="shared" si="208"/>
        <v>0.13253000000000001</v>
      </c>
      <c r="AU83" s="916">
        <f t="shared" si="208"/>
        <v>1.6844000000000001E-2</v>
      </c>
      <c r="AV83" s="916">
        <f t="shared" si="208"/>
        <v>2.3999999999999998E-3</v>
      </c>
      <c r="AW83" s="916"/>
      <c r="AX83" s="916"/>
    </row>
    <row r="84" spans="2:59" x14ac:dyDescent="0.2">
      <c r="AP84" s="918">
        <f>+AO83+AP83</f>
        <v>6.9500000000000006E-2</v>
      </c>
      <c r="AR84" s="918">
        <f>+AQ83+AR83</f>
        <v>0.5163162</v>
      </c>
      <c r="AT84" s="918">
        <f>+AS83+AT83</f>
        <v>0.39053979999999999</v>
      </c>
      <c r="AV84" s="918">
        <f>+AU83+AV83</f>
        <v>1.9244000000000001E-2</v>
      </c>
      <c r="AW84" s="918"/>
      <c r="AX84" s="918"/>
    </row>
  </sheetData>
  <autoFilter ref="B2:BI83"/>
  <mergeCells count="9">
    <mergeCell ref="AO1:AY1"/>
    <mergeCell ref="I1:K1"/>
    <mergeCell ref="BA1:BI1"/>
    <mergeCell ref="B38:B39"/>
    <mergeCell ref="B10:B13"/>
    <mergeCell ref="N1:S1"/>
    <mergeCell ref="B6:B7"/>
    <mergeCell ref="T1:Y1"/>
    <mergeCell ref="AE1:AN1"/>
  </mergeCells>
  <conditionalFormatting sqref="AE66:AN66">
    <cfRule type="cellIs" dxfId="25" priority="17" operator="notEqual">
      <formula>0</formula>
    </cfRule>
  </conditionalFormatting>
  <conditionalFormatting sqref="AE67:AN70">
    <cfRule type="cellIs" dxfId="24" priority="16" operator="notEqual">
      <formula>0</formula>
    </cfRule>
  </conditionalFormatting>
  <conditionalFormatting sqref="AE6:AN8">
    <cfRule type="cellIs" dxfId="23" priority="2" operator="notEqual">
      <formula>0</formula>
    </cfRule>
  </conditionalFormatting>
  <conditionalFormatting sqref="AE72:AN73">
    <cfRule type="cellIs" dxfId="22" priority="15" operator="notEqual">
      <formula>0</formula>
    </cfRule>
  </conditionalFormatting>
  <conditionalFormatting sqref="AE75:AN78">
    <cfRule type="cellIs" dxfId="21" priority="14" operator="notEqual">
      <formula>0</formula>
    </cfRule>
  </conditionalFormatting>
  <conditionalFormatting sqref="AE60:AN64">
    <cfRule type="cellIs" dxfId="20" priority="13" operator="notEqual">
      <formula>0</formula>
    </cfRule>
  </conditionalFormatting>
  <conditionalFormatting sqref="AE53:AN56">
    <cfRule type="cellIs" dxfId="19" priority="12" operator="notEqual">
      <formula>0</formula>
    </cfRule>
  </conditionalFormatting>
  <conditionalFormatting sqref="AE51:AN51">
    <cfRule type="cellIs" dxfId="18" priority="11" operator="notEqual">
      <formula>0</formula>
    </cfRule>
  </conditionalFormatting>
  <conditionalFormatting sqref="AE48:AN49">
    <cfRule type="cellIs" dxfId="17" priority="10" operator="notEqual">
      <formula>0</formula>
    </cfRule>
  </conditionalFormatting>
  <conditionalFormatting sqref="AE44:AN46">
    <cfRule type="cellIs" dxfId="16" priority="9" operator="notEqual">
      <formula>0</formula>
    </cfRule>
  </conditionalFormatting>
  <conditionalFormatting sqref="AE31:AN33 AE36:AN36">
    <cfRule type="cellIs" dxfId="15" priority="8" operator="notEqual">
      <formula>0</formula>
    </cfRule>
  </conditionalFormatting>
  <conditionalFormatting sqref="AE38:AN40">
    <cfRule type="cellIs" dxfId="14" priority="7" operator="notEqual">
      <formula>0</formula>
    </cfRule>
  </conditionalFormatting>
  <conditionalFormatting sqref="AE25:AN29">
    <cfRule type="cellIs" dxfId="13" priority="6" operator="notEqual">
      <formula>0</formula>
    </cfRule>
  </conditionalFormatting>
  <conditionalFormatting sqref="AE21:AN23">
    <cfRule type="cellIs" dxfId="12" priority="5" operator="notEqual">
      <formula>0</formula>
    </cfRule>
  </conditionalFormatting>
  <conditionalFormatting sqref="AE16:AN19">
    <cfRule type="cellIs" dxfId="11" priority="4" operator="notEqual">
      <formula>0</formula>
    </cfRule>
  </conditionalFormatting>
  <conditionalFormatting sqref="AE10:AN13">
    <cfRule type="cellIs" dxfId="10" priority="3" operator="notEqual">
      <formula>0</formula>
    </cfRule>
  </conditionalFormatting>
  <conditionalFormatting sqref="AE35:AN35">
    <cfRule type="cellIs" dxfId="9" priority="1" operator="notEqual">
      <formula>0</formula>
    </cfRule>
  </conditionalFormatting>
  <printOptions horizontalCentered="1" gridLines="1"/>
  <pageMargins left="0.23622047244094499" right="0.23622047244094499" top="0.74803149606299202" bottom="0.511811023622047" header="0.31496062992126" footer="0.31496062992126"/>
  <pageSetup paperSize="5" scale="92" orientation="landscape" r:id="rId1"/>
  <headerFooter>
    <oddHeader>&amp;CPrograma Federal de Seguridad AR-L1255</oddHeader>
    <oddFooter>&amp;R&amp;P</oddFooter>
  </headerFooter>
  <rowBreaks count="1" manualBreakCount="1">
    <brk id="56" min="2" max="60" man="1"/>
  </rowBreaks>
  <colBreaks count="2" manualBreakCount="2">
    <brk id="28" max="82" man="1"/>
    <brk id="51" max="82"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T84"/>
  <sheetViews>
    <sheetView showGridLines="0" view="pageBreakPreview" zoomScale="90" zoomScaleNormal="90" zoomScaleSheetLayoutView="90" zoomScalePageLayoutView="110" workbookViewId="0">
      <pane xSplit="8" ySplit="2" topLeftCell="I66" activePane="bottomRight" state="frozen"/>
      <selection activeCell="D16" sqref="D16"/>
      <selection pane="topRight" activeCell="D16" sqref="D16"/>
      <selection pane="bottomLeft" activeCell="D16" sqref="D16"/>
      <selection pane="bottomRight" activeCell="AC11" sqref="AC11"/>
    </sheetView>
  </sheetViews>
  <sheetFormatPr defaultColWidth="10.85546875" defaultRowHeight="12.75" x14ac:dyDescent="0.2"/>
  <cols>
    <col min="1" max="1" width="10.85546875" style="23"/>
    <col min="2" max="2" width="6.5703125" style="919" hidden="1" customWidth="1"/>
    <col min="3" max="6" width="3.42578125" style="50" hidden="1" customWidth="1"/>
    <col min="7" max="7" width="8.85546875" style="919" customWidth="1"/>
    <col min="8" max="8" width="54.5703125" style="322" customWidth="1"/>
    <col min="9" max="9" width="13.140625" style="830" customWidth="1"/>
    <col min="10" max="10" width="13.140625" style="709" customWidth="1"/>
    <col min="11" max="11" width="13.140625" style="710" customWidth="1"/>
    <col min="12" max="12" width="6.140625" style="894" customWidth="1"/>
    <col min="13" max="13" width="6.140625" style="895" customWidth="1"/>
    <col min="14" max="14" width="10" style="36" customWidth="1"/>
    <col min="15" max="15" width="11.85546875" style="36" customWidth="1"/>
    <col min="16" max="16" width="13" style="836" customWidth="1"/>
    <col min="17" max="20" width="10.7109375" style="36" hidden="1" customWidth="1"/>
    <col min="21" max="21" width="12" style="36" hidden="1" customWidth="1"/>
    <col min="22" max="22" width="10.7109375" style="36" hidden="1" customWidth="1"/>
    <col min="23" max="23" width="7.42578125" style="839" customWidth="1"/>
    <col min="24" max="25" width="6.7109375" style="23" hidden="1" customWidth="1"/>
    <col min="26" max="26" width="15.140625" style="781" hidden="1" customWidth="1"/>
    <col min="27" max="27" width="3.140625" style="845" customWidth="1"/>
    <col min="28" max="30" width="3.140625" style="59" customWidth="1"/>
    <col min="31" max="31" width="3.140625" style="771" hidden="1" customWidth="1"/>
    <col min="32" max="32" width="10.28515625" style="23" customWidth="1"/>
    <col min="33" max="35" width="8.5703125" style="917" customWidth="1"/>
    <col min="36" max="36" width="8.5703125" style="917" hidden="1" customWidth="1"/>
    <col min="37" max="37" width="12.85546875" style="917" customWidth="1"/>
    <col min="38" max="38" width="25.5703125" style="23" customWidth="1"/>
    <col min="39" max="39" width="8.5703125" style="919" customWidth="1"/>
    <col min="40" max="40" width="11.5703125" style="919" customWidth="1"/>
    <col min="41" max="41" width="10.42578125" style="919" hidden="1" customWidth="1"/>
    <col min="42" max="42" width="9.42578125" style="919" hidden="1" customWidth="1"/>
    <col min="43" max="44" width="13.85546875" style="919" customWidth="1"/>
    <col min="45" max="45" width="10.85546875" style="919" customWidth="1"/>
    <col min="46" max="46" width="6.42578125" style="919" customWidth="1"/>
    <col min="47" max="16384" width="10.85546875" style="23"/>
  </cols>
  <sheetData>
    <row r="1" spans="2:46" s="848" customFormat="1" ht="25.5" customHeight="1" x14ac:dyDescent="0.2">
      <c r="D1" s="849"/>
      <c r="E1" s="849"/>
      <c r="F1" s="849"/>
      <c r="G1" s="849"/>
      <c r="H1" s="850" t="s">
        <v>332</v>
      </c>
      <c r="I1" s="943" t="s">
        <v>333</v>
      </c>
      <c r="J1" s="944"/>
      <c r="K1" s="945"/>
      <c r="L1" s="886"/>
      <c r="M1" s="887"/>
      <c r="N1" s="948" t="s">
        <v>335</v>
      </c>
      <c r="O1" s="948"/>
      <c r="P1" s="948"/>
      <c r="Q1" s="948" t="s">
        <v>480</v>
      </c>
      <c r="R1" s="948"/>
      <c r="S1" s="948"/>
      <c r="T1" s="948"/>
      <c r="U1" s="948"/>
      <c r="V1" s="948"/>
      <c r="W1" s="851"/>
      <c r="X1" s="852"/>
      <c r="Y1" s="852"/>
      <c r="Z1" s="854"/>
      <c r="AA1" s="949" t="s">
        <v>606</v>
      </c>
      <c r="AB1" s="950"/>
      <c r="AC1" s="950"/>
      <c r="AD1" s="950"/>
      <c r="AE1" s="951"/>
      <c r="AF1" s="942" t="s">
        <v>605</v>
      </c>
      <c r="AG1" s="942"/>
      <c r="AH1" s="942"/>
      <c r="AI1" s="942"/>
      <c r="AJ1" s="942"/>
      <c r="AK1" s="942"/>
      <c r="AL1" s="946" t="s">
        <v>607</v>
      </c>
      <c r="AM1" s="946"/>
      <c r="AN1" s="946"/>
      <c r="AO1" s="946"/>
      <c r="AP1" s="946"/>
      <c r="AQ1" s="946"/>
      <c r="AR1" s="946"/>
      <c r="AS1" s="946"/>
      <c r="AT1" s="946"/>
    </row>
    <row r="2" spans="2:46" s="41" customFormat="1" ht="36" x14ac:dyDescent="0.2">
      <c r="B2" s="47" t="s">
        <v>45</v>
      </c>
      <c r="C2" s="48" t="s">
        <v>47</v>
      </c>
      <c r="D2" s="48" t="s">
        <v>48</v>
      </c>
      <c r="E2" s="48" t="s">
        <v>49</v>
      </c>
      <c r="F2" s="48" t="s">
        <v>64</v>
      </c>
      <c r="G2" s="47" t="s">
        <v>50</v>
      </c>
      <c r="H2" s="46" t="s">
        <v>37</v>
      </c>
      <c r="I2" s="820" t="s">
        <v>341</v>
      </c>
      <c r="J2" s="707" t="s">
        <v>342</v>
      </c>
      <c r="K2" s="708" t="s">
        <v>343</v>
      </c>
      <c r="L2" s="888" t="s">
        <v>425</v>
      </c>
      <c r="M2" s="889" t="s">
        <v>426</v>
      </c>
      <c r="N2" s="46">
        <v>2017</v>
      </c>
      <c r="O2" s="46">
        <v>2018</v>
      </c>
      <c r="P2" s="831" t="s">
        <v>10</v>
      </c>
      <c r="Q2" s="46">
        <v>2017</v>
      </c>
      <c r="R2" s="46">
        <v>2018</v>
      </c>
      <c r="S2" s="46">
        <v>2019</v>
      </c>
      <c r="T2" s="46">
        <v>2020</v>
      </c>
      <c r="U2" s="46">
        <v>2021</v>
      </c>
      <c r="V2" s="46" t="s">
        <v>10</v>
      </c>
      <c r="W2" s="41" t="s">
        <v>408</v>
      </c>
      <c r="Z2" s="804" t="s">
        <v>602</v>
      </c>
      <c r="AA2" s="514" t="s">
        <v>357</v>
      </c>
      <c r="AB2" s="766" t="s">
        <v>358</v>
      </c>
      <c r="AC2" s="766" t="s">
        <v>359</v>
      </c>
      <c r="AD2" s="766" t="s">
        <v>360</v>
      </c>
      <c r="AE2" s="515"/>
      <c r="AF2" s="805" t="s">
        <v>357</v>
      </c>
      <c r="AG2" s="805" t="s">
        <v>358</v>
      </c>
      <c r="AH2" s="805" t="s">
        <v>359</v>
      </c>
      <c r="AI2" s="805" t="s">
        <v>360</v>
      </c>
      <c r="AJ2" s="805" t="s">
        <v>611</v>
      </c>
      <c r="AK2" s="815" t="s">
        <v>10</v>
      </c>
      <c r="AL2" s="806" t="s">
        <v>420</v>
      </c>
      <c r="AM2" s="806" t="s">
        <v>436</v>
      </c>
      <c r="AN2" s="807" t="s">
        <v>437</v>
      </c>
      <c r="AO2" s="808" t="s">
        <v>466</v>
      </c>
      <c r="AP2" s="808" t="s">
        <v>467</v>
      </c>
      <c r="AQ2" s="807" t="s">
        <v>468</v>
      </c>
      <c r="AR2" s="809" t="s">
        <v>469</v>
      </c>
      <c r="AS2" s="807" t="s">
        <v>347</v>
      </c>
      <c r="AT2" s="810" t="s">
        <v>348</v>
      </c>
    </row>
    <row r="3" spans="2:46" s="41" customFormat="1" ht="21.95" customHeight="1" x14ac:dyDescent="0.2">
      <c r="B3" s="46"/>
      <c r="C3" s="48">
        <v>1</v>
      </c>
      <c r="D3" s="48">
        <v>0</v>
      </c>
      <c r="E3" s="48">
        <v>0</v>
      </c>
      <c r="F3" s="48">
        <v>0</v>
      </c>
      <c r="G3" s="47" t="str">
        <f>CONCATENATE(C3,".",D3,".",E3,".",F3)</f>
        <v>1.0.0.0</v>
      </c>
      <c r="H3" s="818" t="s">
        <v>46</v>
      </c>
      <c r="I3" s="821">
        <f t="shared" ref="I3:I42" si="0">+P3</f>
        <v>4480000</v>
      </c>
      <c r="J3" s="813">
        <f t="shared" ref="J3:J42" si="1">+V3</f>
        <v>0</v>
      </c>
      <c r="K3" s="822">
        <f>SUM(I3:J3)</f>
        <v>4480000</v>
      </c>
      <c r="L3" s="888"/>
      <c r="M3" s="889"/>
      <c r="N3" s="811">
        <f>N4+N14+N37</f>
        <v>345000</v>
      </c>
      <c r="O3" s="811">
        <f>+O5+O37+O14+O9</f>
        <v>4135000</v>
      </c>
      <c r="P3" s="832">
        <f t="shared" ref="P3:P34" si="2">SUM(N3:O3)</f>
        <v>4480000</v>
      </c>
      <c r="Q3" s="811">
        <f t="shared" ref="Q3:T3" si="3">+Q5+Q37+Q14+Q9</f>
        <v>0</v>
      </c>
      <c r="R3" s="811">
        <f t="shared" si="3"/>
        <v>0</v>
      </c>
      <c r="S3" s="811">
        <f t="shared" si="3"/>
        <v>0</v>
      </c>
      <c r="T3" s="811">
        <f t="shared" si="3"/>
        <v>0</v>
      </c>
      <c r="U3" s="811">
        <f>+U5+U37+U14+U9</f>
        <v>0</v>
      </c>
      <c r="V3" s="811">
        <f>SUM(Q3:U3)</f>
        <v>0</v>
      </c>
      <c r="W3" s="837"/>
      <c r="X3" s="812"/>
      <c r="Z3" s="814"/>
      <c r="AA3" s="841"/>
      <c r="AB3" s="815"/>
      <c r="AC3" s="815"/>
      <c r="AD3" s="815"/>
      <c r="AE3" s="842"/>
      <c r="AF3" s="816"/>
      <c r="AG3" s="905"/>
      <c r="AH3" s="905"/>
      <c r="AI3" s="905"/>
      <c r="AJ3" s="905"/>
      <c r="AK3" s="815"/>
    </row>
    <row r="4" spans="2:46" s="739" customFormat="1" ht="25.5" x14ac:dyDescent="0.2">
      <c r="B4" s="737"/>
      <c r="C4" s="738">
        <v>1</v>
      </c>
      <c r="D4" s="738">
        <v>1</v>
      </c>
      <c r="E4" s="738">
        <v>0</v>
      </c>
      <c r="F4" s="738">
        <v>0</v>
      </c>
      <c r="G4" s="737" t="str">
        <f>CONCATENATE(C4,".",D4,".",E4,".",F4)</f>
        <v>1.1.0.0</v>
      </c>
      <c r="H4" s="819" t="s">
        <v>63</v>
      </c>
      <c r="I4" s="823">
        <f t="shared" si="0"/>
        <v>1690000</v>
      </c>
      <c r="J4" s="740">
        <f t="shared" si="1"/>
        <v>0</v>
      </c>
      <c r="K4" s="741">
        <f t="shared" ref="K4:K71" si="4">SUM(I4:J4)</f>
        <v>1690000</v>
      </c>
      <c r="L4" s="890"/>
      <c r="M4" s="891"/>
      <c r="N4" s="53">
        <f>+N5+N9</f>
        <v>125000</v>
      </c>
      <c r="O4" s="53">
        <f t="shared" ref="O4" si="5">+O5+O9</f>
        <v>1565000</v>
      </c>
      <c r="P4" s="833">
        <f t="shared" si="2"/>
        <v>1690000</v>
      </c>
      <c r="Q4" s="53">
        <f t="shared" ref="Q4:U4" si="6">+Q5+Q9</f>
        <v>0</v>
      </c>
      <c r="R4" s="53">
        <f t="shared" si="6"/>
        <v>0</v>
      </c>
      <c r="S4" s="53">
        <f t="shared" si="6"/>
        <v>0</v>
      </c>
      <c r="T4" s="53">
        <f t="shared" si="6"/>
        <v>0</v>
      </c>
      <c r="U4" s="53">
        <f t="shared" si="6"/>
        <v>0</v>
      </c>
      <c r="V4" s="53">
        <f t="shared" ref="V4:V67" si="7">SUM(Q4:U4)</f>
        <v>0</v>
      </c>
      <c r="W4" s="737"/>
      <c r="Z4" s="776"/>
      <c r="AA4" s="843"/>
      <c r="AB4" s="767"/>
      <c r="AC4" s="767"/>
      <c r="AD4" s="767"/>
      <c r="AE4" s="768"/>
      <c r="AF4" s="782"/>
      <c r="AG4" s="906"/>
      <c r="AH4" s="906"/>
      <c r="AI4" s="906"/>
      <c r="AJ4" s="906"/>
      <c r="AK4" s="907"/>
      <c r="AM4" s="737"/>
      <c r="AN4" s="737"/>
      <c r="AO4" s="737"/>
      <c r="AP4" s="737"/>
      <c r="AQ4" s="737"/>
      <c r="AR4" s="737"/>
      <c r="AS4" s="737"/>
      <c r="AT4" s="737"/>
    </row>
    <row r="5" spans="2:46" s="44" customFormat="1" ht="25.5" x14ac:dyDescent="0.2">
      <c r="B5" s="42"/>
      <c r="C5" s="49">
        <v>1</v>
      </c>
      <c r="D5" s="49">
        <v>1</v>
      </c>
      <c r="E5" s="49">
        <v>1</v>
      </c>
      <c r="F5" s="49">
        <v>0</v>
      </c>
      <c r="G5" s="42" t="str">
        <f>CONCATENATE(C5,".",D5,".",E5,".",F5)</f>
        <v>1.1.1.0</v>
      </c>
      <c r="H5" s="623" t="s">
        <v>164</v>
      </c>
      <c r="I5" s="824">
        <f t="shared" si="0"/>
        <v>780000</v>
      </c>
      <c r="J5" s="727">
        <f t="shared" si="1"/>
        <v>0</v>
      </c>
      <c r="K5" s="728">
        <f t="shared" si="4"/>
        <v>780000</v>
      </c>
      <c r="L5" s="892"/>
      <c r="M5" s="893"/>
      <c r="N5" s="43">
        <f>SUM(N6:N8)</f>
        <v>50000</v>
      </c>
      <c r="O5" s="43">
        <f t="shared" ref="O5" si="8">SUM(O6:O8)</f>
        <v>730000</v>
      </c>
      <c r="P5" s="834">
        <f t="shared" si="2"/>
        <v>780000</v>
      </c>
      <c r="Q5" s="43">
        <f t="shared" ref="Q5:U5" si="9">SUM(Q6:Q8)</f>
        <v>0</v>
      </c>
      <c r="R5" s="43">
        <f t="shared" si="9"/>
        <v>0</v>
      </c>
      <c r="S5" s="43">
        <f t="shared" si="9"/>
        <v>0</v>
      </c>
      <c r="T5" s="43">
        <f t="shared" si="9"/>
        <v>0</v>
      </c>
      <c r="U5" s="43">
        <f t="shared" si="9"/>
        <v>0</v>
      </c>
      <c r="V5" s="43">
        <f t="shared" si="7"/>
        <v>0</v>
      </c>
      <c r="W5" s="838"/>
      <c r="Z5" s="777"/>
      <c r="AA5" s="844"/>
      <c r="AB5" s="769"/>
      <c r="AC5" s="769"/>
      <c r="AD5" s="769"/>
      <c r="AE5" s="770"/>
      <c r="AF5" s="783"/>
      <c r="AG5" s="908"/>
      <c r="AH5" s="908"/>
      <c r="AI5" s="908"/>
      <c r="AJ5" s="908"/>
      <c r="AK5" s="909"/>
      <c r="AM5" s="42"/>
      <c r="AN5" s="42"/>
      <c r="AO5" s="42"/>
      <c r="AP5" s="42"/>
      <c r="AQ5" s="42"/>
      <c r="AR5" s="42"/>
      <c r="AS5" s="42"/>
      <c r="AT5" s="42"/>
    </row>
    <row r="6" spans="2:46" ht="25.5" x14ac:dyDescent="0.2">
      <c r="B6" s="947" t="s">
        <v>61</v>
      </c>
      <c r="C6" s="50">
        <v>1</v>
      </c>
      <c r="D6" s="50">
        <v>1</v>
      </c>
      <c r="E6" s="50">
        <v>1</v>
      </c>
      <c r="F6" s="50">
        <v>1</v>
      </c>
      <c r="G6" s="919" t="str">
        <f t="shared" ref="G6:G81" si="10">CONCATENATE(C6,".",D6,".",E6,".",F6)</f>
        <v>1.1.1.1</v>
      </c>
      <c r="H6" s="2" t="s">
        <v>166</v>
      </c>
      <c r="I6" s="825">
        <f t="shared" si="0"/>
        <v>230000</v>
      </c>
      <c r="J6" s="729">
        <f t="shared" si="1"/>
        <v>0</v>
      </c>
      <c r="K6" s="730">
        <f t="shared" si="4"/>
        <v>230000</v>
      </c>
      <c r="L6" s="894">
        <v>1</v>
      </c>
      <c r="M6" s="895">
        <f>100%-L6</f>
        <v>0</v>
      </c>
      <c r="N6" s="37">
        <v>50000</v>
      </c>
      <c r="O6" s="37">
        <v>180000</v>
      </c>
      <c r="P6" s="835">
        <f t="shared" si="2"/>
        <v>230000</v>
      </c>
      <c r="Q6" s="38"/>
      <c r="R6" s="38"/>
      <c r="S6" s="38"/>
      <c r="T6" s="38"/>
      <c r="U6" s="37"/>
      <c r="V6" s="38">
        <f t="shared" si="7"/>
        <v>0</v>
      </c>
      <c r="W6" s="839">
        <f>+'Matriz de Resultados'!B22</f>
        <v>1.1000000000000001</v>
      </c>
      <c r="Z6" s="778">
        <f>+I6/AE6</f>
        <v>38333.333333333336</v>
      </c>
      <c r="AB6" s="59">
        <v>3</v>
      </c>
      <c r="AC6" s="59">
        <v>3</v>
      </c>
      <c r="AE6" s="771">
        <f>SUM(AA6:AD6)</f>
        <v>6</v>
      </c>
      <c r="AF6" s="337">
        <f t="shared" ref="AF6:AI8" si="11">+$Z6*AA6</f>
        <v>0</v>
      </c>
      <c r="AG6" s="910">
        <f t="shared" si="11"/>
        <v>115000</v>
      </c>
      <c r="AH6" s="910">
        <f t="shared" si="11"/>
        <v>115000</v>
      </c>
      <c r="AI6" s="910">
        <f t="shared" si="11"/>
        <v>0</v>
      </c>
      <c r="AJ6" s="910"/>
      <c r="AK6" s="910">
        <f t="shared" ref="AK6:AK37" si="12">SUM(AF6:AJ6)</f>
        <v>230000</v>
      </c>
      <c r="AL6" s="23" t="s">
        <v>423</v>
      </c>
      <c r="AM6" s="919" t="s">
        <v>441</v>
      </c>
      <c r="AN6" s="919" t="s">
        <v>474</v>
      </c>
      <c r="AP6" s="919" t="s">
        <v>470</v>
      </c>
      <c r="AQ6" s="539">
        <v>43009</v>
      </c>
      <c r="AR6" s="539">
        <f t="shared" ref="AR6:AR8" si="13">EOMONTH(AQ6,AS6)</f>
        <v>43190</v>
      </c>
      <c r="AS6" s="919">
        <v>5</v>
      </c>
    </row>
    <row r="7" spans="2:46" x14ac:dyDescent="0.2">
      <c r="B7" s="947"/>
      <c r="C7" s="50">
        <v>1</v>
      </c>
      <c r="D7" s="50">
        <v>1</v>
      </c>
      <c r="E7" s="50">
        <v>1</v>
      </c>
      <c r="F7" s="50">
        <v>2</v>
      </c>
      <c r="G7" s="32" t="str">
        <f t="shared" si="10"/>
        <v>1.1.1.2</v>
      </c>
      <c r="H7" s="621" t="s">
        <v>59</v>
      </c>
      <c r="I7" s="825">
        <f t="shared" si="0"/>
        <v>500000</v>
      </c>
      <c r="J7" s="729">
        <f t="shared" si="1"/>
        <v>0</v>
      </c>
      <c r="K7" s="730">
        <f t="shared" si="4"/>
        <v>500000</v>
      </c>
      <c r="L7" s="894">
        <v>1</v>
      </c>
      <c r="M7" s="895">
        <f t="shared" ref="M7:M72" si="14">100%-L7</f>
        <v>0</v>
      </c>
      <c r="N7" s="37">
        <f>+'1.1.1'!C11</f>
        <v>0</v>
      </c>
      <c r="O7" s="37">
        <f>+'1.1.1'!D11</f>
        <v>500000</v>
      </c>
      <c r="P7" s="835">
        <f t="shared" si="2"/>
        <v>500000</v>
      </c>
      <c r="Q7" s="38"/>
      <c r="R7" s="38"/>
      <c r="S7" s="38"/>
      <c r="T7" s="38"/>
      <c r="U7" s="37"/>
      <c r="V7" s="38">
        <f t="shared" si="7"/>
        <v>0</v>
      </c>
      <c r="W7" s="839">
        <f>+'Matriz de Resultados'!B23</f>
        <v>1.2</v>
      </c>
      <c r="Z7" s="778">
        <f>+I7/AE7</f>
        <v>250000</v>
      </c>
      <c r="AC7" s="59">
        <v>2</v>
      </c>
      <c r="AE7" s="771">
        <f t="shared" ref="AE7:AE70" si="15">SUM(AA7:AD7)</f>
        <v>2</v>
      </c>
      <c r="AF7" s="337">
        <f t="shared" si="11"/>
        <v>0</v>
      </c>
      <c r="AG7" s="910">
        <f t="shared" si="11"/>
        <v>0</v>
      </c>
      <c r="AH7" s="910">
        <f t="shared" si="11"/>
        <v>500000</v>
      </c>
      <c r="AI7" s="910">
        <f t="shared" si="11"/>
        <v>0</v>
      </c>
      <c r="AJ7" s="910"/>
      <c r="AK7" s="910">
        <f t="shared" si="12"/>
        <v>500000</v>
      </c>
      <c r="AL7" s="23" t="s">
        <v>421</v>
      </c>
      <c r="AM7" s="919" t="s">
        <v>155</v>
      </c>
      <c r="AN7" s="919" t="s">
        <v>474</v>
      </c>
      <c r="AP7" s="919" t="s">
        <v>470</v>
      </c>
      <c r="AQ7" s="539">
        <v>43132</v>
      </c>
      <c r="AR7" s="539">
        <f t="shared" si="13"/>
        <v>43190</v>
      </c>
      <c r="AS7" s="919">
        <v>1</v>
      </c>
    </row>
    <row r="8" spans="2:46" ht="38.25" x14ac:dyDescent="0.2">
      <c r="C8" s="50">
        <v>1</v>
      </c>
      <c r="D8" s="50">
        <v>1</v>
      </c>
      <c r="E8" s="50">
        <v>1</v>
      </c>
      <c r="F8" s="50">
        <v>3</v>
      </c>
      <c r="G8" s="32" t="str">
        <f t="shared" si="10"/>
        <v>1.1.1.3</v>
      </c>
      <c r="H8" s="621" t="s">
        <v>422</v>
      </c>
      <c r="I8" s="825">
        <f t="shared" si="0"/>
        <v>50000</v>
      </c>
      <c r="J8" s="729">
        <f t="shared" si="1"/>
        <v>0</v>
      </c>
      <c r="K8" s="730">
        <f t="shared" si="4"/>
        <v>50000</v>
      </c>
      <c r="L8" s="894">
        <v>1</v>
      </c>
      <c r="M8" s="895">
        <f t="shared" si="14"/>
        <v>0</v>
      </c>
      <c r="N8" s="37">
        <f>+'1.1.1'!C10</f>
        <v>0</v>
      </c>
      <c r="O8" s="37">
        <f>+'1.1.1'!D10</f>
        <v>50000</v>
      </c>
      <c r="P8" s="835">
        <f t="shared" si="2"/>
        <v>50000</v>
      </c>
      <c r="Q8" s="38"/>
      <c r="R8" s="38"/>
      <c r="S8" s="38"/>
      <c r="T8" s="38"/>
      <c r="U8" s="37"/>
      <c r="V8" s="38">
        <f t="shared" si="7"/>
        <v>0</v>
      </c>
      <c r="W8" s="839">
        <f>+'Matriz de Resultados'!B24</f>
        <v>1.3</v>
      </c>
      <c r="Z8" s="778">
        <f>+I8/AE8</f>
        <v>5555.5555555555557</v>
      </c>
      <c r="AC8" s="59">
        <v>3</v>
      </c>
      <c r="AD8" s="59">
        <v>6</v>
      </c>
      <c r="AE8" s="771">
        <f t="shared" si="15"/>
        <v>9</v>
      </c>
      <c r="AF8" s="337">
        <f t="shared" si="11"/>
        <v>0</v>
      </c>
      <c r="AG8" s="910">
        <f t="shared" si="11"/>
        <v>0</v>
      </c>
      <c r="AH8" s="910">
        <f t="shared" si="11"/>
        <v>16666.666666666668</v>
      </c>
      <c r="AI8" s="910">
        <f t="shared" si="11"/>
        <v>33333.333333333336</v>
      </c>
      <c r="AJ8" s="910"/>
      <c r="AK8" s="910">
        <f t="shared" si="12"/>
        <v>50000</v>
      </c>
      <c r="AL8" s="23" t="s">
        <v>433</v>
      </c>
      <c r="AM8" s="919" t="s">
        <v>442</v>
      </c>
      <c r="AN8" s="919" t="s">
        <v>440</v>
      </c>
      <c r="AQ8" s="539">
        <v>43374</v>
      </c>
      <c r="AR8" s="539">
        <f t="shared" si="13"/>
        <v>43646</v>
      </c>
      <c r="AS8" s="919">
        <v>8</v>
      </c>
    </row>
    <row r="9" spans="2:46" s="44" customFormat="1" ht="25.5" x14ac:dyDescent="0.2">
      <c r="B9" s="42"/>
      <c r="C9" s="49">
        <v>1</v>
      </c>
      <c r="D9" s="49">
        <v>1</v>
      </c>
      <c r="E9" s="49">
        <v>2</v>
      </c>
      <c r="F9" s="49">
        <v>0</v>
      </c>
      <c r="G9" s="42" t="str">
        <f t="shared" si="10"/>
        <v>1.1.2.0</v>
      </c>
      <c r="H9" s="623" t="s">
        <v>597</v>
      </c>
      <c r="I9" s="824">
        <f t="shared" si="0"/>
        <v>910000</v>
      </c>
      <c r="J9" s="727">
        <f t="shared" si="1"/>
        <v>0</v>
      </c>
      <c r="K9" s="728">
        <f t="shared" si="4"/>
        <v>910000</v>
      </c>
      <c r="L9" s="892"/>
      <c r="M9" s="893"/>
      <c r="N9" s="43">
        <f>SUM(N10:N13)</f>
        <v>75000</v>
      </c>
      <c r="O9" s="43">
        <f t="shared" ref="O9" si="16">SUM(O10:O13)</f>
        <v>835000</v>
      </c>
      <c r="P9" s="834">
        <f t="shared" si="2"/>
        <v>910000</v>
      </c>
      <c r="Q9" s="43">
        <f t="shared" ref="Q9:U9" si="17">SUM(Q10:Q13)</f>
        <v>0</v>
      </c>
      <c r="R9" s="43">
        <f t="shared" si="17"/>
        <v>0</v>
      </c>
      <c r="S9" s="43">
        <f t="shared" si="17"/>
        <v>0</v>
      </c>
      <c r="T9" s="43">
        <f t="shared" si="17"/>
        <v>0</v>
      </c>
      <c r="U9" s="43">
        <f t="shared" si="17"/>
        <v>0</v>
      </c>
      <c r="V9" s="43">
        <f t="shared" si="7"/>
        <v>0</v>
      </c>
      <c r="W9" s="838"/>
      <c r="Z9" s="777"/>
      <c r="AA9" s="844"/>
      <c r="AB9" s="769"/>
      <c r="AC9" s="769"/>
      <c r="AD9" s="769"/>
      <c r="AE9" s="770">
        <f t="shared" si="15"/>
        <v>0</v>
      </c>
      <c r="AF9" s="783"/>
      <c r="AG9" s="908"/>
      <c r="AH9" s="908"/>
      <c r="AI9" s="908"/>
      <c r="AJ9" s="908"/>
      <c r="AK9" s="909">
        <f t="shared" si="12"/>
        <v>0</v>
      </c>
      <c r="AM9" s="42"/>
      <c r="AN9" s="42"/>
      <c r="AO9" s="42"/>
      <c r="AP9" s="42"/>
      <c r="AQ9" s="42"/>
      <c r="AR9" s="42"/>
      <c r="AS9" s="42"/>
      <c r="AT9" s="42"/>
    </row>
    <row r="10" spans="2:46" x14ac:dyDescent="0.2">
      <c r="B10" s="947"/>
      <c r="C10" s="50">
        <v>1</v>
      </c>
      <c r="D10" s="50">
        <v>1</v>
      </c>
      <c r="E10" s="50">
        <v>2</v>
      </c>
      <c r="F10" s="50">
        <v>1</v>
      </c>
      <c r="G10" s="32" t="str">
        <f t="shared" si="10"/>
        <v>1.1.2.1</v>
      </c>
      <c r="H10" s="2" t="s">
        <v>598</v>
      </c>
      <c r="I10" s="825">
        <f t="shared" si="0"/>
        <v>250000</v>
      </c>
      <c r="J10" s="729">
        <f t="shared" si="1"/>
        <v>0</v>
      </c>
      <c r="K10" s="730">
        <f t="shared" si="4"/>
        <v>250000</v>
      </c>
      <c r="L10" s="894">
        <v>1</v>
      </c>
      <c r="M10" s="896">
        <f t="shared" si="14"/>
        <v>0</v>
      </c>
      <c r="N10" s="37">
        <f>+'1.1.2'!D23</f>
        <v>50000</v>
      </c>
      <c r="O10" s="37">
        <f>+'1.1.2'!E23</f>
        <v>200000</v>
      </c>
      <c r="P10" s="835">
        <f t="shared" si="2"/>
        <v>250000</v>
      </c>
      <c r="Q10" s="38"/>
      <c r="R10" s="38"/>
      <c r="S10" s="38"/>
      <c r="T10" s="38"/>
      <c r="U10" s="37"/>
      <c r="V10" s="38">
        <f t="shared" si="7"/>
        <v>0</v>
      </c>
      <c r="W10" s="839">
        <f>+'Matriz de Resultados'!B26</f>
        <v>1.4</v>
      </c>
      <c r="X10" s="197"/>
      <c r="Z10" s="778">
        <f>+I10/AE10</f>
        <v>16666.666666666668</v>
      </c>
      <c r="AB10" s="59">
        <v>3</v>
      </c>
      <c r="AC10" s="59">
        <v>6</v>
      </c>
      <c r="AD10" s="59">
        <v>6</v>
      </c>
      <c r="AE10" s="771">
        <f t="shared" si="15"/>
        <v>15</v>
      </c>
      <c r="AF10" s="337">
        <f t="shared" ref="AF10:AI13" si="18">+$Z10*AA10</f>
        <v>0</v>
      </c>
      <c r="AG10" s="910">
        <f t="shared" si="18"/>
        <v>50000</v>
      </c>
      <c r="AH10" s="910">
        <f t="shared" si="18"/>
        <v>100000</v>
      </c>
      <c r="AI10" s="910">
        <f t="shared" si="18"/>
        <v>100000</v>
      </c>
      <c r="AJ10" s="910"/>
      <c r="AK10" s="910">
        <f t="shared" si="12"/>
        <v>250000</v>
      </c>
      <c r="AL10" s="23" t="s">
        <v>423</v>
      </c>
      <c r="AM10" s="919" t="s">
        <v>441</v>
      </c>
      <c r="AN10" s="919" t="s">
        <v>474</v>
      </c>
      <c r="AQ10" s="539">
        <v>43009</v>
      </c>
      <c r="AR10" s="539">
        <f>EOMONTH(AQ10,AS10)</f>
        <v>43555</v>
      </c>
      <c r="AS10" s="919">
        <v>17</v>
      </c>
    </row>
    <row r="11" spans="2:46" ht="25.5" x14ac:dyDescent="0.2">
      <c r="B11" s="947"/>
      <c r="C11" s="50">
        <v>1</v>
      </c>
      <c r="D11" s="50">
        <v>1</v>
      </c>
      <c r="E11" s="50">
        <v>2</v>
      </c>
      <c r="F11" s="50">
        <v>2</v>
      </c>
      <c r="G11" s="919" t="str">
        <f t="shared" si="10"/>
        <v>1.1.2.2</v>
      </c>
      <c r="H11" s="2" t="s">
        <v>95</v>
      </c>
      <c r="I11" s="825">
        <f t="shared" si="0"/>
        <v>400000</v>
      </c>
      <c r="J11" s="729">
        <f t="shared" si="1"/>
        <v>0</v>
      </c>
      <c r="K11" s="730">
        <f t="shared" si="4"/>
        <v>400000</v>
      </c>
      <c r="L11" s="894">
        <v>1</v>
      </c>
      <c r="M11" s="895">
        <f t="shared" si="14"/>
        <v>0</v>
      </c>
      <c r="N11" s="37">
        <f>+'1.1.2'!D22</f>
        <v>0</v>
      </c>
      <c r="O11" s="37">
        <f>+'1.1.2'!E22</f>
        <v>400000</v>
      </c>
      <c r="P11" s="835">
        <f t="shared" si="2"/>
        <v>400000</v>
      </c>
      <c r="Q11" s="38"/>
      <c r="R11" s="38"/>
      <c r="S11" s="38"/>
      <c r="T11" s="38"/>
      <c r="U11" s="37"/>
      <c r="V11" s="38">
        <f t="shared" si="7"/>
        <v>0</v>
      </c>
      <c r="W11" s="839">
        <v>1.4</v>
      </c>
      <c r="Z11" s="778">
        <f>+I11/AE11</f>
        <v>66666.666666666672</v>
      </c>
      <c r="AD11" s="59">
        <v>6</v>
      </c>
      <c r="AE11" s="771">
        <f t="shared" si="15"/>
        <v>6</v>
      </c>
      <c r="AF11" s="337">
        <f t="shared" si="18"/>
        <v>0</v>
      </c>
      <c r="AG11" s="910">
        <f t="shared" si="18"/>
        <v>0</v>
      </c>
      <c r="AH11" s="910">
        <f t="shared" si="18"/>
        <v>0</v>
      </c>
      <c r="AI11" s="910">
        <f t="shared" si="18"/>
        <v>400000</v>
      </c>
      <c r="AJ11" s="910"/>
      <c r="AK11" s="910">
        <f t="shared" si="12"/>
        <v>400000</v>
      </c>
      <c r="AL11" s="23" t="s">
        <v>421</v>
      </c>
      <c r="AM11" s="919" t="s">
        <v>155</v>
      </c>
      <c r="AN11" s="919" t="s">
        <v>474</v>
      </c>
      <c r="AQ11" s="539">
        <v>43282</v>
      </c>
      <c r="AR11" s="539">
        <f>EOMONTH(AQ11,AS11)</f>
        <v>43555</v>
      </c>
      <c r="AS11" s="919">
        <v>8</v>
      </c>
    </row>
    <row r="12" spans="2:46" ht="25.5" x14ac:dyDescent="0.2">
      <c r="B12" s="947"/>
      <c r="C12" s="50">
        <v>1</v>
      </c>
      <c r="D12" s="50">
        <v>1</v>
      </c>
      <c r="E12" s="50">
        <v>2</v>
      </c>
      <c r="F12" s="50">
        <v>3</v>
      </c>
      <c r="G12" s="32" t="str">
        <f t="shared" si="10"/>
        <v>1.1.2.3</v>
      </c>
      <c r="H12" s="2" t="s">
        <v>424</v>
      </c>
      <c r="I12" s="825">
        <f t="shared" si="0"/>
        <v>100000</v>
      </c>
      <c r="J12" s="729">
        <f t="shared" si="1"/>
        <v>0</v>
      </c>
      <c r="K12" s="730">
        <f t="shared" si="4"/>
        <v>100000</v>
      </c>
      <c r="L12" s="894">
        <v>1</v>
      </c>
      <c r="M12" s="895">
        <f t="shared" si="14"/>
        <v>0</v>
      </c>
      <c r="N12" s="37">
        <f>+'1.1.2'!D24</f>
        <v>25000</v>
      </c>
      <c r="O12" s="37">
        <f>+'1.1.2'!E24</f>
        <v>75000</v>
      </c>
      <c r="P12" s="835">
        <f t="shared" si="2"/>
        <v>100000</v>
      </c>
      <c r="Q12" s="38"/>
      <c r="R12" s="38"/>
      <c r="S12" s="38"/>
      <c r="T12" s="38"/>
      <c r="U12" s="37"/>
      <c r="V12" s="38">
        <f t="shared" si="7"/>
        <v>0</v>
      </c>
      <c r="W12" s="839">
        <f>+'Matriz de Resultados'!B28</f>
        <v>1.6</v>
      </c>
      <c r="Z12" s="778">
        <f>+I12/AE12</f>
        <v>8333.3333333333339</v>
      </c>
      <c r="AB12" s="59">
        <v>3</v>
      </c>
      <c r="AC12" s="59">
        <v>6</v>
      </c>
      <c r="AD12" s="59">
        <v>3</v>
      </c>
      <c r="AE12" s="771">
        <f t="shared" si="15"/>
        <v>12</v>
      </c>
      <c r="AF12" s="337">
        <f t="shared" si="18"/>
        <v>0</v>
      </c>
      <c r="AG12" s="910">
        <f t="shared" si="18"/>
        <v>25000</v>
      </c>
      <c r="AH12" s="910">
        <f t="shared" si="18"/>
        <v>50000</v>
      </c>
      <c r="AI12" s="910">
        <f t="shared" si="18"/>
        <v>25000</v>
      </c>
      <c r="AJ12" s="910"/>
      <c r="AK12" s="910">
        <f t="shared" si="12"/>
        <v>100000</v>
      </c>
      <c r="AL12" s="23" t="s">
        <v>423</v>
      </c>
      <c r="AM12" s="919" t="s">
        <v>441</v>
      </c>
      <c r="AN12" s="919" t="s">
        <v>474</v>
      </c>
      <c r="AQ12" s="539">
        <v>43009</v>
      </c>
      <c r="AR12" s="539">
        <f>EOMONTH(AQ12,AS12)</f>
        <v>43373</v>
      </c>
      <c r="AS12" s="919">
        <v>11</v>
      </c>
    </row>
    <row r="13" spans="2:46" ht="25.5" x14ac:dyDescent="0.2">
      <c r="B13" s="947"/>
      <c r="C13" s="50">
        <v>1</v>
      </c>
      <c r="D13" s="50">
        <v>1</v>
      </c>
      <c r="E13" s="50">
        <v>2</v>
      </c>
      <c r="F13" s="50">
        <v>4</v>
      </c>
      <c r="G13" s="32" t="str">
        <f t="shared" si="10"/>
        <v>1.1.2.4</v>
      </c>
      <c r="H13" s="2" t="s">
        <v>96</v>
      </c>
      <c r="I13" s="825">
        <f t="shared" si="0"/>
        <v>160000</v>
      </c>
      <c r="J13" s="729">
        <f t="shared" si="1"/>
        <v>0</v>
      </c>
      <c r="K13" s="730">
        <f t="shared" si="4"/>
        <v>160000</v>
      </c>
      <c r="L13" s="894">
        <v>1</v>
      </c>
      <c r="M13" s="895">
        <f t="shared" si="14"/>
        <v>0</v>
      </c>
      <c r="N13" s="37">
        <f>+'1.1.2'!D25</f>
        <v>0</v>
      </c>
      <c r="O13" s="37">
        <f>+'1.1.2'!E25</f>
        <v>160000</v>
      </c>
      <c r="P13" s="835">
        <f t="shared" si="2"/>
        <v>160000</v>
      </c>
      <c r="Q13" s="38"/>
      <c r="R13" s="38"/>
      <c r="S13" s="38"/>
      <c r="T13" s="38"/>
      <c r="U13" s="37"/>
      <c r="V13" s="38">
        <f t="shared" si="7"/>
        <v>0</v>
      </c>
      <c r="W13" s="839">
        <f>+'Matriz de Resultados'!B27</f>
        <v>1.5</v>
      </c>
      <c r="Z13" s="778">
        <f>+I13/AE13</f>
        <v>26666.666666666668</v>
      </c>
      <c r="AD13" s="59">
        <v>6</v>
      </c>
      <c r="AE13" s="771">
        <f t="shared" si="15"/>
        <v>6</v>
      </c>
      <c r="AF13" s="337">
        <f t="shared" si="18"/>
        <v>0</v>
      </c>
      <c r="AG13" s="910">
        <f t="shared" si="18"/>
        <v>0</v>
      </c>
      <c r="AH13" s="910">
        <f t="shared" si="18"/>
        <v>0</v>
      </c>
      <c r="AI13" s="910">
        <f t="shared" si="18"/>
        <v>160000</v>
      </c>
      <c r="AJ13" s="910"/>
      <c r="AK13" s="910">
        <f t="shared" si="12"/>
        <v>160000</v>
      </c>
      <c r="AL13" s="23" t="s">
        <v>423</v>
      </c>
      <c r="AM13" s="919" t="s">
        <v>441</v>
      </c>
      <c r="AN13" s="919" t="s">
        <v>474</v>
      </c>
      <c r="AQ13" s="539">
        <v>43282</v>
      </c>
      <c r="AR13" s="539">
        <f>EOMONTH(AQ13,AS13)-1</f>
        <v>43829</v>
      </c>
      <c r="AS13" s="919">
        <v>17</v>
      </c>
    </row>
    <row r="14" spans="2:46" s="739" customFormat="1" ht="25.5" x14ac:dyDescent="0.2">
      <c r="B14" s="737"/>
      <c r="C14" s="738">
        <v>1</v>
      </c>
      <c r="D14" s="738">
        <v>2</v>
      </c>
      <c r="E14" s="738">
        <v>0</v>
      </c>
      <c r="F14" s="738">
        <v>0</v>
      </c>
      <c r="G14" s="737" t="str">
        <f t="shared" si="10"/>
        <v>1.2.0.0</v>
      </c>
      <c r="H14" s="819" t="s">
        <v>94</v>
      </c>
      <c r="I14" s="823">
        <f t="shared" si="0"/>
        <v>1320000</v>
      </c>
      <c r="J14" s="740">
        <f t="shared" si="1"/>
        <v>0</v>
      </c>
      <c r="K14" s="741">
        <f t="shared" si="4"/>
        <v>1320000</v>
      </c>
      <c r="L14" s="890"/>
      <c r="M14" s="891"/>
      <c r="N14" s="53">
        <f>+N15+N20+N24+N30+N34+N36</f>
        <v>140000</v>
      </c>
      <c r="O14" s="53">
        <f t="shared" ref="O14" si="19">+O15+O20+O24+O30+O34+O36</f>
        <v>1180000</v>
      </c>
      <c r="P14" s="833">
        <f t="shared" si="2"/>
        <v>1320000</v>
      </c>
      <c r="Q14" s="53">
        <f t="shared" ref="Q14:U14" si="20">+Q15+Q20+Q24+Q30+Q34+Q36</f>
        <v>0</v>
      </c>
      <c r="R14" s="53">
        <f t="shared" si="20"/>
        <v>0</v>
      </c>
      <c r="S14" s="53">
        <f t="shared" si="20"/>
        <v>0</v>
      </c>
      <c r="T14" s="53">
        <f t="shared" si="20"/>
        <v>0</v>
      </c>
      <c r="U14" s="53">
        <f t="shared" si="20"/>
        <v>0</v>
      </c>
      <c r="V14" s="53">
        <f t="shared" si="7"/>
        <v>0</v>
      </c>
      <c r="W14" s="737"/>
      <c r="Z14" s="776"/>
      <c r="AA14" s="843"/>
      <c r="AB14" s="767"/>
      <c r="AC14" s="767"/>
      <c r="AD14" s="767"/>
      <c r="AE14" s="768">
        <f t="shared" si="15"/>
        <v>0</v>
      </c>
      <c r="AF14" s="782"/>
      <c r="AG14" s="906"/>
      <c r="AH14" s="906"/>
      <c r="AI14" s="906"/>
      <c r="AJ14" s="906"/>
      <c r="AK14" s="907">
        <f t="shared" si="12"/>
        <v>0</v>
      </c>
      <c r="AM14" s="737"/>
      <c r="AN14" s="737"/>
      <c r="AO14" s="737"/>
      <c r="AP14" s="737"/>
      <c r="AQ14" s="737"/>
      <c r="AR14" s="737"/>
      <c r="AS14" s="737"/>
      <c r="AT14" s="737"/>
    </row>
    <row r="15" spans="2:46" s="44" customFormat="1" ht="25.5" x14ac:dyDescent="0.2">
      <c r="B15" s="42" t="s">
        <v>22</v>
      </c>
      <c r="C15" s="49">
        <v>1</v>
      </c>
      <c r="D15" s="49">
        <v>2</v>
      </c>
      <c r="E15" s="49">
        <v>1</v>
      </c>
      <c r="F15" s="49">
        <v>0</v>
      </c>
      <c r="G15" s="42" t="str">
        <f t="shared" si="10"/>
        <v>1.2.1.0</v>
      </c>
      <c r="H15" s="623" t="s">
        <v>198</v>
      </c>
      <c r="I15" s="824">
        <f t="shared" si="0"/>
        <v>160000</v>
      </c>
      <c r="J15" s="727">
        <f t="shared" si="1"/>
        <v>0</v>
      </c>
      <c r="K15" s="728">
        <f t="shared" si="4"/>
        <v>160000</v>
      </c>
      <c r="L15" s="892"/>
      <c r="M15" s="893"/>
      <c r="N15" s="43">
        <f>SUM(N16:N19)</f>
        <v>45000</v>
      </c>
      <c r="O15" s="43">
        <f t="shared" ref="O15" si="21">SUM(O16:O19)</f>
        <v>115000</v>
      </c>
      <c r="P15" s="834">
        <f t="shared" si="2"/>
        <v>160000</v>
      </c>
      <c r="Q15" s="43">
        <f t="shared" ref="Q15:U15" si="22">SUM(Q16:Q19)</f>
        <v>0</v>
      </c>
      <c r="R15" s="43">
        <f t="shared" si="22"/>
        <v>0</v>
      </c>
      <c r="S15" s="43">
        <f t="shared" si="22"/>
        <v>0</v>
      </c>
      <c r="T15" s="43">
        <f t="shared" si="22"/>
        <v>0</v>
      </c>
      <c r="U15" s="43">
        <f t="shared" si="22"/>
        <v>0</v>
      </c>
      <c r="V15" s="43">
        <f t="shared" si="7"/>
        <v>0</v>
      </c>
      <c r="W15" s="838">
        <f>+'Matriz de Resultados'!B29</f>
        <v>1.7</v>
      </c>
      <c r="Z15" s="777"/>
      <c r="AA15" s="844"/>
      <c r="AB15" s="769"/>
      <c r="AC15" s="769"/>
      <c r="AD15" s="769"/>
      <c r="AE15" s="770">
        <f t="shared" si="15"/>
        <v>0</v>
      </c>
      <c r="AF15" s="783"/>
      <c r="AG15" s="908"/>
      <c r="AH15" s="908"/>
      <c r="AI15" s="908"/>
      <c r="AJ15" s="908"/>
      <c r="AK15" s="909">
        <f t="shared" si="12"/>
        <v>0</v>
      </c>
      <c r="AM15" s="42"/>
      <c r="AN15" s="42"/>
      <c r="AO15" s="42"/>
      <c r="AP15" s="42"/>
      <c r="AQ15" s="42"/>
      <c r="AR15" s="42"/>
      <c r="AS15" s="42"/>
      <c r="AT15" s="42"/>
    </row>
    <row r="16" spans="2:46" x14ac:dyDescent="0.2">
      <c r="C16" s="50">
        <v>1</v>
      </c>
      <c r="D16" s="50">
        <v>2</v>
      </c>
      <c r="E16" s="50">
        <v>1</v>
      </c>
      <c r="F16" s="50">
        <v>1</v>
      </c>
      <c r="G16" s="919" t="str">
        <f t="shared" si="10"/>
        <v>1.2.1.1</v>
      </c>
      <c r="H16" s="2" t="str">
        <f>+'1.2'!B7</f>
        <v>Consultoría para el diseño banco unificado de datos</v>
      </c>
      <c r="I16" s="825">
        <f t="shared" si="0"/>
        <v>15000</v>
      </c>
      <c r="J16" s="729">
        <f t="shared" si="1"/>
        <v>0</v>
      </c>
      <c r="K16" s="730">
        <f t="shared" si="4"/>
        <v>15000</v>
      </c>
      <c r="L16" s="894">
        <v>1</v>
      </c>
      <c r="M16" s="895">
        <f t="shared" si="14"/>
        <v>0</v>
      </c>
      <c r="N16" s="37">
        <f>+'1.2'!E7</f>
        <v>15000</v>
      </c>
      <c r="O16" s="37">
        <f>+'1.2'!F7</f>
        <v>0</v>
      </c>
      <c r="P16" s="835">
        <f t="shared" si="2"/>
        <v>15000</v>
      </c>
      <c r="Q16" s="38"/>
      <c r="R16" s="38"/>
      <c r="S16" s="38"/>
      <c r="T16" s="38"/>
      <c r="U16" s="37"/>
      <c r="V16" s="38">
        <f t="shared" si="7"/>
        <v>0</v>
      </c>
      <c r="Z16" s="778">
        <f>+I16/AE16</f>
        <v>3750</v>
      </c>
      <c r="AB16" s="59">
        <v>3</v>
      </c>
      <c r="AC16" s="59">
        <v>1</v>
      </c>
      <c r="AE16" s="771">
        <f t="shared" si="15"/>
        <v>4</v>
      </c>
      <c r="AF16" s="337">
        <f t="shared" ref="AF16:AI19" si="23">+$Z16*AA16</f>
        <v>0</v>
      </c>
      <c r="AG16" s="910">
        <f t="shared" si="23"/>
        <v>11250</v>
      </c>
      <c r="AH16" s="910">
        <f t="shared" si="23"/>
        <v>3750</v>
      </c>
      <c r="AI16" s="910">
        <f t="shared" si="23"/>
        <v>0</v>
      </c>
      <c r="AJ16" s="910"/>
      <c r="AK16" s="910">
        <f t="shared" si="12"/>
        <v>15000</v>
      </c>
      <c r="AL16" s="23" t="s">
        <v>423</v>
      </c>
      <c r="AM16" s="919" t="s">
        <v>441</v>
      </c>
      <c r="AN16" s="919" t="s">
        <v>474</v>
      </c>
      <c r="AQ16" s="539">
        <v>43009</v>
      </c>
      <c r="AR16" s="539">
        <f t="shared" ref="AR16:AR19" si="24">EOMONTH(AQ16,AS16)</f>
        <v>43131</v>
      </c>
      <c r="AS16" s="919">
        <v>3</v>
      </c>
    </row>
    <row r="17" spans="2:46" x14ac:dyDescent="0.2">
      <c r="C17" s="50">
        <v>1</v>
      </c>
      <c r="D17" s="50">
        <v>2</v>
      </c>
      <c r="E17" s="50">
        <v>1</v>
      </c>
      <c r="F17" s="50">
        <v>2</v>
      </c>
      <c r="G17" s="919" t="str">
        <f t="shared" si="10"/>
        <v>1.2.1.2</v>
      </c>
      <c r="H17" s="2" t="str">
        <f>+'1.2'!B8</f>
        <v>Adquisición Infraestructura y mobiliario</v>
      </c>
      <c r="I17" s="825">
        <f t="shared" si="0"/>
        <v>15000</v>
      </c>
      <c r="J17" s="729">
        <f t="shared" si="1"/>
        <v>0</v>
      </c>
      <c r="K17" s="730">
        <f t="shared" si="4"/>
        <v>15000</v>
      </c>
      <c r="L17" s="894">
        <v>1</v>
      </c>
      <c r="M17" s="895">
        <f t="shared" si="14"/>
        <v>0</v>
      </c>
      <c r="N17" s="37">
        <f>+'1.2'!E8</f>
        <v>10000</v>
      </c>
      <c r="O17" s="37">
        <f>+'1.2'!F8</f>
        <v>5000</v>
      </c>
      <c r="P17" s="835">
        <f t="shared" si="2"/>
        <v>15000</v>
      </c>
      <c r="Q17" s="38"/>
      <c r="R17" s="38"/>
      <c r="S17" s="38"/>
      <c r="T17" s="38"/>
      <c r="U17" s="37"/>
      <c r="V17" s="38">
        <f t="shared" si="7"/>
        <v>0</v>
      </c>
      <c r="Z17" s="778">
        <f>+I17/AE17</f>
        <v>2500</v>
      </c>
      <c r="AB17" s="59">
        <v>3</v>
      </c>
      <c r="AC17" s="59">
        <v>3</v>
      </c>
      <c r="AE17" s="771">
        <f t="shared" si="15"/>
        <v>6</v>
      </c>
      <c r="AF17" s="337">
        <f t="shared" si="23"/>
        <v>0</v>
      </c>
      <c r="AG17" s="910">
        <f t="shared" si="23"/>
        <v>7500</v>
      </c>
      <c r="AH17" s="910">
        <f t="shared" si="23"/>
        <v>7500</v>
      </c>
      <c r="AI17" s="910">
        <f t="shared" si="23"/>
        <v>0</v>
      </c>
      <c r="AJ17" s="910"/>
      <c r="AK17" s="910">
        <f t="shared" si="12"/>
        <v>15000</v>
      </c>
      <c r="AL17" s="23" t="s">
        <v>421</v>
      </c>
      <c r="AM17" s="919" t="s">
        <v>465</v>
      </c>
      <c r="AN17" s="919" t="s">
        <v>440</v>
      </c>
      <c r="AQ17" s="539">
        <v>43009</v>
      </c>
      <c r="AR17" s="539">
        <f t="shared" si="24"/>
        <v>43190</v>
      </c>
      <c r="AS17" s="919">
        <v>5</v>
      </c>
    </row>
    <row r="18" spans="2:46" x14ac:dyDescent="0.2">
      <c r="C18" s="50">
        <v>1</v>
      </c>
      <c r="D18" s="50">
        <v>2</v>
      </c>
      <c r="E18" s="50">
        <v>1</v>
      </c>
      <c r="F18" s="50">
        <v>3</v>
      </c>
      <c r="G18" s="919" t="str">
        <f t="shared" si="10"/>
        <v>1.2.1.3</v>
      </c>
      <c r="H18" s="2" t="str">
        <f>+'1.2'!B9</f>
        <v>Adquisición Hardware</v>
      </c>
      <c r="I18" s="825">
        <f t="shared" si="0"/>
        <v>70000</v>
      </c>
      <c r="J18" s="729">
        <f t="shared" si="1"/>
        <v>0</v>
      </c>
      <c r="K18" s="730">
        <f t="shared" si="4"/>
        <v>70000</v>
      </c>
      <c r="L18" s="894">
        <v>1</v>
      </c>
      <c r="M18" s="895">
        <f t="shared" si="14"/>
        <v>0</v>
      </c>
      <c r="N18" s="37">
        <f>+'1.2'!E9</f>
        <v>20000</v>
      </c>
      <c r="O18" s="37">
        <f>+'1.2'!F9</f>
        <v>50000</v>
      </c>
      <c r="P18" s="835">
        <f t="shared" si="2"/>
        <v>70000</v>
      </c>
      <c r="Q18" s="38"/>
      <c r="R18" s="38"/>
      <c r="S18" s="38"/>
      <c r="T18" s="38"/>
      <c r="U18" s="37"/>
      <c r="V18" s="38">
        <f t="shared" si="7"/>
        <v>0</v>
      </c>
      <c r="Z18" s="778">
        <f>+I18/AE18</f>
        <v>4666.666666666667</v>
      </c>
      <c r="AB18" s="59">
        <v>3</v>
      </c>
      <c r="AC18" s="59">
        <v>6</v>
      </c>
      <c r="AD18" s="59">
        <v>6</v>
      </c>
      <c r="AE18" s="771">
        <f t="shared" si="15"/>
        <v>15</v>
      </c>
      <c r="AF18" s="337">
        <f t="shared" si="23"/>
        <v>0</v>
      </c>
      <c r="AG18" s="910">
        <f t="shared" si="23"/>
        <v>14000</v>
      </c>
      <c r="AH18" s="910">
        <f t="shared" si="23"/>
        <v>28000</v>
      </c>
      <c r="AI18" s="910">
        <f t="shared" si="23"/>
        <v>28000</v>
      </c>
      <c r="AJ18" s="910"/>
      <c r="AK18" s="910">
        <f t="shared" si="12"/>
        <v>70000</v>
      </c>
      <c r="AL18" s="23" t="s">
        <v>421</v>
      </c>
      <c r="AM18" s="919" t="s">
        <v>465</v>
      </c>
      <c r="AN18" s="919" t="s">
        <v>440</v>
      </c>
      <c r="AQ18" s="539">
        <v>43009</v>
      </c>
      <c r="AR18" s="539">
        <f t="shared" si="24"/>
        <v>43524</v>
      </c>
      <c r="AS18" s="919">
        <v>16</v>
      </c>
    </row>
    <row r="19" spans="2:46" x14ac:dyDescent="0.2">
      <c r="C19" s="50">
        <v>1</v>
      </c>
      <c r="D19" s="50">
        <v>2</v>
      </c>
      <c r="E19" s="50">
        <v>1</v>
      </c>
      <c r="F19" s="50">
        <v>4</v>
      </c>
      <c r="G19" s="919" t="str">
        <f t="shared" si="10"/>
        <v>1.2.1.4</v>
      </c>
      <c r="H19" s="2" t="str">
        <f>+'1.2'!B10</f>
        <v>Adquisición Software</v>
      </c>
      <c r="I19" s="825">
        <f t="shared" si="0"/>
        <v>60000</v>
      </c>
      <c r="J19" s="729">
        <f t="shared" si="1"/>
        <v>0</v>
      </c>
      <c r="K19" s="730">
        <f t="shared" si="4"/>
        <v>60000</v>
      </c>
      <c r="L19" s="894">
        <v>1</v>
      </c>
      <c r="M19" s="895">
        <f t="shared" si="14"/>
        <v>0</v>
      </c>
      <c r="N19" s="37">
        <f>+'1.2'!E10</f>
        <v>0</v>
      </c>
      <c r="O19" s="37">
        <f>+'1.2'!F10</f>
        <v>60000</v>
      </c>
      <c r="P19" s="835">
        <f t="shared" si="2"/>
        <v>60000</v>
      </c>
      <c r="Q19" s="38"/>
      <c r="R19" s="38"/>
      <c r="S19" s="38"/>
      <c r="T19" s="38"/>
      <c r="U19" s="37"/>
      <c r="V19" s="38">
        <f t="shared" si="7"/>
        <v>0</v>
      </c>
      <c r="Z19" s="778">
        <f>+I19/AE19</f>
        <v>5454.545454545455</v>
      </c>
      <c r="AC19" s="59">
        <v>5</v>
      </c>
      <c r="AD19" s="59">
        <v>6</v>
      </c>
      <c r="AE19" s="771">
        <f t="shared" si="15"/>
        <v>11</v>
      </c>
      <c r="AF19" s="337">
        <f t="shared" si="23"/>
        <v>0</v>
      </c>
      <c r="AG19" s="910">
        <f t="shared" si="23"/>
        <v>0</v>
      </c>
      <c r="AH19" s="910">
        <f t="shared" si="23"/>
        <v>27272.727272727276</v>
      </c>
      <c r="AI19" s="910">
        <f t="shared" si="23"/>
        <v>32727.272727272728</v>
      </c>
      <c r="AJ19" s="910"/>
      <c r="AK19" s="910">
        <f t="shared" si="12"/>
        <v>60000</v>
      </c>
      <c r="AL19" s="23" t="s">
        <v>421</v>
      </c>
      <c r="AM19" s="919" t="s">
        <v>465</v>
      </c>
      <c r="AN19" s="919" t="s">
        <v>440</v>
      </c>
      <c r="AQ19" s="539">
        <v>43132</v>
      </c>
      <c r="AR19" s="539">
        <f t="shared" si="24"/>
        <v>43585</v>
      </c>
      <c r="AS19" s="919">
        <v>14</v>
      </c>
    </row>
    <row r="20" spans="2:46" s="507" customFormat="1" x14ac:dyDescent="0.2">
      <c r="B20" s="505"/>
      <c r="C20" s="506">
        <v>1</v>
      </c>
      <c r="D20" s="506">
        <v>2</v>
      </c>
      <c r="E20" s="506">
        <v>2</v>
      </c>
      <c r="F20" s="506">
        <v>0</v>
      </c>
      <c r="G20" s="505" t="str">
        <f t="shared" si="10"/>
        <v>1.2.2.0</v>
      </c>
      <c r="H20" s="623" t="s">
        <v>60</v>
      </c>
      <c r="I20" s="826">
        <f t="shared" si="0"/>
        <v>685000</v>
      </c>
      <c r="J20" s="731">
        <f t="shared" si="1"/>
        <v>0</v>
      </c>
      <c r="K20" s="732">
        <f t="shared" si="4"/>
        <v>685000</v>
      </c>
      <c r="L20" s="897"/>
      <c r="M20" s="898"/>
      <c r="N20" s="43">
        <f>SUM(N21:N23)</f>
        <v>35000</v>
      </c>
      <c r="O20" s="43">
        <f t="shared" ref="O20" si="25">SUM(O21:O23)</f>
        <v>650000</v>
      </c>
      <c r="P20" s="834">
        <f t="shared" si="2"/>
        <v>685000</v>
      </c>
      <c r="Q20" s="43">
        <f t="shared" ref="Q20:U20" si="26">SUM(Q21:Q23)</f>
        <v>0</v>
      </c>
      <c r="R20" s="43">
        <f t="shared" si="26"/>
        <v>0</v>
      </c>
      <c r="S20" s="43">
        <f t="shared" si="26"/>
        <v>0</v>
      </c>
      <c r="T20" s="43">
        <f t="shared" si="26"/>
        <v>0</v>
      </c>
      <c r="U20" s="43">
        <f t="shared" si="26"/>
        <v>0</v>
      </c>
      <c r="V20" s="43">
        <f t="shared" si="7"/>
        <v>0</v>
      </c>
      <c r="W20" s="505">
        <f>+'Matriz de Resultados'!B30</f>
        <v>1.8</v>
      </c>
      <c r="Z20" s="779"/>
      <c r="AA20" s="846"/>
      <c r="AB20" s="772"/>
      <c r="AC20" s="772"/>
      <c r="AD20" s="772"/>
      <c r="AE20" s="773">
        <f t="shared" si="15"/>
        <v>0</v>
      </c>
      <c r="AF20" s="784"/>
      <c r="AG20" s="911"/>
      <c r="AH20" s="911"/>
      <c r="AI20" s="911"/>
      <c r="AJ20" s="911"/>
      <c r="AK20" s="912">
        <f t="shared" si="12"/>
        <v>0</v>
      </c>
      <c r="AM20" s="505"/>
      <c r="AN20" s="505"/>
      <c r="AO20" s="505"/>
      <c r="AP20" s="505"/>
      <c r="AQ20" s="505"/>
      <c r="AR20" s="505"/>
      <c r="AS20" s="505"/>
      <c r="AT20" s="505"/>
    </row>
    <row r="21" spans="2:46" x14ac:dyDescent="0.2">
      <c r="C21" s="50">
        <v>1</v>
      </c>
      <c r="D21" s="50">
        <v>2</v>
      </c>
      <c r="E21" s="50">
        <v>2</v>
      </c>
      <c r="F21" s="50">
        <v>1</v>
      </c>
      <c r="G21" s="32" t="str">
        <f t="shared" si="10"/>
        <v>1.2.2.1</v>
      </c>
      <c r="H21" s="2" t="str">
        <f>+'1.2'!B18</f>
        <v>Consultoría para el diseño de la Sala</v>
      </c>
      <c r="I21" s="825">
        <f t="shared" si="0"/>
        <v>35000</v>
      </c>
      <c r="J21" s="729">
        <f t="shared" si="1"/>
        <v>0</v>
      </c>
      <c r="K21" s="730">
        <f t="shared" si="4"/>
        <v>35000</v>
      </c>
      <c r="L21" s="894">
        <v>1</v>
      </c>
      <c r="M21" s="895">
        <f t="shared" si="14"/>
        <v>0</v>
      </c>
      <c r="N21" s="37">
        <f>+'1.2'!E18</f>
        <v>35000</v>
      </c>
      <c r="O21" s="37">
        <f>+'1.2'!F18</f>
        <v>0</v>
      </c>
      <c r="P21" s="835">
        <f t="shared" si="2"/>
        <v>35000</v>
      </c>
      <c r="Q21" s="38"/>
      <c r="R21" s="38"/>
      <c r="S21" s="38"/>
      <c r="T21" s="38"/>
      <c r="U21" s="37"/>
      <c r="V21" s="38">
        <f t="shared" si="7"/>
        <v>0</v>
      </c>
      <c r="Z21" s="778">
        <f>+I21/AE21</f>
        <v>11666.666666666666</v>
      </c>
      <c r="AB21" s="59">
        <v>3</v>
      </c>
      <c r="AE21" s="771">
        <f t="shared" si="15"/>
        <v>3</v>
      </c>
      <c r="AF21" s="337">
        <f t="shared" ref="AF21:AI23" si="27">+$Z21*AA21</f>
        <v>0</v>
      </c>
      <c r="AG21" s="910">
        <f t="shared" si="27"/>
        <v>35000</v>
      </c>
      <c r="AH21" s="910">
        <f t="shared" si="27"/>
        <v>0</v>
      </c>
      <c r="AI21" s="910">
        <f t="shared" si="27"/>
        <v>0</v>
      </c>
      <c r="AJ21" s="910"/>
      <c r="AK21" s="910">
        <f t="shared" si="12"/>
        <v>35000</v>
      </c>
      <c r="AL21" s="23" t="s">
        <v>423</v>
      </c>
      <c r="AM21" s="919" t="s">
        <v>441</v>
      </c>
      <c r="AN21" s="919" t="s">
        <v>474</v>
      </c>
      <c r="AQ21" s="539">
        <v>43009</v>
      </c>
      <c r="AR21" s="539">
        <f t="shared" ref="AR21:AR22" si="28">EOMONTH(AQ21,AS21)</f>
        <v>43100</v>
      </c>
      <c r="AS21" s="919">
        <v>2</v>
      </c>
    </row>
    <row r="22" spans="2:46" ht="25.5" x14ac:dyDescent="0.2">
      <c r="C22" s="50">
        <v>1</v>
      </c>
      <c r="D22" s="50">
        <v>2</v>
      </c>
      <c r="E22" s="50">
        <v>2</v>
      </c>
      <c r="F22" s="50">
        <v>2</v>
      </c>
      <c r="G22" s="32" t="str">
        <f t="shared" si="10"/>
        <v>1.2.2.2</v>
      </c>
      <c r="H22" s="2" t="str">
        <f>+'1.2'!B19</f>
        <v>Adquisición de Equipamiento e Instalación de la Sala de Situación</v>
      </c>
      <c r="I22" s="825">
        <f t="shared" si="0"/>
        <v>600000</v>
      </c>
      <c r="J22" s="729">
        <f t="shared" si="1"/>
        <v>0</v>
      </c>
      <c r="K22" s="730">
        <f t="shared" si="4"/>
        <v>600000</v>
      </c>
      <c r="L22" s="894">
        <v>1</v>
      </c>
      <c r="M22" s="895">
        <f t="shared" si="14"/>
        <v>0</v>
      </c>
      <c r="N22" s="37">
        <f>+'1.2'!E19</f>
        <v>0</v>
      </c>
      <c r="O22" s="37">
        <f>+'1.2'!F19</f>
        <v>600000</v>
      </c>
      <c r="P22" s="835">
        <f t="shared" si="2"/>
        <v>600000</v>
      </c>
      <c r="Q22" s="38"/>
      <c r="R22" s="38"/>
      <c r="S22" s="38"/>
      <c r="T22" s="38"/>
      <c r="U22" s="37"/>
      <c r="V22" s="38">
        <f t="shared" si="7"/>
        <v>0</v>
      </c>
      <c r="Z22" s="778">
        <f>+I22/AE22</f>
        <v>54545.454545454544</v>
      </c>
      <c r="AC22" s="59">
        <v>5</v>
      </c>
      <c r="AD22" s="59">
        <v>6</v>
      </c>
      <c r="AE22" s="771">
        <f t="shared" si="15"/>
        <v>11</v>
      </c>
      <c r="AF22" s="337">
        <f t="shared" si="27"/>
        <v>0</v>
      </c>
      <c r="AG22" s="910">
        <f t="shared" si="27"/>
        <v>0</v>
      </c>
      <c r="AH22" s="910">
        <f t="shared" si="27"/>
        <v>272727.27272727271</v>
      </c>
      <c r="AI22" s="910">
        <f t="shared" si="27"/>
        <v>327272.72727272729</v>
      </c>
      <c r="AJ22" s="910"/>
      <c r="AK22" s="910">
        <f t="shared" si="12"/>
        <v>600000</v>
      </c>
      <c r="AL22" s="23" t="s">
        <v>432</v>
      </c>
      <c r="AM22" s="919" t="s">
        <v>155</v>
      </c>
      <c r="AN22" s="919" t="s">
        <v>474</v>
      </c>
      <c r="AQ22" s="539">
        <v>43132</v>
      </c>
      <c r="AR22" s="539">
        <f t="shared" si="28"/>
        <v>43677</v>
      </c>
      <c r="AS22" s="919">
        <v>17</v>
      </c>
    </row>
    <row r="23" spans="2:46" x14ac:dyDescent="0.2">
      <c r="C23" s="50">
        <v>1</v>
      </c>
      <c r="D23" s="50">
        <v>2</v>
      </c>
      <c r="E23" s="50">
        <v>2</v>
      </c>
      <c r="F23" s="50">
        <v>3</v>
      </c>
      <c r="G23" s="32" t="str">
        <f t="shared" si="10"/>
        <v>1.2.2.3</v>
      </c>
      <c r="H23" s="2" t="str">
        <f>+'1.2'!B20</f>
        <v>Insumos para Operación y Mantenimiento.</v>
      </c>
      <c r="I23" s="825">
        <f t="shared" si="0"/>
        <v>50000</v>
      </c>
      <c r="J23" s="729">
        <f t="shared" si="1"/>
        <v>0</v>
      </c>
      <c r="K23" s="730">
        <f t="shared" si="4"/>
        <v>50000</v>
      </c>
      <c r="L23" s="894">
        <v>1</v>
      </c>
      <c r="M23" s="895">
        <f t="shared" si="14"/>
        <v>0</v>
      </c>
      <c r="N23" s="37">
        <f>+'1.2'!E20</f>
        <v>0</v>
      </c>
      <c r="O23" s="37">
        <f>+'1.2'!F20</f>
        <v>50000</v>
      </c>
      <c r="P23" s="835">
        <f t="shared" si="2"/>
        <v>50000</v>
      </c>
      <c r="Q23" s="38"/>
      <c r="R23" s="38"/>
      <c r="S23" s="38"/>
      <c r="T23" s="38"/>
      <c r="U23" s="37"/>
      <c r="V23" s="38">
        <f t="shared" si="7"/>
        <v>0</v>
      </c>
      <c r="Z23" s="778">
        <f>+I23/AE23</f>
        <v>4545.454545454545</v>
      </c>
      <c r="AC23" s="59">
        <v>5</v>
      </c>
      <c r="AD23" s="59">
        <v>6</v>
      </c>
      <c r="AE23" s="771">
        <f t="shared" si="15"/>
        <v>11</v>
      </c>
      <c r="AF23" s="337">
        <f t="shared" si="27"/>
        <v>0</v>
      </c>
      <c r="AG23" s="910">
        <f t="shared" si="27"/>
        <v>0</v>
      </c>
      <c r="AH23" s="910">
        <f t="shared" si="27"/>
        <v>22727.272727272724</v>
      </c>
      <c r="AI23" s="910">
        <f t="shared" si="27"/>
        <v>27272.727272727272</v>
      </c>
      <c r="AJ23" s="910"/>
      <c r="AK23" s="910">
        <f t="shared" si="12"/>
        <v>50000</v>
      </c>
      <c r="AL23" s="23" t="s">
        <v>421</v>
      </c>
      <c r="AM23" s="919" t="s">
        <v>465</v>
      </c>
      <c r="AN23" s="919" t="s">
        <v>440</v>
      </c>
      <c r="AQ23" s="539">
        <v>43132</v>
      </c>
      <c r="AR23" s="539">
        <f>EOMONTH(AQ23,AS23)</f>
        <v>44255</v>
      </c>
      <c r="AS23" s="919">
        <v>36</v>
      </c>
    </row>
    <row r="24" spans="2:46" s="507" customFormat="1" ht="25.5" x14ac:dyDescent="0.2">
      <c r="B24" s="505"/>
      <c r="C24" s="506">
        <v>1</v>
      </c>
      <c r="D24" s="506">
        <v>2</v>
      </c>
      <c r="E24" s="506">
        <v>3</v>
      </c>
      <c r="F24" s="506">
        <v>0</v>
      </c>
      <c r="G24" s="505" t="str">
        <f t="shared" si="10"/>
        <v>1.2.3.0</v>
      </c>
      <c r="H24" s="623" t="s">
        <v>476</v>
      </c>
      <c r="I24" s="826">
        <f t="shared" si="0"/>
        <v>135000</v>
      </c>
      <c r="J24" s="731">
        <f t="shared" si="1"/>
        <v>0</v>
      </c>
      <c r="K24" s="732">
        <f t="shared" si="4"/>
        <v>135000</v>
      </c>
      <c r="L24" s="897"/>
      <c r="M24" s="898"/>
      <c r="N24" s="43">
        <f>SUM(N25:N29)</f>
        <v>35000</v>
      </c>
      <c r="O24" s="43">
        <f t="shared" ref="O24" si="29">SUM(O25:O29)</f>
        <v>100000</v>
      </c>
      <c r="P24" s="834">
        <f t="shared" si="2"/>
        <v>135000</v>
      </c>
      <c r="Q24" s="43">
        <f t="shared" ref="Q24:U24" si="30">SUM(Q25:Q29)</f>
        <v>0</v>
      </c>
      <c r="R24" s="43">
        <f t="shared" si="30"/>
        <v>0</v>
      </c>
      <c r="S24" s="43">
        <f t="shared" si="30"/>
        <v>0</v>
      </c>
      <c r="T24" s="43">
        <f t="shared" si="30"/>
        <v>0</v>
      </c>
      <c r="U24" s="43">
        <f t="shared" si="30"/>
        <v>0</v>
      </c>
      <c r="V24" s="43">
        <f t="shared" si="7"/>
        <v>0</v>
      </c>
      <c r="W24" s="505">
        <f>+'Matriz de Resultados'!B29</f>
        <v>1.7</v>
      </c>
      <c r="Z24" s="779"/>
      <c r="AA24" s="846"/>
      <c r="AB24" s="772"/>
      <c r="AC24" s="772"/>
      <c r="AD24" s="772"/>
      <c r="AE24" s="773">
        <f t="shared" si="15"/>
        <v>0</v>
      </c>
      <c r="AF24" s="784"/>
      <c r="AG24" s="911"/>
      <c r="AH24" s="911"/>
      <c r="AI24" s="911"/>
      <c r="AJ24" s="911"/>
      <c r="AK24" s="912">
        <f t="shared" si="12"/>
        <v>0</v>
      </c>
      <c r="AM24" s="505"/>
      <c r="AN24" s="505"/>
      <c r="AO24" s="505"/>
      <c r="AP24" s="505"/>
      <c r="AQ24" s="505"/>
      <c r="AR24" s="505"/>
      <c r="AS24" s="505"/>
      <c r="AT24" s="505"/>
    </row>
    <row r="25" spans="2:46" s="463" customFormat="1" ht="25.5" x14ac:dyDescent="0.2">
      <c r="B25" s="490"/>
      <c r="C25" s="50">
        <v>1</v>
      </c>
      <c r="D25" s="50">
        <v>2</v>
      </c>
      <c r="E25" s="50">
        <v>3</v>
      </c>
      <c r="F25" s="50">
        <v>1</v>
      </c>
      <c r="G25" s="32" t="str">
        <f t="shared" si="10"/>
        <v>1.2.3.1</v>
      </c>
      <c r="H25" s="2" t="str">
        <f>+'1.2'!B23</f>
        <v>Adquisición y/o desarrollo de programas de análisis y datamining</v>
      </c>
      <c r="I25" s="827">
        <f t="shared" si="0"/>
        <v>90000</v>
      </c>
      <c r="J25" s="735">
        <f t="shared" si="1"/>
        <v>0</v>
      </c>
      <c r="K25" s="736">
        <f t="shared" si="4"/>
        <v>90000</v>
      </c>
      <c r="L25" s="894">
        <v>1</v>
      </c>
      <c r="M25" s="899">
        <f t="shared" si="14"/>
        <v>0</v>
      </c>
      <c r="N25" s="504">
        <f>+'1.2'!E23</f>
        <v>20000</v>
      </c>
      <c r="O25" s="504">
        <f>+'1.2'!F23</f>
        <v>70000</v>
      </c>
      <c r="P25" s="835">
        <f t="shared" si="2"/>
        <v>90000</v>
      </c>
      <c r="Q25" s="38"/>
      <c r="R25" s="38"/>
      <c r="S25" s="38"/>
      <c r="T25" s="38"/>
      <c r="U25" s="504"/>
      <c r="V25" s="38">
        <f t="shared" si="7"/>
        <v>0</v>
      </c>
      <c r="W25" s="490"/>
      <c r="X25" s="622"/>
      <c r="Z25" s="778">
        <f>+I25/AE25</f>
        <v>30000</v>
      </c>
      <c r="AA25" s="845"/>
      <c r="AB25" s="59">
        <v>3</v>
      </c>
      <c r="AC25" s="59"/>
      <c r="AD25" s="59"/>
      <c r="AE25" s="771">
        <f t="shared" si="15"/>
        <v>3</v>
      </c>
      <c r="AF25" s="337">
        <f t="shared" ref="AF25:AI29" si="31">+$Z25*AA25</f>
        <v>0</v>
      </c>
      <c r="AG25" s="910">
        <f t="shared" si="31"/>
        <v>90000</v>
      </c>
      <c r="AH25" s="910">
        <f t="shared" si="31"/>
        <v>0</v>
      </c>
      <c r="AI25" s="910">
        <f t="shared" si="31"/>
        <v>0</v>
      </c>
      <c r="AJ25" s="910"/>
      <c r="AK25" s="910">
        <f t="shared" si="12"/>
        <v>90000</v>
      </c>
      <c r="AL25" s="23" t="s">
        <v>421</v>
      </c>
      <c r="AM25" s="919" t="s">
        <v>155</v>
      </c>
      <c r="AN25" s="919" t="s">
        <v>474</v>
      </c>
      <c r="AO25" s="919"/>
      <c r="AP25" s="919"/>
      <c r="AQ25" s="539">
        <v>43009</v>
      </c>
      <c r="AR25" s="539">
        <f t="shared" ref="AR25:AR29" si="32">EOMONTH(AQ25,AS25)</f>
        <v>43100</v>
      </c>
      <c r="AS25" s="490">
        <v>2</v>
      </c>
      <c r="AT25" s="490"/>
    </row>
    <row r="26" spans="2:46" s="463" customFormat="1" x14ac:dyDescent="0.2">
      <c r="B26" s="490"/>
      <c r="C26" s="50">
        <v>1</v>
      </c>
      <c r="D26" s="50">
        <v>2</v>
      </c>
      <c r="E26" s="50">
        <v>3</v>
      </c>
      <c r="F26" s="50">
        <v>2</v>
      </c>
      <c r="G26" s="32" t="str">
        <f t="shared" si="10"/>
        <v>1.2.3.2</v>
      </c>
      <c r="H26" s="2" t="str">
        <f>+'1.2'!B24</f>
        <v>Capacitación en el uso deherramientas de datamining.</v>
      </c>
      <c r="I26" s="827">
        <f t="shared" si="0"/>
        <v>5000</v>
      </c>
      <c r="J26" s="735">
        <f t="shared" si="1"/>
        <v>0</v>
      </c>
      <c r="K26" s="736">
        <f t="shared" si="4"/>
        <v>5000</v>
      </c>
      <c r="L26" s="894">
        <v>1</v>
      </c>
      <c r="M26" s="899">
        <f t="shared" si="14"/>
        <v>0</v>
      </c>
      <c r="N26" s="504">
        <f>+'1.2'!E24</f>
        <v>0</v>
      </c>
      <c r="O26" s="504">
        <f>+'1.2'!F24</f>
        <v>5000</v>
      </c>
      <c r="P26" s="835">
        <f t="shared" si="2"/>
        <v>5000</v>
      </c>
      <c r="Q26" s="38"/>
      <c r="R26" s="38"/>
      <c r="S26" s="38"/>
      <c r="T26" s="38"/>
      <c r="U26" s="504"/>
      <c r="V26" s="38">
        <f t="shared" si="7"/>
        <v>0</v>
      </c>
      <c r="W26" s="490"/>
      <c r="X26" s="622"/>
      <c r="Z26" s="778">
        <f>+I26/AE26</f>
        <v>833.33333333333337</v>
      </c>
      <c r="AA26" s="845"/>
      <c r="AB26" s="59"/>
      <c r="AC26" s="59"/>
      <c r="AD26" s="59">
        <v>6</v>
      </c>
      <c r="AE26" s="771">
        <f t="shared" si="15"/>
        <v>6</v>
      </c>
      <c r="AF26" s="337">
        <f t="shared" si="31"/>
        <v>0</v>
      </c>
      <c r="AG26" s="910">
        <f t="shared" si="31"/>
        <v>0</v>
      </c>
      <c r="AH26" s="910">
        <f t="shared" si="31"/>
        <v>0</v>
      </c>
      <c r="AI26" s="910">
        <f t="shared" si="31"/>
        <v>5000</v>
      </c>
      <c r="AJ26" s="910"/>
      <c r="AK26" s="910">
        <f t="shared" si="12"/>
        <v>5000</v>
      </c>
      <c r="AL26" s="23" t="s">
        <v>178</v>
      </c>
      <c r="AM26" s="919"/>
      <c r="AN26" s="919"/>
      <c r="AO26" s="919"/>
      <c r="AP26" s="919"/>
      <c r="AQ26" s="539">
        <v>43282</v>
      </c>
      <c r="AR26" s="539">
        <f>EOMONTH(AQ26,AS26)</f>
        <v>43555</v>
      </c>
      <c r="AS26" s="490">
        <v>8</v>
      </c>
      <c r="AT26" s="490"/>
    </row>
    <row r="27" spans="2:46" s="463" customFormat="1" x14ac:dyDescent="0.2">
      <c r="B27" s="490"/>
      <c r="C27" s="50">
        <v>1</v>
      </c>
      <c r="D27" s="50">
        <v>2</v>
      </c>
      <c r="E27" s="50">
        <v>3</v>
      </c>
      <c r="F27" s="50">
        <v>3</v>
      </c>
      <c r="G27" s="32" t="str">
        <f t="shared" si="10"/>
        <v>1.2.3.3</v>
      </c>
      <c r="H27" s="2" t="str">
        <f>+'1.2'!B27</f>
        <v>Consultoría para relevamiento y definición de un Compstat.</v>
      </c>
      <c r="I27" s="827">
        <f t="shared" si="0"/>
        <v>15000</v>
      </c>
      <c r="J27" s="735">
        <f t="shared" si="1"/>
        <v>0</v>
      </c>
      <c r="K27" s="736">
        <f t="shared" si="4"/>
        <v>15000</v>
      </c>
      <c r="L27" s="894">
        <v>1</v>
      </c>
      <c r="M27" s="899">
        <f t="shared" si="14"/>
        <v>0</v>
      </c>
      <c r="N27" s="504">
        <f>+'1.2'!E27</f>
        <v>15000</v>
      </c>
      <c r="O27" s="504">
        <f>+'1.2'!F27</f>
        <v>0</v>
      </c>
      <c r="P27" s="835">
        <f t="shared" si="2"/>
        <v>15000</v>
      </c>
      <c r="Q27" s="38"/>
      <c r="R27" s="38"/>
      <c r="S27" s="38"/>
      <c r="T27" s="38"/>
      <c r="U27" s="504"/>
      <c r="V27" s="38">
        <f t="shared" si="7"/>
        <v>0</v>
      </c>
      <c r="W27" s="490"/>
      <c r="X27" s="622"/>
      <c r="Z27" s="778">
        <f>+I27/AE27</f>
        <v>5000</v>
      </c>
      <c r="AA27" s="845"/>
      <c r="AB27" s="59">
        <v>3</v>
      </c>
      <c r="AC27" s="59"/>
      <c r="AD27" s="59"/>
      <c r="AE27" s="771">
        <f t="shared" si="15"/>
        <v>3</v>
      </c>
      <c r="AF27" s="337">
        <f t="shared" si="31"/>
        <v>0</v>
      </c>
      <c r="AG27" s="910">
        <f t="shared" si="31"/>
        <v>15000</v>
      </c>
      <c r="AH27" s="910">
        <f t="shared" si="31"/>
        <v>0</v>
      </c>
      <c r="AI27" s="910">
        <f t="shared" si="31"/>
        <v>0</v>
      </c>
      <c r="AJ27" s="910"/>
      <c r="AK27" s="910">
        <f t="shared" si="12"/>
        <v>15000</v>
      </c>
      <c r="AL27" s="23" t="s">
        <v>423</v>
      </c>
      <c r="AM27" s="919" t="s">
        <v>441</v>
      </c>
      <c r="AN27" s="919" t="s">
        <v>474</v>
      </c>
      <c r="AO27" s="919"/>
      <c r="AP27" s="919"/>
      <c r="AQ27" s="539">
        <v>43009</v>
      </c>
      <c r="AR27" s="539">
        <f>EOMONTH(AQ27,AS27)</f>
        <v>43100</v>
      </c>
      <c r="AS27" s="490">
        <v>2</v>
      </c>
      <c r="AT27" s="490"/>
    </row>
    <row r="28" spans="2:46" s="463" customFormat="1" x14ac:dyDescent="0.2">
      <c r="B28" s="490"/>
      <c r="C28" s="50">
        <v>1</v>
      </c>
      <c r="D28" s="50">
        <v>2</v>
      </c>
      <c r="E28" s="50">
        <v>3</v>
      </c>
      <c r="F28" s="50">
        <v>4</v>
      </c>
      <c r="G28" s="32" t="str">
        <f t="shared" si="10"/>
        <v>1.2.3.4</v>
      </c>
      <c r="H28" s="2" t="str">
        <f>+'1.2'!B28</f>
        <v>Adquisición de equipamiento y software para Compstat</v>
      </c>
      <c r="I28" s="827">
        <f t="shared" si="0"/>
        <v>20000</v>
      </c>
      <c r="J28" s="735">
        <f t="shared" si="1"/>
        <v>0</v>
      </c>
      <c r="K28" s="736">
        <f t="shared" si="4"/>
        <v>20000</v>
      </c>
      <c r="L28" s="894">
        <v>1</v>
      </c>
      <c r="M28" s="899">
        <f t="shared" si="14"/>
        <v>0</v>
      </c>
      <c r="N28" s="504">
        <f>+'1.2'!E28</f>
        <v>0</v>
      </c>
      <c r="O28" s="504">
        <f>+'1.2'!F28</f>
        <v>20000</v>
      </c>
      <c r="P28" s="835">
        <f t="shared" si="2"/>
        <v>20000</v>
      </c>
      <c r="Q28" s="38"/>
      <c r="R28" s="38"/>
      <c r="S28" s="38"/>
      <c r="T28" s="38"/>
      <c r="U28" s="504"/>
      <c r="V28" s="38">
        <f t="shared" si="7"/>
        <v>0</v>
      </c>
      <c r="W28" s="490"/>
      <c r="X28" s="622"/>
      <c r="Z28" s="778">
        <f>+I28/AE28</f>
        <v>2222.2222222222222</v>
      </c>
      <c r="AA28" s="845"/>
      <c r="AB28" s="59"/>
      <c r="AC28" s="59">
        <v>5</v>
      </c>
      <c r="AD28" s="59">
        <v>4</v>
      </c>
      <c r="AE28" s="771">
        <f t="shared" si="15"/>
        <v>9</v>
      </c>
      <c r="AF28" s="337">
        <f t="shared" si="31"/>
        <v>0</v>
      </c>
      <c r="AG28" s="910">
        <f t="shared" si="31"/>
        <v>0</v>
      </c>
      <c r="AH28" s="910">
        <f t="shared" si="31"/>
        <v>11111.111111111111</v>
      </c>
      <c r="AI28" s="910">
        <f t="shared" si="31"/>
        <v>8888.8888888888887</v>
      </c>
      <c r="AJ28" s="910"/>
      <c r="AK28" s="910">
        <f t="shared" si="12"/>
        <v>20000</v>
      </c>
      <c r="AL28" s="23" t="s">
        <v>421</v>
      </c>
      <c r="AM28" s="919" t="s">
        <v>155</v>
      </c>
      <c r="AN28" s="919" t="s">
        <v>474</v>
      </c>
      <c r="AO28" s="919"/>
      <c r="AP28" s="919"/>
      <c r="AQ28" s="539">
        <v>43132</v>
      </c>
      <c r="AR28" s="539">
        <f t="shared" si="32"/>
        <v>43404</v>
      </c>
      <c r="AS28" s="490">
        <v>8</v>
      </c>
      <c r="AT28" s="490"/>
    </row>
    <row r="29" spans="2:46" s="463" customFormat="1" x14ac:dyDescent="0.2">
      <c r="B29" s="490"/>
      <c r="C29" s="50">
        <v>1</v>
      </c>
      <c r="D29" s="50">
        <v>2</v>
      </c>
      <c r="E29" s="50">
        <v>3</v>
      </c>
      <c r="F29" s="50">
        <v>5</v>
      </c>
      <c r="G29" s="32" t="str">
        <f t="shared" si="10"/>
        <v>1.2.3.5</v>
      </c>
      <c r="H29" s="2" t="str">
        <f>+'1.2'!B29</f>
        <v>Capacitación para utilización de compstat</v>
      </c>
      <c r="I29" s="827">
        <f t="shared" si="0"/>
        <v>5000</v>
      </c>
      <c r="J29" s="735">
        <f t="shared" si="1"/>
        <v>0</v>
      </c>
      <c r="K29" s="736">
        <f t="shared" si="4"/>
        <v>5000</v>
      </c>
      <c r="L29" s="894">
        <v>1</v>
      </c>
      <c r="M29" s="899">
        <f t="shared" si="14"/>
        <v>0</v>
      </c>
      <c r="N29" s="504">
        <f>+'1.2'!E29</f>
        <v>0</v>
      </c>
      <c r="O29" s="504">
        <f>+'1.2'!F29</f>
        <v>5000</v>
      </c>
      <c r="P29" s="835">
        <f t="shared" si="2"/>
        <v>5000</v>
      </c>
      <c r="Q29" s="38"/>
      <c r="R29" s="38"/>
      <c r="S29" s="38"/>
      <c r="T29" s="38"/>
      <c r="U29" s="504"/>
      <c r="V29" s="38">
        <f t="shared" si="7"/>
        <v>0</v>
      </c>
      <c r="W29" s="490"/>
      <c r="X29" s="622"/>
      <c r="Z29" s="778">
        <f>+I29/AE29</f>
        <v>833.33333333333337</v>
      </c>
      <c r="AA29" s="845"/>
      <c r="AB29" s="59"/>
      <c r="AC29" s="59"/>
      <c r="AD29" s="59">
        <v>6</v>
      </c>
      <c r="AE29" s="771">
        <f t="shared" si="15"/>
        <v>6</v>
      </c>
      <c r="AF29" s="337">
        <f t="shared" si="31"/>
        <v>0</v>
      </c>
      <c r="AG29" s="910">
        <f t="shared" si="31"/>
        <v>0</v>
      </c>
      <c r="AH29" s="910">
        <f t="shared" si="31"/>
        <v>0</v>
      </c>
      <c r="AI29" s="910">
        <f t="shared" si="31"/>
        <v>5000</v>
      </c>
      <c r="AJ29" s="910"/>
      <c r="AK29" s="910">
        <f t="shared" si="12"/>
        <v>5000</v>
      </c>
      <c r="AL29" s="23" t="s">
        <v>178</v>
      </c>
      <c r="AM29" s="919"/>
      <c r="AN29" s="919"/>
      <c r="AO29" s="919"/>
      <c r="AP29" s="919"/>
      <c r="AQ29" s="539">
        <v>43282</v>
      </c>
      <c r="AR29" s="539">
        <f t="shared" si="32"/>
        <v>43646</v>
      </c>
      <c r="AS29" s="490">
        <v>11</v>
      </c>
      <c r="AT29" s="490"/>
    </row>
    <row r="30" spans="2:46" s="507" customFormat="1" ht="25.5" x14ac:dyDescent="0.2">
      <c r="B30" s="505"/>
      <c r="C30" s="506">
        <v>1</v>
      </c>
      <c r="D30" s="506">
        <v>2</v>
      </c>
      <c r="E30" s="506">
        <v>4</v>
      </c>
      <c r="F30" s="506">
        <v>0</v>
      </c>
      <c r="G30" s="505" t="str">
        <f t="shared" si="10"/>
        <v>1.2.4.0</v>
      </c>
      <c r="H30" s="623" t="s">
        <v>62</v>
      </c>
      <c r="I30" s="826">
        <f t="shared" si="0"/>
        <v>260000</v>
      </c>
      <c r="J30" s="731">
        <f t="shared" si="1"/>
        <v>0</v>
      </c>
      <c r="K30" s="732">
        <f t="shared" si="4"/>
        <v>260000</v>
      </c>
      <c r="L30" s="897"/>
      <c r="M30" s="898"/>
      <c r="N30" s="43">
        <f>SUM(N31:N33)</f>
        <v>25000</v>
      </c>
      <c r="O30" s="43">
        <f t="shared" ref="O30" si="33">SUM(O31:O33)</f>
        <v>235000</v>
      </c>
      <c r="P30" s="834">
        <f t="shared" si="2"/>
        <v>260000</v>
      </c>
      <c r="Q30" s="43">
        <f t="shared" ref="Q30:U30" si="34">SUM(Q31:Q33)</f>
        <v>0</v>
      </c>
      <c r="R30" s="43">
        <f t="shared" si="34"/>
        <v>0</v>
      </c>
      <c r="S30" s="43">
        <f t="shared" si="34"/>
        <v>0</v>
      </c>
      <c r="T30" s="43">
        <f t="shared" si="34"/>
        <v>0</v>
      </c>
      <c r="U30" s="43">
        <f t="shared" si="34"/>
        <v>0</v>
      </c>
      <c r="V30" s="43">
        <f t="shared" si="7"/>
        <v>0</v>
      </c>
      <c r="W30" s="505">
        <f>+'Matriz de Resultados'!B29</f>
        <v>1.7</v>
      </c>
      <c r="Z30" s="779"/>
      <c r="AA30" s="846"/>
      <c r="AB30" s="772"/>
      <c r="AC30" s="772"/>
      <c r="AD30" s="772"/>
      <c r="AE30" s="773">
        <f t="shared" si="15"/>
        <v>0</v>
      </c>
      <c r="AF30" s="784"/>
      <c r="AG30" s="911"/>
      <c r="AH30" s="911"/>
      <c r="AI30" s="911"/>
      <c r="AJ30" s="911"/>
      <c r="AK30" s="912">
        <f t="shared" si="12"/>
        <v>0</v>
      </c>
      <c r="AM30" s="505"/>
      <c r="AN30" s="505"/>
      <c r="AO30" s="505"/>
      <c r="AP30" s="505"/>
      <c r="AQ30" s="505"/>
      <c r="AR30" s="505"/>
      <c r="AS30" s="505"/>
      <c r="AT30" s="505"/>
    </row>
    <row r="31" spans="2:46" s="463" customFormat="1" x14ac:dyDescent="0.2">
      <c r="B31" s="490"/>
      <c r="C31" s="50">
        <v>1</v>
      </c>
      <c r="D31" s="50">
        <v>2</v>
      </c>
      <c r="E31" s="50">
        <v>4</v>
      </c>
      <c r="F31" s="50">
        <v>1</v>
      </c>
      <c r="G31" s="32" t="str">
        <f t="shared" si="10"/>
        <v>1.2.4.1</v>
      </c>
      <c r="H31" s="2" t="str">
        <f>+'1.2'!B13</f>
        <v>Consultoría para desarrollo del sistema SIAR</v>
      </c>
      <c r="I31" s="827">
        <f t="shared" si="0"/>
        <v>40000</v>
      </c>
      <c r="J31" s="735">
        <f t="shared" si="1"/>
        <v>0</v>
      </c>
      <c r="K31" s="736">
        <f t="shared" si="4"/>
        <v>40000</v>
      </c>
      <c r="L31" s="894">
        <v>1</v>
      </c>
      <c r="M31" s="899">
        <f t="shared" si="14"/>
        <v>0</v>
      </c>
      <c r="N31" s="504">
        <f>+'1.2'!E13</f>
        <v>25000</v>
      </c>
      <c r="O31" s="504">
        <f>+'1.2'!F13</f>
        <v>15000</v>
      </c>
      <c r="P31" s="835">
        <f t="shared" si="2"/>
        <v>40000</v>
      </c>
      <c r="Q31" s="38"/>
      <c r="R31" s="38"/>
      <c r="S31" s="38"/>
      <c r="T31" s="38"/>
      <c r="U31" s="504"/>
      <c r="V31" s="38">
        <f t="shared" si="7"/>
        <v>0</v>
      </c>
      <c r="W31" s="490"/>
      <c r="X31" s="622"/>
      <c r="Z31" s="778">
        <f>+I31/AE31</f>
        <v>8000</v>
      </c>
      <c r="AA31" s="845"/>
      <c r="AB31" s="59">
        <v>3</v>
      </c>
      <c r="AC31" s="59">
        <v>2</v>
      </c>
      <c r="AD31" s="59"/>
      <c r="AE31" s="771">
        <f t="shared" si="15"/>
        <v>5</v>
      </c>
      <c r="AF31" s="337">
        <f t="shared" ref="AF31:AI33" si="35">+$Z31*AA31</f>
        <v>0</v>
      </c>
      <c r="AG31" s="910">
        <f t="shared" si="35"/>
        <v>24000</v>
      </c>
      <c r="AH31" s="910">
        <f t="shared" si="35"/>
        <v>16000</v>
      </c>
      <c r="AI31" s="910">
        <f t="shared" si="35"/>
        <v>0</v>
      </c>
      <c r="AJ31" s="910"/>
      <c r="AK31" s="910">
        <f t="shared" si="12"/>
        <v>40000</v>
      </c>
      <c r="AL31" s="23" t="s">
        <v>423</v>
      </c>
      <c r="AM31" s="919" t="s">
        <v>442</v>
      </c>
      <c r="AN31" s="919" t="s">
        <v>474</v>
      </c>
      <c r="AO31" s="919"/>
      <c r="AP31" s="919"/>
      <c r="AQ31" s="539">
        <v>43009</v>
      </c>
      <c r="AR31" s="539">
        <f t="shared" ref="AR31:AR36" si="36">EOMONTH(AQ31,AS31)</f>
        <v>43159</v>
      </c>
      <c r="AS31" s="490">
        <v>4</v>
      </c>
      <c r="AT31" s="490"/>
    </row>
    <row r="32" spans="2:46" s="463" customFormat="1" x14ac:dyDescent="0.2">
      <c r="B32" s="490"/>
      <c r="C32" s="50">
        <v>1</v>
      </c>
      <c r="D32" s="50">
        <v>2</v>
      </c>
      <c r="E32" s="50">
        <v>4</v>
      </c>
      <c r="F32" s="50">
        <v>2</v>
      </c>
      <c r="G32" s="32" t="str">
        <f t="shared" si="10"/>
        <v>1.2.4.2</v>
      </c>
      <c r="H32" s="2" t="str">
        <f>+'1.2'!B14</f>
        <v>Adquisición de equipamiento y software</v>
      </c>
      <c r="I32" s="827">
        <f t="shared" si="0"/>
        <v>200000</v>
      </c>
      <c r="J32" s="735">
        <f t="shared" si="1"/>
        <v>0</v>
      </c>
      <c r="K32" s="736">
        <f t="shared" si="4"/>
        <v>200000</v>
      </c>
      <c r="L32" s="894">
        <v>1</v>
      </c>
      <c r="M32" s="899">
        <f t="shared" si="14"/>
        <v>0</v>
      </c>
      <c r="N32" s="504">
        <f>+'1.2'!E14</f>
        <v>0</v>
      </c>
      <c r="O32" s="504">
        <f>+'1.2'!F14</f>
        <v>200000</v>
      </c>
      <c r="P32" s="835">
        <f t="shared" si="2"/>
        <v>200000</v>
      </c>
      <c r="Q32" s="38"/>
      <c r="R32" s="38"/>
      <c r="S32" s="38"/>
      <c r="T32" s="38"/>
      <c r="U32" s="504"/>
      <c r="V32" s="38">
        <f t="shared" si="7"/>
        <v>0</v>
      </c>
      <c r="W32" s="490"/>
      <c r="X32" s="622"/>
      <c r="Z32" s="778">
        <f>+I32/AE32</f>
        <v>18181.81818181818</v>
      </c>
      <c r="AA32" s="845"/>
      <c r="AB32" s="59"/>
      <c r="AC32" s="59">
        <v>5</v>
      </c>
      <c r="AD32" s="59">
        <v>6</v>
      </c>
      <c r="AE32" s="771">
        <f t="shared" si="15"/>
        <v>11</v>
      </c>
      <c r="AF32" s="337">
        <f t="shared" si="35"/>
        <v>0</v>
      </c>
      <c r="AG32" s="910">
        <f t="shared" si="35"/>
        <v>0</v>
      </c>
      <c r="AH32" s="910">
        <f t="shared" si="35"/>
        <v>90909.090909090897</v>
      </c>
      <c r="AI32" s="910">
        <f t="shared" si="35"/>
        <v>109090.90909090909</v>
      </c>
      <c r="AJ32" s="910"/>
      <c r="AK32" s="910">
        <f t="shared" si="12"/>
        <v>200000</v>
      </c>
      <c r="AL32" s="23" t="s">
        <v>421</v>
      </c>
      <c r="AM32" s="919" t="s">
        <v>155</v>
      </c>
      <c r="AN32" s="919" t="s">
        <v>474</v>
      </c>
      <c r="AO32" s="919"/>
      <c r="AP32" s="919"/>
      <c r="AQ32" s="539">
        <v>43132</v>
      </c>
      <c r="AR32" s="539">
        <f t="shared" si="36"/>
        <v>43708</v>
      </c>
      <c r="AS32" s="490">
        <v>18</v>
      </c>
      <c r="AT32" s="490"/>
    </row>
    <row r="33" spans="2:46" s="463" customFormat="1" x14ac:dyDescent="0.2">
      <c r="B33" s="490"/>
      <c r="C33" s="50">
        <v>1</v>
      </c>
      <c r="D33" s="50">
        <v>2</v>
      </c>
      <c r="E33" s="50">
        <v>4</v>
      </c>
      <c r="F33" s="50">
        <v>3</v>
      </c>
      <c r="G33" s="32" t="str">
        <f t="shared" si="10"/>
        <v>1.2.4.3</v>
      </c>
      <c r="H33" s="2" t="str">
        <f>+'1.2'!B15</f>
        <v>Insumos para Operación y Mantenimiento.</v>
      </c>
      <c r="I33" s="827">
        <f t="shared" si="0"/>
        <v>20000</v>
      </c>
      <c r="J33" s="735">
        <f t="shared" si="1"/>
        <v>0</v>
      </c>
      <c r="K33" s="736">
        <f t="shared" si="4"/>
        <v>20000</v>
      </c>
      <c r="L33" s="894">
        <v>1</v>
      </c>
      <c r="M33" s="899">
        <f t="shared" si="14"/>
        <v>0</v>
      </c>
      <c r="N33" s="504">
        <f>+'1.2'!E15</f>
        <v>0</v>
      </c>
      <c r="O33" s="504">
        <f>+'1.2'!F15</f>
        <v>20000</v>
      </c>
      <c r="P33" s="835">
        <f t="shared" si="2"/>
        <v>20000</v>
      </c>
      <c r="Q33" s="38"/>
      <c r="R33" s="38"/>
      <c r="S33" s="38"/>
      <c r="T33" s="38"/>
      <c r="U33" s="504"/>
      <c r="V33" s="38">
        <f t="shared" si="7"/>
        <v>0</v>
      </c>
      <c r="W33" s="490"/>
      <c r="X33" s="622"/>
      <c r="Z33" s="778">
        <f>+I33/AE33</f>
        <v>1818.1818181818182</v>
      </c>
      <c r="AA33" s="845"/>
      <c r="AB33" s="59"/>
      <c r="AC33" s="59">
        <v>5</v>
      </c>
      <c r="AD33" s="59">
        <v>6</v>
      </c>
      <c r="AE33" s="771">
        <f t="shared" si="15"/>
        <v>11</v>
      </c>
      <c r="AF33" s="337">
        <f t="shared" si="35"/>
        <v>0</v>
      </c>
      <c r="AG33" s="910">
        <f t="shared" si="35"/>
        <v>0</v>
      </c>
      <c r="AH33" s="910">
        <f t="shared" si="35"/>
        <v>9090.9090909090919</v>
      </c>
      <c r="AI33" s="910">
        <f t="shared" si="35"/>
        <v>10909.09090909091</v>
      </c>
      <c r="AJ33" s="910"/>
      <c r="AK33" s="910">
        <f t="shared" si="12"/>
        <v>20000</v>
      </c>
      <c r="AL33" s="23" t="s">
        <v>421</v>
      </c>
      <c r="AM33" s="919" t="s">
        <v>465</v>
      </c>
      <c r="AN33" s="919" t="s">
        <v>440</v>
      </c>
      <c r="AO33" s="919"/>
      <c r="AP33" s="919"/>
      <c r="AQ33" s="539">
        <v>43132</v>
      </c>
      <c r="AR33" s="539">
        <f t="shared" si="36"/>
        <v>44012</v>
      </c>
      <c r="AS33" s="490">
        <v>28</v>
      </c>
      <c r="AT33" s="490"/>
    </row>
    <row r="34" spans="2:46" s="507" customFormat="1" ht="25.5" x14ac:dyDescent="0.2">
      <c r="B34" s="505"/>
      <c r="C34" s="506">
        <v>1</v>
      </c>
      <c r="D34" s="506">
        <v>2</v>
      </c>
      <c r="E34" s="506">
        <v>5</v>
      </c>
      <c r="F34" s="506">
        <v>0</v>
      </c>
      <c r="G34" s="505" t="str">
        <f t="shared" si="10"/>
        <v>1.2.5.0</v>
      </c>
      <c r="H34" s="623" t="s">
        <v>608</v>
      </c>
      <c r="I34" s="826">
        <f t="shared" si="0"/>
        <v>0</v>
      </c>
      <c r="J34" s="731">
        <f t="shared" si="1"/>
        <v>0</v>
      </c>
      <c r="K34" s="732">
        <f t="shared" si="4"/>
        <v>0</v>
      </c>
      <c r="L34" s="897"/>
      <c r="M34" s="898"/>
      <c r="N34" s="43">
        <f>+N35</f>
        <v>0</v>
      </c>
      <c r="O34" s="43">
        <f t="shared" ref="O34" si="37">+O35</f>
        <v>0</v>
      </c>
      <c r="P34" s="834">
        <f t="shared" si="2"/>
        <v>0</v>
      </c>
      <c r="Q34" s="43">
        <f t="shared" ref="Q34:U34" si="38">+Q35</f>
        <v>0</v>
      </c>
      <c r="R34" s="43">
        <f t="shared" si="38"/>
        <v>0</v>
      </c>
      <c r="S34" s="43">
        <f t="shared" si="38"/>
        <v>0</v>
      </c>
      <c r="T34" s="43">
        <f t="shared" si="38"/>
        <v>0</v>
      </c>
      <c r="U34" s="43">
        <f t="shared" si="38"/>
        <v>0</v>
      </c>
      <c r="V34" s="43">
        <f t="shared" si="7"/>
        <v>0</v>
      </c>
      <c r="W34" s="505"/>
      <c r="Z34" s="779"/>
      <c r="AA34" s="846"/>
      <c r="AB34" s="772"/>
      <c r="AC34" s="772"/>
      <c r="AD34" s="772"/>
      <c r="AE34" s="773">
        <f t="shared" si="15"/>
        <v>0</v>
      </c>
      <c r="AF34" s="784"/>
      <c r="AG34" s="911"/>
      <c r="AH34" s="911"/>
      <c r="AI34" s="911"/>
      <c r="AJ34" s="911"/>
      <c r="AK34" s="912">
        <f t="shared" si="12"/>
        <v>0</v>
      </c>
      <c r="AM34" s="505"/>
      <c r="AN34" s="505"/>
      <c r="AO34" s="505"/>
      <c r="AP34" s="505"/>
      <c r="AQ34" s="505"/>
      <c r="AR34" s="505"/>
      <c r="AS34" s="505"/>
      <c r="AT34" s="505"/>
    </row>
    <row r="35" spans="2:46" s="463" customFormat="1" x14ac:dyDescent="0.2">
      <c r="B35" s="490"/>
      <c r="C35" s="50">
        <v>1</v>
      </c>
      <c r="D35" s="50">
        <v>2</v>
      </c>
      <c r="E35" s="50">
        <v>5</v>
      </c>
      <c r="F35" s="50">
        <v>1</v>
      </c>
      <c r="G35" s="32" t="str">
        <f t="shared" si="10"/>
        <v>1.2.5.1</v>
      </c>
      <c r="H35" s="2" t="s">
        <v>609</v>
      </c>
      <c r="I35" s="827">
        <f t="shared" si="0"/>
        <v>0</v>
      </c>
      <c r="J35" s="735">
        <f t="shared" si="1"/>
        <v>0</v>
      </c>
      <c r="K35" s="736">
        <f t="shared" si="4"/>
        <v>0</v>
      </c>
      <c r="L35" s="894">
        <v>1</v>
      </c>
      <c r="M35" s="899">
        <f t="shared" ref="M35" si="39">100%-L35</f>
        <v>0</v>
      </c>
      <c r="N35" s="504">
        <v>0</v>
      </c>
      <c r="O35" s="504"/>
      <c r="P35" s="835">
        <f t="shared" ref="P35:P66" si="40">SUM(N35:O35)</f>
        <v>0</v>
      </c>
      <c r="Q35" s="38"/>
      <c r="R35" s="38"/>
      <c r="S35" s="38"/>
      <c r="T35" s="38"/>
      <c r="U35" s="504"/>
      <c r="V35" s="38">
        <f t="shared" si="7"/>
        <v>0</v>
      </c>
      <c r="W35" s="490"/>
      <c r="X35" s="622"/>
      <c r="Z35" s="778">
        <v>1</v>
      </c>
      <c r="AA35" s="845"/>
      <c r="AB35" s="59"/>
      <c r="AC35" s="59"/>
      <c r="AD35" s="59"/>
      <c r="AE35" s="771">
        <f t="shared" si="15"/>
        <v>0</v>
      </c>
      <c r="AF35" s="337"/>
      <c r="AG35" s="910">
        <f t="shared" ref="AG35:AI36" si="41">+$Z35*AB35</f>
        <v>0</v>
      </c>
      <c r="AH35" s="910">
        <f t="shared" si="41"/>
        <v>0</v>
      </c>
      <c r="AI35" s="910">
        <f t="shared" si="41"/>
        <v>0</v>
      </c>
      <c r="AJ35" s="910"/>
      <c r="AK35" s="910">
        <f t="shared" si="12"/>
        <v>0</v>
      </c>
      <c r="AL35" s="23" t="s">
        <v>433</v>
      </c>
      <c r="AM35" s="919" t="s">
        <v>442</v>
      </c>
      <c r="AN35" s="919" t="s">
        <v>440</v>
      </c>
      <c r="AO35" s="919"/>
      <c r="AP35" s="919"/>
      <c r="AQ35" s="539">
        <v>43374</v>
      </c>
      <c r="AR35" s="539">
        <f t="shared" ref="AR35" si="42">EOMONTH(AQ35,AS35)</f>
        <v>43555</v>
      </c>
      <c r="AS35" s="490">
        <v>5</v>
      </c>
      <c r="AT35" s="490"/>
    </row>
    <row r="36" spans="2:46" s="463" customFormat="1" x14ac:dyDescent="0.2">
      <c r="B36" s="490"/>
      <c r="C36" s="491">
        <v>1</v>
      </c>
      <c r="D36" s="491">
        <v>2</v>
      </c>
      <c r="E36" s="491">
        <v>9</v>
      </c>
      <c r="F36" s="491">
        <v>0</v>
      </c>
      <c r="G36" s="40" t="str">
        <f t="shared" si="10"/>
        <v>1.2.9.0</v>
      </c>
      <c r="H36" s="622" t="s">
        <v>429</v>
      </c>
      <c r="I36" s="827">
        <f t="shared" si="0"/>
        <v>80000</v>
      </c>
      <c r="J36" s="735">
        <f t="shared" si="1"/>
        <v>0</v>
      </c>
      <c r="K36" s="736">
        <f t="shared" si="4"/>
        <v>80000</v>
      </c>
      <c r="L36" s="900">
        <v>1</v>
      </c>
      <c r="M36" s="899">
        <f t="shared" si="14"/>
        <v>0</v>
      </c>
      <c r="N36" s="492">
        <f>+'1.2'!E31</f>
        <v>0</v>
      </c>
      <c r="O36" s="492">
        <v>80000</v>
      </c>
      <c r="P36" s="835">
        <f t="shared" si="40"/>
        <v>80000</v>
      </c>
      <c r="Q36" s="38"/>
      <c r="R36" s="38"/>
      <c r="S36" s="38"/>
      <c r="T36" s="38"/>
      <c r="U36" s="492"/>
      <c r="V36" s="38">
        <f t="shared" si="7"/>
        <v>0</v>
      </c>
      <c r="W36" s="490"/>
      <c r="X36" s="622"/>
      <c r="Z36" s="778">
        <f>+I36/AE36</f>
        <v>6666.666666666667</v>
      </c>
      <c r="AA36" s="845"/>
      <c r="AB36" s="59"/>
      <c r="AC36" s="59">
        <v>6</v>
      </c>
      <c r="AD36" s="59">
        <v>6</v>
      </c>
      <c r="AE36" s="771">
        <f t="shared" si="15"/>
        <v>12</v>
      </c>
      <c r="AF36" s="337">
        <f>+$Z36*AA36</f>
        <v>0</v>
      </c>
      <c r="AG36" s="910">
        <f t="shared" si="41"/>
        <v>0</v>
      </c>
      <c r="AH36" s="910">
        <f t="shared" si="41"/>
        <v>40000</v>
      </c>
      <c r="AI36" s="910">
        <f t="shared" si="41"/>
        <v>40000</v>
      </c>
      <c r="AJ36" s="910"/>
      <c r="AK36" s="910">
        <f t="shared" si="12"/>
        <v>80000</v>
      </c>
      <c r="AM36" s="490"/>
      <c r="AN36" s="490"/>
      <c r="AO36" s="490"/>
      <c r="AP36" s="490"/>
      <c r="AQ36" s="539">
        <v>43101</v>
      </c>
      <c r="AR36" s="539">
        <f t="shared" si="36"/>
        <v>44012</v>
      </c>
      <c r="AS36" s="490">
        <v>29</v>
      </c>
      <c r="AT36" s="490"/>
    </row>
    <row r="37" spans="2:46" s="739" customFormat="1" x14ac:dyDescent="0.2">
      <c r="B37" s="737"/>
      <c r="C37" s="738">
        <v>1</v>
      </c>
      <c r="D37" s="738">
        <v>3</v>
      </c>
      <c r="E37" s="738">
        <v>0</v>
      </c>
      <c r="F37" s="738">
        <v>0</v>
      </c>
      <c r="G37" s="737" t="str">
        <f t="shared" si="10"/>
        <v>1.3.0.0</v>
      </c>
      <c r="H37" s="819" t="s">
        <v>581</v>
      </c>
      <c r="I37" s="823">
        <f t="shared" si="0"/>
        <v>1470000</v>
      </c>
      <c r="J37" s="740">
        <f t="shared" si="1"/>
        <v>0</v>
      </c>
      <c r="K37" s="741">
        <f t="shared" si="4"/>
        <v>1470000</v>
      </c>
      <c r="L37" s="890"/>
      <c r="M37" s="891"/>
      <c r="N37" s="53">
        <f>SUM(N38:N40)</f>
        <v>80000</v>
      </c>
      <c r="O37" s="53">
        <f t="shared" ref="O37" si="43">SUM(O38:O40)</f>
        <v>1390000</v>
      </c>
      <c r="P37" s="833">
        <f t="shared" si="40"/>
        <v>1470000</v>
      </c>
      <c r="Q37" s="53">
        <f t="shared" ref="Q37:U37" si="44">SUM(Q38:Q40)</f>
        <v>0</v>
      </c>
      <c r="R37" s="53">
        <f t="shared" si="44"/>
        <v>0</v>
      </c>
      <c r="S37" s="53">
        <f t="shared" si="44"/>
        <v>0</v>
      </c>
      <c r="T37" s="53">
        <f t="shared" si="44"/>
        <v>0</v>
      </c>
      <c r="U37" s="53">
        <f t="shared" si="44"/>
        <v>0</v>
      </c>
      <c r="V37" s="53">
        <f t="shared" si="7"/>
        <v>0</v>
      </c>
      <c r="W37" s="737">
        <f>+'Matriz de Resultados'!B31</f>
        <v>1.9</v>
      </c>
      <c r="Z37" s="776"/>
      <c r="AA37" s="843"/>
      <c r="AB37" s="767"/>
      <c r="AC37" s="767"/>
      <c r="AD37" s="767"/>
      <c r="AE37" s="768">
        <f t="shared" si="15"/>
        <v>0</v>
      </c>
      <c r="AF37" s="782"/>
      <c r="AG37" s="906"/>
      <c r="AH37" s="906"/>
      <c r="AI37" s="906"/>
      <c r="AJ37" s="906"/>
      <c r="AK37" s="907">
        <f t="shared" si="12"/>
        <v>0</v>
      </c>
      <c r="AM37" s="737"/>
      <c r="AN37" s="737"/>
      <c r="AO37" s="737"/>
      <c r="AP37" s="737"/>
      <c r="AQ37" s="737"/>
      <c r="AR37" s="737"/>
      <c r="AS37" s="737"/>
      <c r="AT37" s="737"/>
    </row>
    <row r="38" spans="2:46" ht="39" customHeight="1" x14ac:dyDescent="0.2">
      <c r="B38" s="947"/>
      <c r="C38" s="50">
        <v>1</v>
      </c>
      <c r="D38" s="50">
        <v>3</v>
      </c>
      <c r="E38" s="50">
        <v>1</v>
      </c>
      <c r="F38" s="50">
        <v>1</v>
      </c>
      <c r="G38" s="32" t="str">
        <f t="shared" si="10"/>
        <v>1.3.1.1</v>
      </c>
      <c r="H38" s="2" t="s">
        <v>435</v>
      </c>
      <c r="I38" s="825">
        <f t="shared" si="0"/>
        <v>120000</v>
      </c>
      <c r="J38" s="729">
        <f t="shared" si="1"/>
        <v>0</v>
      </c>
      <c r="K38" s="730">
        <f t="shared" si="4"/>
        <v>120000</v>
      </c>
      <c r="L38" s="894">
        <v>1</v>
      </c>
      <c r="M38" s="895">
        <f t="shared" si="14"/>
        <v>0</v>
      </c>
      <c r="N38" s="37">
        <v>80000</v>
      </c>
      <c r="O38" s="37">
        <v>40000</v>
      </c>
      <c r="P38" s="835">
        <f t="shared" si="40"/>
        <v>120000</v>
      </c>
      <c r="Q38" s="38"/>
      <c r="R38" s="38"/>
      <c r="S38" s="38"/>
      <c r="T38" s="38"/>
      <c r="U38" s="37"/>
      <c r="V38" s="38">
        <f t="shared" si="7"/>
        <v>0</v>
      </c>
      <c r="Z38" s="778">
        <f>+I38/AE38</f>
        <v>24000</v>
      </c>
      <c r="AB38" s="59">
        <v>3</v>
      </c>
      <c r="AC38" s="59">
        <v>2</v>
      </c>
      <c r="AE38" s="771">
        <f t="shared" si="15"/>
        <v>5</v>
      </c>
      <c r="AF38" s="337">
        <f t="shared" ref="AF38:AI40" si="45">+$Z38*AA38</f>
        <v>0</v>
      </c>
      <c r="AG38" s="910">
        <f t="shared" si="45"/>
        <v>72000</v>
      </c>
      <c r="AH38" s="910">
        <f t="shared" si="45"/>
        <v>48000</v>
      </c>
      <c r="AI38" s="910">
        <f t="shared" si="45"/>
        <v>0</v>
      </c>
      <c r="AJ38" s="910"/>
      <c r="AK38" s="910">
        <f t="shared" ref="AK38:AK69" si="46">SUM(AF38:AJ38)</f>
        <v>120000</v>
      </c>
      <c r="AL38" s="23" t="s">
        <v>423</v>
      </c>
      <c r="AM38" s="919" t="s">
        <v>441</v>
      </c>
      <c r="AN38" s="919" t="s">
        <v>474</v>
      </c>
      <c r="AQ38" s="539">
        <v>43009</v>
      </c>
      <c r="AR38" s="539">
        <f t="shared" ref="AR38:AR40" si="47">EOMONTH(AQ38,AS38)</f>
        <v>43159</v>
      </c>
      <c r="AS38" s="919">
        <v>4</v>
      </c>
    </row>
    <row r="39" spans="2:46" x14ac:dyDescent="0.2">
      <c r="B39" s="947"/>
      <c r="C39" s="50">
        <v>1</v>
      </c>
      <c r="D39" s="50">
        <v>3</v>
      </c>
      <c r="E39" s="50">
        <v>2</v>
      </c>
      <c r="F39" s="50">
        <v>1</v>
      </c>
      <c r="G39" s="32" t="str">
        <f t="shared" si="10"/>
        <v>1.3.2.1</v>
      </c>
      <c r="H39" s="2" t="s">
        <v>477</v>
      </c>
      <c r="I39" s="825">
        <f t="shared" si="0"/>
        <v>1350000</v>
      </c>
      <c r="J39" s="729">
        <f t="shared" si="1"/>
        <v>0</v>
      </c>
      <c r="K39" s="730">
        <f t="shared" si="4"/>
        <v>1350000</v>
      </c>
      <c r="L39" s="894">
        <v>1</v>
      </c>
      <c r="M39" s="895">
        <f t="shared" si="14"/>
        <v>0</v>
      </c>
      <c r="N39" s="37"/>
      <c r="O39" s="37">
        <f>+'1.3 ENV'!C8</f>
        <v>1350000</v>
      </c>
      <c r="P39" s="835">
        <f t="shared" si="40"/>
        <v>1350000</v>
      </c>
      <c r="Q39" s="38"/>
      <c r="R39" s="38"/>
      <c r="S39" s="38"/>
      <c r="T39" s="38"/>
      <c r="U39" s="37"/>
      <c r="V39" s="38">
        <f t="shared" si="7"/>
        <v>0</v>
      </c>
      <c r="Z39" s="778">
        <f>+I39/AE39</f>
        <v>96428.571428571435</v>
      </c>
      <c r="AB39" s="59">
        <v>2</v>
      </c>
      <c r="AC39" s="59">
        <v>6</v>
      </c>
      <c r="AD39" s="59">
        <v>6</v>
      </c>
      <c r="AE39" s="771">
        <f t="shared" si="15"/>
        <v>14</v>
      </c>
      <c r="AF39" s="337">
        <f t="shared" si="45"/>
        <v>0</v>
      </c>
      <c r="AG39" s="910">
        <f t="shared" si="45"/>
        <v>192857.14285714287</v>
      </c>
      <c r="AH39" s="910">
        <f t="shared" si="45"/>
        <v>578571.42857142864</v>
      </c>
      <c r="AI39" s="910">
        <f t="shared" si="45"/>
        <v>578571.42857142864</v>
      </c>
      <c r="AJ39" s="910"/>
      <c r="AK39" s="910">
        <f t="shared" si="46"/>
        <v>1350000</v>
      </c>
      <c r="AL39" s="23" t="s">
        <v>132</v>
      </c>
      <c r="AM39" s="919" t="s">
        <v>438</v>
      </c>
      <c r="AQ39" s="539">
        <v>43040</v>
      </c>
      <c r="AR39" s="539">
        <f t="shared" si="47"/>
        <v>43830</v>
      </c>
      <c r="AS39" s="919">
        <v>25</v>
      </c>
    </row>
    <row r="40" spans="2:46" x14ac:dyDescent="0.2">
      <c r="C40" s="50">
        <v>1</v>
      </c>
      <c r="D40" s="50">
        <v>3</v>
      </c>
      <c r="E40" s="50">
        <v>3</v>
      </c>
      <c r="F40" s="50">
        <v>1</v>
      </c>
      <c r="G40" s="32" t="str">
        <f t="shared" si="10"/>
        <v>1.3.3.1</v>
      </c>
      <c r="H40" s="2" t="s">
        <v>58</v>
      </c>
      <c r="I40" s="825">
        <f t="shared" si="0"/>
        <v>0</v>
      </c>
      <c r="J40" s="729">
        <f t="shared" si="1"/>
        <v>0</v>
      </c>
      <c r="K40" s="730">
        <f t="shared" si="4"/>
        <v>0</v>
      </c>
      <c r="L40" s="894">
        <v>1</v>
      </c>
      <c r="M40" s="895">
        <f t="shared" si="14"/>
        <v>0</v>
      </c>
      <c r="N40" s="37"/>
      <c r="O40" s="37"/>
      <c r="P40" s="835">
        <f t="shared" si="40"/>
        <v>0</v>
      </c>
      <c r="Q40" s="38"/>
      <c r="R40" s="38"/>
      <c r="S40" s="38"/>
      <c r="T40" s="38"/>
      <c r="U40" s="37"/>
      <c r="V40" s="38">
        <f t="shared" si="7"/>
        <v>0</v>
      </c>
      <c r="Z40" s="778">
        <v>1</v>
      </c>
      <c r="AE40" s="771">
        <f t="shared" si="15"/>
        <v>0</v>
      </c>
      <c r="AF40" s="337">
        <f t="shared" si="45"/>
        <v>0</v>
      </c>
      <c r="AG40" s="910">
        <f t="shared" si="45"/>
        <v>0</v>
      </c>
      <c r="AH40" s="910">
        <f t="shared" si="45"/>
        <v>0</v>
      </c>
      <c r="AI40" s="910">
        <f t="shared" si="45"/>
        <v>0</v>
      </c>
      <c r="AJ40" s="910"/>
      <c r="AK40" s="910">
        <f t="shared" si="46"/>
        <v>0</v>
      </c>
      <c r="AL40" s="23" t="s">
        <v>433</v>
      </c>
      <c r="AM40" s="919" t="s">
        <v>442</v>
      </c>
      <c r="AN40" s="919" t="s">
        <v>440</v>
      </c>
      <c r="AQ40" s="539">
        <v>43497</v>
      </c>
      <c r="AR40" s="539">
        <f t="shared" si="47"/>
        <v>44316</v>
      </c>
      <c r="AS40" s="919">
        <v>26</v>
      </c>
    </row>
    <row r="41" spans="2:46" s="41" customFormat="1" ht="25.5" x14ac:dyDescent="0.2">
      <c r="B41" s="46"/>
      <c r="C41" s="48">
        <v>2</v>
      </c>
      <c r="D41" s="48">
        <v>0</v>
      </c>
      <c r="E41" s="48">
        <v>0</v>
      </c>
      <c r="F41" s="48">
        <v>0</v>
      </c>
      <c r="G41" s="47" t="str">
        <f t="shared" si="10"/>
        <v>2.0.0.0</v>
      </c>
      <c r="H41" s="818" t="s">
        <v>92</v>
      </c>
      <c r="I41" s="821">
        <f t="shared" si="0"/>
        <v>4650500</v>
      </c>
      <c r="J41" s="813">
        <f t="shared" si="1"/>
        <v>2500000</v>
      </c>
      <c r="K41" s="822">
        <f t="shared" si="4"/>
        <v>7150500</v>
      </c>
      <c r="L41" s="888"/>
      <c r="M41" s="889"/>
      <c r="N41" s="811">
        <f>+N42+N52</f>
        <v>737500</v>
      </c>
      <c r="O41" s="811">
        <f t="shared" ref="O41" si="48">+O42+O52</f>
        <v>3913000</v>
      </c>
      <c r="P41" s="832">
        <f t="shared" si="40"/>
        <v>4650500</v>
      </c>
      <c r="Q41" s="811">
        <f t="shared" ref="Q41:U41" si="49">+Q42+Q52</f>
        <v>0</v>
      </c>
      <c r="R41" s="811">
        <f t="shared" si="49"/>
        <v>0</v>
      </c>
      <c r="S41" s="811">
        <f t="shared" si="49"/>
        <v>2500000</v>
      </c>
      <c r="T41" s="811">
        <f t="shared" si="49"/>
        <v>0</v>
      </c>
      <c r="U41" s="811">
        <f t="shared" si="49"/>
        <v>0</v>
      </c>
      <c r="V41" s="811">
        <f t="shared" si="7"/>
        <v>2500000</v>
      </c>
      <c r="W41" s="837"/>
      <c r="X41" s="812"/>
      <c r="Z41" s="814"/>
      <c r="AA41" s="841"/>
      <c r="AB41" s="815"/>
      <c r="AC41" s="815"/>
      <c r="AD41" s="815"/>
      <c r="AE41" s="842">
        <f t="shared" si="15"/>
        <v>0</v>
      </c>
      <c r="AF41" s="816"/>
      <c r="AG41" s="905"/>
      <c r="AH41" s="905"/>
      <c r="AI41" s="905"/>
      <c r="AJ41" s="905"/>
      <c r="AK41" s="815">
        <f t="shared" si="46"/>
        <v>0</v>
      </c>
    </row>
    <row r="42" spans="2:46" s="54" customFormat="1" ht="25.5" x14ac:dyDescent="0.2">
      <c r="B42" s="51"/>
      <c r="C42" s="52">
        <v>2</v>
      </c>
      <c r="D42" s="52">
        <v>1</v>
      </c>
      <c r="E42" s="52">
        <v>0</v>
      </c>
      <c r="F42" s="52">
        <v>0</v>
      </c>
      <c r="G42" s="51" t="str">
        <f t="shared" si="10"/>
        <v>2.1.0.0</v>
      </c>
      <c r="H42" s="819" t="s">
        <v>44</v>
      </c>
      <c r="I42" s="828">
        <f t="shared" si="0"/>
        <v>3713000</v>
      </c>
      <c r="J42" s="725">
        <f t="shared" si="1"/>
        <v>2500000</v>
      </c>
      <c r="K42" s="726">
        <f t="shared" si="4"/>
        <v>6213000</v>
      </c>
      <c r="L42" s="901"/>
      <c r="M42" s="902"/>
      <c r="N42" s="53">
        <f>+N43+N47+N50</f>
        <v>580000</v>
      </c>
      <c r="O42" s="53">
        <f t="shared" ref="O42" si="50">+O43+O47+O50</f>
        <v>3133000</v>
      </c>
      <c r="P42" s="833">
        <f t="shared" si="40"/>
        <v>3713000</v>
      </c>
      <c r="Q42" s="53">
        <f t="shared" ref="Q42:U42" si="51">+Q43+Q47+Q50</f>
        <v>0</v>
      </c>
      <c r="R42" s="53">
        <f t="shared" si="51"/>
        <v>0</v>
      </c>
      <c r="S42" s="53">
        <f t="shared" si="51"/>
        <v>2500000</v>
      </c>
      <c r="T42" s="53">
        <f t="shared" si="51"/>
        <v>0</v>
      </c>
      <c r="U42" s="53">
        <f t="shared" si="51"/>
        <v>0</v>
      </c>
      <c r="V42" s="53">
        <f t="shared" si="7"/>
        <v>2500000</v>
      </c>
      <c r="W42" s="840"/>
      <c r="Z42" s="780"/>
      <c r="AA42" s="847"/>
      <c r="AB42" s="774"/>
      <c r="AC42" s="774"/>
      <c r="AD42" s="774"/>
      <c r="AE42" s="775">
        <f t="shared" si="15"/>
        <v>0</v>
      </c>
      <c r="AF42" s="785"/>
      <c r="AG42" s="913"/>
      <c r="AH42" s="913"/>
      <c r="AI42" s="913"/>
      <c r="AJ42" s="913"/>
      <c r="AK42" s="914">
        <f t="shared" si="46"/>
        <v>0</v>
      </c>
      <c r="AM42" s="51"/>
      <c r="AN42" s="51"/>
      <c r="AO42" s="51"/>
      <c r="AP42" s="51"/>
      <c r="AQ42" s="51"/>
      <c r="AR42" s="51"/>
      <c r="AS42" s="51"/>
      <c r="AT42" s="51"/>
    </row>
    <row r="43" spans="2:46" s="507" customFormat="1" x14ac:dyDescent="0.2">
      <c r="B43" s="505"/>
      <c r="C43" s="506">
        <v>2</v>
      </c>
      <c r="D43" s="506">
        <v>1</v>
      </c>
      <c r="E43" s="506">
        <v>1</v>
      </c>
      <c r="F43" s="506">
        <v>0</v>
      </c>
      <c r="G43" s="505" t="str">
        <f t="shared" si="10"/>
        <v>2.1.1.0</v>
      </c>
      <c r="H43" s="623" t="s">
        <v>582</v>
      </c>
      <c r="I43" s="826">
        <f>SUM(I44:I46)</f>
        <v>3150000</v>
      </c>
      <c r="J43" s="731">
        <f t="shared" ref="J43:K43" si="52">SUM(J44:J46)</f>
        <v>2500000</v>
      </c>
      <c r="K43" s="732">
        <f t="shared" si="52"/>
        <v>5650000</v>
      </c>
      <c r="L43" s="897"/>
      <c r="M43" s="898"/>
      <c r="N43" s="43">
        <f>SUM(N44:N46)</f>
        <v>490000</v>
      </c>
      <c r="O43" s="43">
        <f t="shared" ref="O43" si="53">SUM(O44:O46)</f>
        <v>2660000</v>
      </c>
      <c r="P43" s="834">
        <f t="shared" si="40"/>
        <v>3150000</v>
      </c>
      <c r="Q43" s="43">
        <f t="shared" ref="Q43:U43" si="54">SUM(Q44:Q46)</f>
        <v>0</v>
      </c>
      <c r="R43" s="43">
        <f t="shared" si="54"/>
        <v>0</v>
      </c>
      <c r="S43" s="43">
        <f t="shared" si="54"/>
        <v>2500000</v>
      </c>
      <c r="T43" s="43">
        <f t="shared" si="54"/>
        <v>0</v>
      </c>
      <c r="U43" s="43">
        <f t="shared" si="54"/>
        <v>0</v>
      </c>
      <c r="V43" s="43">
        <f t="shared" si="7"/>
        <v>2500000</v>
      </c>
      <c r="W43" s="505">
        <v>2.1</v>
      </c>
      <c r="Z43" s="779"/>
      <c r="AA43" s="846"/>
      <c r="AB43" s="772"/>
      <c r="AC43" s="772"/>
      <c r="AD43" s="772"/>
      <c r="AE43" s="773">
        <f t="shared" si="15"/>
        <v>0</v>
      </c>
      <c r="AF43" s="784"/>
      <c r="AG43" s="911"/>
      <c r="AH43" s="911"/>
      <c r="AI43" s="911"/>
      <c r="AJ43" s="911"/>
      <c r="AK43" s="912">
        <f t="shared" si="46"/>
        <v>0</v>
      </c>
      <c r="AM43" s="505"/>
      <c r="AN43" s="505"/>
      <c r="AO43" s="505"/>
      <c r="AP43" s="505"/>
      <c r="AQ43" s="505"/>
      <c r="AR43" s="505"/>
      <c r="AS43" s="505"/>
      <c r="AT43" s="505"/>
    </row>
    <row r="44" spans="2:46" x14ac:dyDescent="0.2">
      <c r="C44" s="50">
        <v>2</v>
      </c>
      <c r="D44" s="50">
        <v>1</v>
      </c>
      <c r="E44" s="50">
        <v>1</v>
      </c>
      <c r="F44" s="50">
        <v>1</v>
      </c>
      <c r="G44" s="32" t="str">
        <f t="shared" si="10"/>
        <v>2.1.1.1</v>
      </c>
      <c r="H44" s="2" t="s">
        <v>479</v>
      </c>
      <c r="I44" s="825">
        <f t="shared" ref="I44:I82" si="55">+P44</f>
        <v>450000</v>
      </c>
      <c r="J44" s="729">
        <f t="shared" ref="J44:J82" si="56">+V44</f>
        <v>0</v>
      </c>
      <c r="K44" s="730">
        <f t="shared" si="4"/>
        <v>450000</v>
      </c>
      <c r="L44" s="894">
        <v>1</v>
      </c>
      <c r="M44" s="895">
        <f t="shared" si="14"/>
        <v>0</v>
      </c>
      <c r="N44" s="37">
        <v>450000</v>
      </c>
      <c r="O44" s="37">
        <v>0</v>
      </c>
      <c r="P44" s="835">
        <f t="shared" si="40"/>
        <v>450000</v>
      </c>
      <c r="Q44" s="38"/>
      <c r="R44" s="38"/>
      <c r="S44" s="38"/>
      <c r="T44" s="38"/>
      <c r="U44" s="37"/>
      <c r="V44" s="38">
        <f t="shared" si="7"/>
        <v>0</v>
      </c>
      <c r="X44" s="25"/>
      <c r="Y44" s="24"/>
      <c r="Z44" s="778">
        <f>+I44/AE44</f>
        <v>225000</v>
      </c>
      <c r="AB44" s="59">
        <v>2</v>
      </c>
      <c r="AE44" s="771">
        <f t="shared" si="15"/>
        <v>2</v>
      </c>
      <c r="AF44" s="337">
        <f t="shared" ref="AF44:AI46" si="57">+$Z44*AA44</f>
        <v>0</v>
      </c>
      <c r="AG44" s="910">
        <f t="shared" si="57"/>
        <v>450000</v>
      </c>
      <c r="AH44" s="910">
        <f t="shared" si="57"/>
        <v>0</v>
      </c>
      <c r="AI44" s="910">
        <f t="shared" si="57"/>
        <v>0</v>
      </c>
      <c r="AJ44" s="910"/>
      <c r="AK44" s="910">
        <f t="shared" si="46"/>
        <v>450000</v>
      </c>
      <c r="AL44" s="23" t="s">
        <v>423</v>
      </c>
      <c r="AM44" s="919" t="s">
        <v>441</v>
      </c>
      <c r="AN44" s="919" t="s">
        <v>474</v>
      </c>
      <c r="AQ44" s="539">
        <v>43040</v>
      </c>
      <c r="AR44" s="539">
        <f t="shared" ref="AR44:AR51" si="58">EOMONTH(AQ44,AS44)</f>
        <v>43100</v>
      </c>
      <c r="AS44" s="919">
        <v>1</v>
      </c>
    </row>
    <row r="45" spans="2:46" ht="25.5" x14ac:dyDescent="0.2">
      <c r="C45" s="50">
        <v>2</v>
      </c>
      <c r="D45" s="50">
        <v>1</v>
      </c>
      <c r="E45" s="50">
        <v>1</v>
      </c>
      <c r="F45" s="50">
        <v>2</v>
      </c>
      <c r="G45" s="32" t="str">
        <f t="shared" si="10"/>
        <v>2.1.1.2</v>
      </c>
      <c r="H45" s="2" t="s">
        <v>325</v>
      </c>
      <c r="I45" s="825">
        <f t="shared" si="55"/>
        <v>2500000</v>
      </c>
      <c r="J45" s="729">
        <f t="shared" si="56"/>
        <v>2500000</v>
      </c>
      <c r="K45" s="730">
        <f t="shared" si="4"/>
        <v>5000000</v>
      </c>
      <c r="L45" s="894">
        <v>0</v>
      </c>
      <c r="M45" s="895">
        <f t="shared" si="14"/>
        <v>1</v>
      </c>
      <c r="N45" s="37"/>
      <c r="O45" s="37">
        <v>2500000</v>
      </c>
      <c r="P45" s="835">
        <f t="shared" si="40"/>
        <v>2500000</v>
      </c>
      <c r="Q45" s="38"/>
      <c r="R45" s="38"/>
      <c r="S45" s="38">
        <v>2500000</v>
      </c>
      <c r="T45" s="38"/>
      <c r="U45" s="37"/>
      <c r="V45" s="38">
        <f t="shared" si="7"/>
        <v>2500000</v>
      </c>
      <c r="X45" s="25"/>
      <c r="Y45" s="24"/>
      <c r="Z45" s="778">
        <f>+I45/AE45</f>
        <v>416666.66666666669</v>
      </c>
      <c r="AD45" s="59">
        <v>6</v>
      </c>
      <c r="AE45" s="771">
        <f t="shared" si="15"/>
        <v>6</v>
      </c>
      <c r="AF45" s="337">
        <f t="shared" si="57"/>
        <v>0</v>
      </c>
      <c r="AG45" s="910">
        <f t="shared" si="57"/>
        <v>0</v>
      </c>
      <c r="AH45" s="910">
        <f t="shared" si="57"/>
        <v>0</v>
      </c>
      <c r="AI45" s="910">
        <f t="shared" si="57"/>
        <v>2500000</v>
      </c>
      <c r="AJ45" s="910"/>
      <c r="AK45" s="910">
        <f t="shared" si="46"/>
        <v>2500000</v>
      </c>
      <c r="AL45" s="23" t="s">
        <v>432</v>
      </c>
      <c r="AM45" s="919" t="s">
        <v>155</v>
      </c>
      <c r="AN45" s="919" t="s">
        <v>474</v>
      </c>
      <c r="AO45" s="539">
        <v>43070</v>
      </c>
      <c r="AP45" s="919">
        <v>6</v>
      </c>
      <c r="AQ45" s="539">
        <v>43282</v>
      </c>
      <c r="AR45" s="539">
        <f t="shared" si="58"/>
        <v>43830</v>
      </c>
      <c r="AS45" s="919">
        <v>17</v>
      </c>
    </row>
    <row r="46" spans="2:46" ht="25.5" x14ac:dyDescent="0.2">
      <c r="C46" s="50">
        <v>2</v>
      </c>
      <c r="D46" s="50">
        <v>1</v>
      </c>
      <c r="E46" s="50">
        <v>1</v>
      </c>
      <c r="F46" s="50">
        <v>3</v>
      </c>
      <c r="G46" s="32" t="str">
        <f t="shared" si="10"/>
        <v>2.1.1.3</v>
      </c>
      <c r="H46" s="2" t="s">
        <v>483</v>
      </c>
      <c r="I46" s="825">
        <f t="shared" si="55"/>
        <v>200000</v>
      </c>
      <c r="J46" s="729">
        <f t="shared" si="56"/>
        <v>0</v>
      </c>
      <c r="K46" s="730">
        <f t="shared" si="4"/>
        <v>200000</v>
      </c>
      <c r="L46" s="894">
        <v>1</v>
      </c>
      <c r="M46" s="895">
        <f t="shared" si="14"/>
        <v>0</v>
      </c>
      <c r="N46" s="37">
        <v>40000</v>
      </c>
      <c r="O46" s="37">
        <v>160000</v>
      </c>
      <c r="P46" s="835">
        <f t="shared" si="40"/>
        <v>200000</v>
      </c>
      <c r="Q46" s="38"/>
      <c r="R46" s="38"/>
      <c r="S46" s="38"/>
      <c r="T46" s="38"/>
      <c r="U46" s="37"/>
      <c r="V46" s="38">
        <f t="shared" si="7"/>
        <v>0</v>
      </c>
      <c r="X46" s="25"/>
      <c r="Y46" s="24"/>
      <c r="Z46" s="778">
        <f>+I46/AE46</f>
        <v>13333.333333333334</v>
      </c>
      <c r="AB46" s="59">
        <v>3</v>
      </c>
      <c r="AC46" s="59">
        <v>6</v>
      </c>
      <c r="AD46" s="59">
        <v>6</v>
      </c>
      <c r="AE46" s="771">
        <f t="shared" si="15"/>
        <v>15</v>
      </c>
      <c r="AF46" s="337">
        <f t="shared" si="57"/>
        <v>0</v>
      </c>
      <c r="AG46" s="910">
        <f t="shared" si="57"/>
        <v>40000</v>
      </c>
      <c r="AH46" s="910">
        <f t="shared" si="57"/>
        <v>80000</v>
      </c>
      <c r="AI46" s="910">
        <f t="shared" si="57"/>
        <v>80000</v>
      </c>
      <c r="AJ46" s="910"/>
      <c r="AK46" s="910">
        <f t="shared" si="46"/>
        <v>200000</v>
      </c>
      <c r="AL46" s="23" t="s">
        <v>421</v>
      </c>
      <c r="AM46" s="919" t="s">
        <v>155</v>
      </c>
      <c r="AN46" s="919" t="s">
        <v>474</v>
      </c>
      <c r="AQ46" s="539">
        <v>43009</v>
      </c>
      <c r="AR46" s="539">
        <f t="shared" si="58"/>
        <v>43830</v>
      </c>
      <c r="AS46" s="919">
        <v>26</v>
      </c>
    </row>
    <row r="47" spans="2:46" s="507" customFormat="1" x14ac:dyDescent="0.2">
      <c r="B47" s="505"/>
      <c r="C47" s="506">
        <v>2</v>
      </c>
      <c r="D47" s="506">
        <v>1</v>
      </c>
      <c r="E47" s="506">
        <v>2</v>
      </c>
      <c r="F47" s="506">
        <v>0</v>
      </c>
      <c r="G47" s="505" t="str">
        <f t="shared" si="10"/>
        <v>2.1.2.0</v>
      </c>
      <c r="H47" s="623" t="s">
        <v>583</v>
      </c>
      <c r="I47" s="826">
        <f t="shared" si="55"/>
        <v>515000</v>
      </c>
      <c r="J47" s="731">
        <f t="shared" si="56"/>
        <v>0</v>
      </c>
      <c r="K47" s="732">
        <f t="shared" si="4"/>
        <v>515000</v>
      </c>
      <c r="L47" s="897"/>
      <c r="M47" s="898"/>
      <c r="N47" s="43">
        <f>SUM(N48:N49)</f>
        <v>90000</v>
      </c>
      <c r="O47" s="43">
        <f t="shared" ref="O47" si="59">SUM(O48:O49)</f>
        <v>425000</v>
      </c>
      <c r="P47" s="834">
        <f t="shared" si="40"/>
        <v>515000</v>
      </c>
      <c r="Q47" s="43">
        <f t="shared" ref="Q47:U47" si="60">SUM(Q48:Q49)</f>
        <v>0</v>
      </c>
      <c r="R47" s="43">
        <f t="shared" si="60"/>
        <v>0</v>
      </c>
      <c r="S47" s="43">
        <f t="shared" si="60"/>
        <v>0</v>
      </c>
      <c r="T47" s="43">
        <f t="shared" si="60"/>
        <v>0</v>
      </c>
      <c r="U47" s="43">
        <f t="shared" si="60"/>
        <v>0</v>
      </c>
      <c r="V47" s="43">
        <f t="shared" si="7"/>
        <v>0</v>
      </c>
      <c r="W47" s="505"/>
      <c r="Z47" s="779"/>
      <c r="AA47" s="846"/>
      <c r="AB47" s="772"/>
      <c r="AC47" s="772"/>
      <c r="AD47" s="772"/>
      <c r="AE47" s="773">
        <f t="shared" si="15"/>
        <v>0</v>
      </c>
      <c r="AF47" s="784"/>
      <c r="AG47" s="911"/>
      <c r="AH47" s="911"/>
      <c r="AI47" s="911"/>
      <c r="AJ47" s="911"/>
      <c r="AK47" s="912">
        <f t="shared" si="46"/>
        <v>0</v>
      </c>
      <c r="AM47" s="505"/>
      <c r="AN47" s="505"/>
      <c r="AO47" s="505"/>
      <c r="AP47" s="505"/>
      <c r="AQ47" s="505"/>
      <c r="AR47" s="505"/>
      <c r="AS47" s="505"/>
      <c r="AT47" s="505"/>
    </row>
    <row r="48" spans="2:46" ht="25.5" x14ac:dyDescent="0.2">
      <c r="C48" s="50">
        <v>2</v>
      </c>
      <c r="D48" s="50">
        <v>1</v>
      </c>
      <c r="E48" s="50">
        <v>2</v>
      </c>
      <c r="F48" s="50">
        <v>1</v>
      </c>
      <c r="G48" s="32" t="str">
        <f>CONCATENATE(C46,".",D46,".",E46,".",F48)</f>
        <v>2.1.1.1</v>
      </c>
      <c r="H48" s="2" t="s">
        <v>324</v>
      </c>
      <c r="I48" s="825">
        <f t="shared" si="55"/>
        <v>310000</v>
      </c>
      <c r="J48" s="729">
        <f t="shared" si="56"/>
        <v>0</v>
      </c>
      <c r="K48" s="730">
        <f t="shared" si="4"/>
        <v>310000</v>
      </c>
      <c r="L48" s="894">
        <v>1</v>
      </c>
      <c r="M48" s="895">
        <f t="shared" si="14"/>
        <v>0</v>
      </c>
      <c r="N48" s="37">
        <v>60000</v>
      </c>
      <c r="O48" s="37">
        <v>250000</v>
      </c>
      <c r="P48" s="835">
        <f t="shared" si="40"/>
        <v>310000</v>
      </c>
      <c r="Q48" s="38"/>
      <c r="R48" s="38"/>
      <c r="S48" s="38"/>
      <c r="T48" s="38"/>
      <c r="U48" s="37"/>
      <c r="V48" s="38">
        <f t="shared" si="7"/>
        <v>0</v>
      </c>
      <c r="W48" s="839">
        <v>2.2000000000000002</v>
      </c>
      <c r="X48" s="25"/>
      <c r="Y48" s="24"/>
      <c r="Z48" s="778">
        <f>+I48/AE48</f>
        <v>19375</v>
      </c>
      <c r="AB48" s="59">
        <v>4</v>
      </c>
      <c r="AC48" s="59">
        <v>6</v>
      </c>
      <c r="AD48" s="59">
        <v>6</v>
      </c>
      <c r="AE48" s="771">
        <f t="shared" si="15"/>
        <v>16</v>
      </c>
      <c r="AF48" s="337">
        <f t="shared" ref="AF48:AI49" si="61">+$Z48*AA48</f>
        <v>0</v>
      </c>
      <c r="AG48" s="910">
        <f t="shared" si="61"/>
        <v>77500</v>
      </c>
      <c r="AH48" s="910">
        <f t="shared" si="61"/>
        <v>116250</v>
      </c>
      <c r="AI48" s="910">
        <f t="shared" si="61"/>
        <v>116250</v>
      </c>
      <c r="AJ48" s="910"/>
      <c r="AK48" s="910">
        <f t="shared" si="46"/>
        <v>310000</v>
      </c>
      <c r="AL48" s="23" t="s">
        <v>178</v>
      </c>
      <c r="AQ48" s="539">
        <v>42979</v>
      </c>
      <c r="AR48" s="539">
        <f t="shared" si="58"/>
        <v>44074</v>
      </c>
      <c r="AS48" s="919">
        <v>35</v>
      </c>
    </row>
    <row r="49" spans="2:46" ht="25.5" x14ac:dyDescent="0.2">
      <c r="C49" s="23">
        <v>2</v>
      </c>
      <c r="D49" s="23">
        <v>1</v>
      </c>
      <c r="E49" s="23">
        <v>2</v>
      </c>
      <c r="F49" s="50">
        <v>2</v>
      </c>
      <c r="G49" s="32" t="str">
        <f>CONCATENATE(C48,".",D48,".",E48,".",F49)</f>
        <v>2.1.2.2</v>
      </c>
      <c r="H49" s="2" t="s">
        <v>407</v>
      </c>
      <c r="I49" s="825">
        <f t="shared" si="55"/>
        <v>205000</v>
      </c>
      <c r="J49" s="729">
        <f t="shared" si="56"/>
        <v>0</v>
      </c>
      <c r="K49" s="730">
        <f t="shared" si="4"/>
        <v>205000</v>
      </c>
      <c r="L49" s="894">
        <v>1</v>
      </c>
      <c r="M49" s="903">
        <f t="shared" si="14"/>
        <v>0</v>
      </c>
      <c r="N49" s="37">
        <v>30000</v>
      </c>
      <c r="O49" s="37">
        <v>175000</v>
      </c>
      <c r="P49" s="835">
        <f t="shared" si="40"/>
        <v>205000</v>
      </c>
      <c r="Q49" s="38"/>
      <c r="R49" s="38"/>
      <c r="S49" s="38"/>
      <c r="T49" s="38"/>
      <c r="U49" s="37"/>
      <c r="V49" s="38">
        <f t="shared" si="7"/>
        <v>0</v>
      </c>
      <c r="W49" s="839">
        <v>2.2999999999999998</v>
      </c>
      <c r="X49" s="440"/>
      <c r="Y49" s="24"/>
      <c r="Z49" s="778">
        <f>+I49/AE49</f>
        <v>13666.666666666666</v>
      </c>
      <c r="AB49" s="59">
        <v>3</v>
      </c>
      <c r="AC49" s="59">
        <v>6</v>
      </c>
      <c r="AD49" s="59">
        <v>6</v>
      </c>
      <c r="AE49" s="771">
        <f t="shared" si="15"/>
        <v>15</v>
      </c>
      <c r="AF49" s="337">
        <f t="shared" si="61"/>
        <v>0</v>
      </c>
      <c r="AG49" s="910">
        <f t="shared" si="61"/>
        <v>41000</v>
      </c>
      <c r="AH49" s="910">
        <f t="shared" si="61"/>
        <v>82000</v>
      </c>
      <c r="AI49" s="910">
        <f t="shared" si="61"/>
        <v>82000</v>
      </c>
      <c r="AJ49" s="910"/>
      <c r="AK49" s="910">
        <f t="shared" si="46"/>
        <v>205000</v>
      </c>
      <c r="AL49" s="23" t="s">
        <v>423</v>
      </c>
      <c r="AM49" s="919" t="s">
        <v>441</v>
      </c>
      <c r="AN49" s="919" t="s">
        <v>474</v>
      </c>
      <c r="AQ49" s="539">
        <v>43009</v>
      </c>
      <c r="AR49" s="539">
        <f t="shared" si="58"/>
        <v>44012</v>
      </c>
      <c r="AS49" s="919">
        <v>32</v>
      </c>
    </row>
    <row r="50" spans="2:46" s="507" customFormat="1" x14ac:dyDescent="0.2">
      <c r="B50" s="505"/>
      <c r="C50" s="506">
        <v>2</v>
      </c>
      <c r="D50" s="506">
        <v>1</v>
      </c>
      <c r="E50" s="506">
        <v>3</v>
      </c>
      <c r="F50" s="506">
        <v>0</v>
      </c>
      <c r="G50" s="505" t="str">
        <f>CONCATENATE(C50,".",D50,".",E50,".",F50)</f>
        <v>2.1.3.0</v>
      </c>
      <c r="H50" s="623" t="s">
        <v>481</v>
      </c>
      <c r="I50" s="826">
        <f t="shared" si="55"/>
        <v>48000</v>
      </c>
      <c r="J50" s="731">
        <f t="shared" si="56"/>
        <v>0</v>
      </c>
      <c r="K50" s="732">
        <f>SUM(I50:J50)</f>
        <v>48000</v>
      </c>
      <c r="L50" s="897"/>
      <c r="M50" s="898"/>
      <c r="N50" s="43">
        <f>+N51</f>
        <v>0</v>
      </c>
      <c r="O50" s="43">
        <f t="shared" ref="O50" si="62">+O51</f>
        <v>48000</v>
      </c>
      <c r="P50" s="834">
        <f t="shared" si="40"/>
        <v>48000</v>
      </c>
      <c r="Q50" s="43">
        <f t="shared" ref="Q50:U50" si="63">+Q51</f>
        <v>0</v>
      </c>
      <c r="R50" s="43">
        <f t="shared" si="63"/>
        <v>0</v>
      </c>
      <c r="S50" s="43">
        <f t="shared" si="63"/>
        <v>0</v>
      </c>
      <c r="T50" s="43">
        <f t="shared" si="63"/>
        <v>0</v>
      </c>
      <c r="U50" s="43">
        <f t="shared" si="63"/>
        <v>0</v>
      </c>
      <c r="V50" s="43">
        <f t="shared" si="7"/>
        <v>0</v>
      </c>
      <c r="W50" s="505"/>
      <c r="Z50" s="779"/>
      <c r="AA50" s="846"/>
      <c r="AB50" s="772"/>
      <c r="AC50" s="772"/>
      <c r="AD50" s="772"/>
      <c r="AE50" s="773">
        <f t="shared" si="15"/>
        <v>0</v>
      </c>
      <c r="AF50" s="784"/>
      <c r="AG50" s="911"/>
      <c r="AH50" s="911"/>
      <c r="AI50" s="911"/>
      <c r="AJ50" s="911"/>
      <c r="AK50" s="912">
        <f t="shared" si="46"/>
        <v>0</v>
      </c>
      <c r="AM50" s="505"/>
      <c r="AN50" s="505"/>
      <c r="AO50" s="505"/>
      <c r="AP50" s="505"/>
      <c r="AQ50" s="505"/>
      <c r="AR50" s="505"/>
      <c r="AS50" s="505"/>
      <c r="AT50" s="505"/>
    </row>
    <row r="51" spans="2:46" x14ac:dyDescent="0.2">
      <c r="C51" s="50">
        <v>2</v>
      </c>
      <c r="D51" s="50">
        <v>1</v>
      </c>
      <c r="E51" s="50">
        <v>3</v>
      </c>
      <c r="F51" s="50">
        <v>1</v>
      </c>
      <c r="G51" s="32" t="str">
        <f>CONCATENATE(C51,".",D51,".",E51,".",F51)</f>
        <v>2.1.3.1</v>
      </c>
      <c r="H51" s="2" t="s">
        <v>482</v>
      </c>
      <c r="I51" s="825">
        <f t="shared" si="55"/>
        <v>48000</v>
      </c>
      <c r="J51" s="729">
        <f t="shared" si="56"/>
        <v>0</v>
      </c>
      <c r="K51" s="730">
        <f>SUM(I51:J51)</f>
        <v>48000</v>
      </c>
      <c r="L51" s="894">
        <v>1</v>
      </c>
      <c r="M51" s="895">
        <f t="shared" si="14"/>
        <v>0</v>
      </c>
      <c r="N51" s="37"/>
      <c r="O51" s="37">
        <f>12*AT51*2000</f>
        <v>48000</v>
      </c>
      <c r="P51" s="835">
        <f t="shared" si="40"/>
        <v>48000</v>
      </c>
      <c r="Q51" s="38"/>
      <c r="R51" s="38"/>
      <c r="S51" s="38"/>
      <c r="T51" s="38"/>
      <c r="U51" s="37"/>
      <c r="V51" s="38">
        <f t="shared" si="7"/>
        <v>0</v>
      </c>
      <c r="X51" s="25"/>
      <c r="Y51" s="24"/>
      <c r="Z51" s="778">
        <f t="shared" ref="Z51:Z56" si="64">+I51/AE51</f>
        <v>4000</v>
      </c>
      <c r="AC51" s="59">
        <v>6</v>
      </c>
      <c r="AD51" s="59">
        <v>6</v>
      </c>
      <c r="AE51" s="771">
        <f t="shared" si="15"/>
        <v>12</v>
      </c>
      <c r="AF51" s="337">
        <f>+$Z51*AA51</f>
        <v>0</v>
      </c>
      <c r="AG51" s="910">
        <f>+$Z51*AB51</f>
        <v>0</v>
      </c>
      <c r="AH51" s="910">
        <f>+$Z51*AC51</f>
        <v>24000</v>
      </c>
      <c r="AI51" s="910">
        <f>+$Z51*AD51</f>
        <v>24000</v>
      </c>
      <c r="AJ51" s="910"/>
      <c r="AK51" s="910">
        <f t="shared" si="46"/>
        <v>48000</v>
      </c>
      <c r="AL51" s="23" t="s">
        <v>433</v>
      </c>
      <c r="AM51" s="919" t="s">
        <v>442</v>
      </c>
      <c r="AN51" s="919" t="s">
        <v>440</v>
      </c>
      <c r="AQ51" s="539">
        <v>43101</v>
      </c>
      <c r="AR51" s="539">
        <f t="shared" si="58"/>
        <v>43830</v>
      </c>
      <c r="AS51" s="919">
        <v>23</v>
      </c>
      <c r="AT51" s="919">
        <v>2</v>
      </c>
    </row>
    <row r="52" spans="2:46" s="54" customFormat="1" ht="25.5" x14ac:dyDescent="0.2">
      <c r="B52" s="51"/>
      <c r="C52" s="52">
        <v>2</v>
      </c>
      <c r="D52" s="52">
        <v>2</v>
      </c>
      <c r="E52" s="52">
        <v>0</v>
      </c>
      <c r="F52" s="52">
        <v>0</v>
      </c>
      <c r="G52" s="52" t="str">
        <f t="shared" si="10"/>
        <v>2.2.0.0</v>
      </c>
      <c r="H52" s="819" t="s">
        <v>65</v>
      </c>
      <c r="I52" s="828">
        <f t="shared" si="55"/>
        <v>937500</v>
      </c>
      <c r="J52" s="725">
        <f t="shared" si="56"/>
        <v>0</v>
      </c>
      <c r="K52" s="726">
        <f t="shared" si="4"/>
        <v>937500</v>
      </c>
      <c r="L52" s="901"/>
      <c r="M52" s="902"/>
      <c r="N52" s="53">
        <f>SUM(N53:N56)</f>
        <v>157500</v>
      </c>
      <c r="O52" s="53">
        <f t="shared" ref="O52" si="65">SUM(O53:O56)</f>
        <v>780000</v>
      </c>
      <c r="P52" s="833">
        <f t="shared" si="40"/>
        <v>937500</v>
      </c>
      <c r="Q52" s="53">
        <f t="shared" ref="Q52:U52" si="66">SUM(Q53:Q56)</f>
        <v>0</v>
      </c>
      <c r="R52" s="53">
        <f t="shared" si="66"/>
        <v>0</v>
      </c>
      <c r="S52" s="53">
        <f t="shared" si="66"/>
        <v>0</v>
      </c>
      <c r="T52" s="53">
        <f t="shared" si="66"/>
        <v>0</v>
      </c>
      <c r="U52" s="53">
        <f t="shared" si="66"/>
        <v>0</v>
      </c>
      <c r="V52" s="53">
        <f t="shared" si="7"/>
        <v>0</v>
      </c>
      <c r="W52" s="840">
        <v>2.4</v>
      </c>
      <c r="Z52" s="780" t="e">
        <f t="shared" si="64"/>
        <v>#DIV/0!</v>
      </c>
      <c r="AA52" s="847"/>
      <c r="AB52" s="774"/>
      <c r="AC52" s="774"/>
      <c r="AD52" s="774"/>
      <c r="AE52" s="775">
        <f t="shared" si="15"/>
        <v>0</v>
      </c>
      <c r="AF52" s="785"/>
      <c r="AG52" s="913"/>
      <c r="AH52" s="913"/>
      <c r="AI52" s="913"/>
      <c r="AJ52" s="913"/>
      <c r="AK52" s="914">
        <f t="shared" si="46"/>
        <v>0</v>
      </c>
      <c r="AM52" s="51"/>
      <c r="AN52" s="51"/>
      <c r="AO52" s="51"/>
      <c r="AP52" s="51"/>
      <c r="AQ52" s="51"/>
      <c r="AR52" s="51"/>
      <c r="AS52" s="51"/>
      <c r="AT52" s="51"/>
    </row>
    <row r="53" spans="2:46" ht="25.5" x14ac:dyDescent="0.2">
      <c r="C53" s="50">
        <v>2</v>
      </c>
      <c r="D53" s="50">
        <v>2</v>
      </c>
      <c r="E53" s="50">
        <v>1</v>
      </c>
      <c r="F53" s="50">
        <v>1</v>
      </c>
      <c r="G53" s="32" t="str">
        <f t="shared" si="10"/>
        <v>2.2.1.1</v>
      </c>
      <c r="H53" s="2" t="s">
        <v>509</v>
      </c>
      <c r="I53" s="825">
        <f t="shared" si="55"/>
        <v>108000</v>
      </c>
      <c r="J53" s="729">
        <f t="shared" si="56"/>
        <v>0</v>
      </c>
      <c r="K53" s="730">
        <f t="shared" si="4"/>
        <v>108000</v>
      </c>
      <c r="L53" s="894">
        <v>1</v>
      </c>
      <c r="M53" s="895">
        <f t="shared" si="14"/>
        <v>0</v>
      </c>
      <c r="N53" s="37">
        <f>+'2.2'!D13</f>
        <v>43000</v>
      </c>
      <c r="O53" s="37">
        <f>+'2.2'!E13</f>
        <v>65000</v>
      </c>
      <c r="P53" s="835">
        <f t="shared" si="40"/>
        <v>108000</v>
      </c>
      <c r="Q53" s="38"/>
      <c r="R53" s="38"/>
      <c r="S53" s="38"/>
      <c r="T53" s="38"/>
      <c r="U53" s="37"/>
      <c r="V53" s="38">
        <f t="shared" si="7"/>
        <v>0</v>
      </c>
      <c r="X53" s="25"/>
      <c r="Y53" s="24"/>
      <c r="Z53" s="778">
        <f t="shared" si="64"/>
        <v>10800</v>
      </c>
      <c r="AB53" s="59">
        <v>3</v>
      </c>
      <c r="AC53" s="59">
        <v>6</v>
      </c>
      <c r="AD53" s="59">
        <v>1</v>
      </c>
      <c r="AE53" s="771">
        <f t="shared" si="15"/>
        <v>10</v>
      </c>
      <c r="AF53" s="337">
        <f t="shared" ref="AF53:AI56" si="67">+$Z53*AA53</f>
        <v>0</v>
      </c>
      <c r="AG53" s="910">
        <f t="shared" si="67"/>
        <v>32400</v>
      </c>
      <c r="AH53" s="910">
        <f t="shared" si="67"/>
        <v>64800</v>
      </c>
      <c r="AI53" s="910">
        <f t="shared" si="67"/>
        <v>10800</v>
      </c>
      <c r="AJ53" s="910"/>
      <c r="AK53" s="910">
        <f t="shared" si="46"/>
        <v>108000</v>
      </c>
      <c r="AL53" s="23" t="s">
        <v>508</v>
      </c>
      <c r="AM53" s="919" t="s">
        <v>441</v>
      </c>
      <c r="AN53" s="919" t="s">
        <v>474</v>
      </c>
      <c r="AQ53" s="539">
        <v>43009</v>
      </c>
      <c r="AR53" s="539">
        <f t="shared" ref="AR53:AR56" si="68">EOMONTH(AQ53,AS53)</f>
        <v>43312</v>
      </c>
      <c r="AS53" s="919">
        <v>9</v>
      </c>
    </row>
    <row r="54" spans="2:46" ht="25.5" x14ac:dyDescent="0.2">
      <c r="C54" s="50">
        <v>2</v>
      </c>
      <c r="D54" s="50">
        <v>2</v>
      </c>
      <c r="E54" s="50">
        <v>2</v>
      </c>
      <c r="F54" s="50">
        <v>1</v>
      </c>
      <c r="G54" s="32" t="str">
        <f>CONCATENATE(C54,".",D54,".",E54,".",F54)</f>
        <v>2.2.2.1</v>
      </c>
      <c r="H54" s="2" t="s">
        <v>513</v>
      </c>
      <c r="I54" s="825">
        <f t="shared" si="55"/>
        <v>20000</v>
      </c>
      <c r="J54" s="729">
        <f t="shared" si="56"/>
        <v>0</v>
      </c>
      <c r="K54" s="730">
        <f t="shared" si="4"/>
        <v>20000</v>
      </c>
      <c r="L54" s="894">
        <v>1</v>
      </c>
      <c r="M54" s="895">
        <f t="shared" si="14"/>
        <v>0</v>
      </c>
      <c r="N54" s="37">
        <v>0</v>
      </c>
      <c r="O54" s="37">
        <v>20000</v>
      </c>
      <c r="P54" s="835">
        <f t="shared" si="40"/>
        <v>20000</v>
      </c>
      <c r="Q54" s="38"/>
      <c r="R54" s="38"/>
      <c r="S54" s="38"/>
      <c r="T54" s="38"/>
      <c r="U54" s="37"/>
      <c r="V54" s="38">
        <f t="shared" si="7"/>
        <v>0</v>
      </c>
      <c r="X54" s="25"/>
      <c r="Y54" s="24"/>
      <c r="Z54" s="778">
        <f t="shared" si="64"/>
        <v>6666.666666666667</v>
      </c>
      <c r="AB54" s="59">
        <v>3</v>
      </c>
      <c r="AE54" s="771">
        <f t="shared" si="15"/>
        <v>3</v>
      </c>
      <c r="AF54" s="337">
        <f t="shared" si="67"/>
        <v>0</v>
      </c>
      <c r="AG54" s="910">
        <f t="shared" si="67"/>
        <v>20000</v>
      </c>
      <c r="AH54" s="910">
        <f t="shared" si="67"/>
        <v>0</v>
      </c>
      <c r="AI54" s="910">
        <f t="shared" si="67"/>
        <v>0</v>
      </c>
      <c r="AJ54" s="910"/>
      <c r="AK54" s="910">
        <f t="shared" si="46"/>
        <v>20000</v>
      </c>
      <c r="AL54" s="23" t="s">
        <v>433</v>
      </c>
      <c r="AM54" s="919" t="s">
        <v>442</v>
      </c>
      <c r="AN54" s="919" t="s">
        <v>440</v>
      </c>
      <c r="AQ54" s="539">
        <v>43009</v>
      </c>
      <c r="AR54" s="539">
        <f t="shared" si="68"/>
        <v>43100</v>
      </c>
      <c r="AS54" s="919">
        <v>2</v>
      </c>
    </row>
    <row r="55" spans="2:46" x14ac:dyDescent="0.2">
      <c r="C55" s="50">
        <v>2</v>
      </c>
      <c r="D55" s="50">
        <v>2</v>
      </c>
      <c r="E55" s="50">
        <v>3</v>
      </c>
      <c r="F55" s="50">
        <v>1</v>
      </c>
      <c r="G55" s="32" t="str">
        <f t="shared" ref="G55" si="69">CONCATENATE(C55,".",D55,".",E55,".",F55)</f>
        <v>2.2.3.1</v>
      </c>
      <c r="H55" s="2" t="s">
        <v>434</v>
      </c>
      <c r="I55" s="825">
        <f t="shared" si="55"/>
        <v>190000</v>
      </c>
      <c r="J55" s="729">
        <f t="shared" si="56"/>
        <v>0</v>
      </c>
      <c r="K55" s="730">
        <f t="shared" si="4"/>
        <v>190000</v>
      </c>
      <c r="M55" s="895">
        <f t="shared" si="14"/>
        <v>1</v>
      </c>
      <c r="N55" s="37">
        <f>+'2.2'!D19</f>
        <v>20000</v>
      </c>
      <c r="O55" s="37">
        <f>+'2.2'!E19</f>
        <v>170000</v>
      </c>
      <c r="P55" s="835">
        <f t="shared" si="40"/>
        <v>190000</v>
      </c>
      <c r="Q55" s="38"/>
      <c r="R55" s="38"/>
      <c r="S55" s="38"/>
      <c r="T55" s="38"/>
      <c r="U55" s="37"/>
      <c r="V55" s="38">
        <f t="shared" si="7"/>
        <v>0</v>
      </c>
      <c r="X55" s="25"/>
      <c r="Y55" s="24"/>
      <c r="Z55" s="778">
        <f t="shared" si="64"/>
        <v>31666.666666666668</v>
      </c>
      <c r="AD55" s="59">
        <v>6</v>
      </c>
      <c r="AE55" s="771">
        <f t="shared" si="15"/>
        <v>6</v>
      </c>
      <c r="AF55" s="337">
        <f t="shared" si="67"/>
        <v>0</v>
      </c>
      <c r="AG55" s="910">
        <f t="shared" si="67"/>
        <v>0</v>
      </c>
      <c r="AH55" s="910">
        <f t="shared" si="67"/>
        <v>0</v>
      </c>
      <c r="AI55" s="910">
        <f t="shared" si="67"/>
        <v>190000</v>
      </c>
      <c r="AJ55" s="910"/>
      <c r="AK55" s="910">
        <f t="shared" si="46"/>
        <v>190000</v>
      </c>
      <c r="AL55" s="23" t="s">
        <v>421</v>
      </c>
      <c r="AM55" s="919" t="s">
        <v>155</v>
      </c>
      <c r="AN55" s="919" t="s">
        <v>474</v>
      </c>
      <c r="AQ55" s="539">
        <v>43282</v>
      </c>
      <c r="AR55" s="539">
        <f t="shared" si="68"/>
        <v>43921</v>
      </c>
      <c r="AS55" s="919">
        <v>20</v>
      </c>
    </row>
    <row r="56" spans="2:46" ht="25.5" x14ac:dyDescent="0.2">
      <c r="C56" s="50">
        <v>2</v>
      </c>
      <c r="D56" s="50">
        <v>2</v>
      </c>
      <c r="E56" s="50">
        <v>4</v>
      </c>
      <c r="F56" s="50">
        <v>1</v>
      </c>
      <c r="G56" s="32" t="str">
        <f t="shared" si="10"/>
        <v>2.2.4.1</v>
      </c>
      <c r="H56" s="2" t="s">
        <v>66</v>
      </c>
      <c r="I56" s="825">
        <f t="shared" si="55"/>
        <v>619500</v>
      </c>
      <c r="J56" s="729">
        <f t="shared" si="56"/>
        <v>0</v>
      </c>
      <c r="K56" s="730">
        <f t="shared" si="4"/>
        <v>619500</v>
      </c>
      <c r="L56" s="894">
        <v>1</v>
      </c>
      <c r="M56" s="895">
        <f t="shared" si="14"/>
        <v>0</v>
      </c>
      <c r="N56" s="37">
        <f>+'2.2'!D17+'2.2'!D18</f>
        <v>94500</v>
      </c>
      <c r="O56" s="37">
        <f>+'2.2'!E17+'2.2'!E18</f>
        <v>525000</v>
      </c>
      <c r="P56" s="835">
        <f t="shared" si="40"/>
        <v>619500</v>
      </c>
      <c r="Q56" s="38"/>
      <c r="R56" s="38"/>
      <c r="S56" s="38"/>
      <c r="T56" s="38"/>
      <c r="U56" s="37"/>
      <c r="V56" s="38">
        <f t="shared" si="7"/>
        <v>0</v>
      </c>
      <c r="X56" s="25"/>
      <c r="Y56" s="24"/>
      <c r="Z56" s="778">
        <f t="shared" si="64"/>
        <v>34416.666666666664</v>
      </c>
      <c r="AB56" s="59">
        <v>6</v>
      </c>
      <c r="AC56" s="59">
        <v>6</v>
      </c>
      <c r="AD56" s="59">
        <v>6</v>
      </c>
      <c r="AE56" s="771">
        <f t="shared" si="15"/>
        <v>18</v>
      </c>
      <c r="AF56" s="337">
        <f t="shared" si="67"/>
        <v>0</v>
      </c>
      <c r="AG56" s="910">
        <f t="shared" si="67"/>
        <v>206500</v>
      </c>
      <c r="AH56" s="910">
        <f t="shared" si="67"/>
        <v>206500</v>
      </c>
      <c r="AI56" s="910">
        <f t="shared" si="67"/>
        <v>206500</v>
      </c>
      <c r="AJ56" s="910"/>
      <c r="AK56" s="910">
        <f t="shared" si="46"/>
        <v>619500</v>
      </c>
      <c r="AL56" s="23" t="s">
        <v>423</v>
      </c>
      <c r="AM56" s="919" t="s">
        <v>441</v>
      </c>
      <c r="AN56" s="919" t="s">
        <v>474</v>
      </c>
      <c r="AQ56" s="539">
        <v>42917</v>
      </c>
      <c r="AR56" s="539">
        <f t="shared" si="68"/>
        <v>44012</v>
      </c>
      <c r="AS56" s="919">
        <v>35</v>
      </c>
    </row>
    <row r="57" spans="2:46" s="41" customFormat="1" ht="25.5" x14ac:dyDescent="0.2">
      <c r="B57" s="46"/>
      <c r="C57" s="48">
        <v>3</v>
      </c>
      <c r="D57" s="48">
        <v>0</v>
      </c>
      <c r="E57" s="48">
        <v>0</v>
      </c>
      <c r="F57" s="48">
        <v>0</v>
      </c>
      <c r="G57" s="47" t="str">
        <f t="shared" si="10"/>
        <v>3.0.0.0</v>
      </c>
      <c r="H57" s="818" t="s">
        <v>93</v>
      </c>
      <c r="I57" s="821">
        <f t="shared" si="55"/>
        <v>5514905</v>
      </c>
      <c r="J57" s="813">
        <f t="shared" si="56"/>
        <v>0</v>
      </c>
      <c r="K57" s="822">
        <f t="shared" si="4"/>
        <v>5514905</v>
      </c>
      <c r="L57" s="888"/>
      <c r="M57" s="889"/>
      <c r="N57" s="811">
        <f>+N58+N71</f>
        <v>655000</v>
      </c>
      <c r="O57" s="811">
        <f t="shared" ref="O57" si="70">+O58+O71</f>
        <v>4859905</v>
      </c>
      <c r="P57" s="832">
        <f t="shared" si="40"/>
        <v>5514905</v>
      </c>
      <c r="Q57" s="811">
        <f t="shared" ref="Q57:U57" si="71">+Q58+Q71</f>
        <v>0</v>
      </c>
      <c r="R57" s="811">
        <f t="shared" si="71"/>
        <v>0</v>
      </c>
      <c r="S57" s="811">
        <f t="shared" si="71"/>
        <v>0</v>
      </c>
      <c r="T57" s="811">
        <f t="shared" si="71"/>
        <v>0</v>
      </c>
      <c r="U57" s="811">
        <f t="shared" si="71"/>
        <v>0</v>
      </c>
      <c r="V57" s="811">
        <f t="shared" si="7"/>
        <v>0</v>
      </c>
      <c r="W57" s="837"/>
      <c r="X57" s="812"/>
      <c r="Z57" s="814"/>
      <c r="AA57" s="841"/>
      <c r="AB57" s="815"/>
      <c r="AC57" s="815"/>
      <c r="AD57" s="815"/>
      <c r="AE57" s="842">
        <f t="shared" si="15"/>
        <v>0</v>
      </c>
      <c r="AF57" s="816"/>
      <c r="AG57" s="905"/>
      <c r="AH57" s="905"/>
      <c r="AI57" s="905"/>
      <c r="AJ57" s="905"/>
      <c r="AK57" s="815">
        <f t="shared" si="46"/>
        <v>0</v>
      </c>
    </row>
    <row r="58" spans="2:46" s="54" customFormat="1" x14ac:dyDescent="0.2">
      <c r="B58" s="51"/>
      <c r="C58" s="52">
        <v>3</v>
      </c>
      <c r="D58" s="52">
        <v>1</v>
      </c>
      <c r="E58" s="52">
        <v>0</v>
      </c>
      <c r="F58" s="52">
        <v>0</v>
      </c>
      <c r="G58" s="51" t="str">
        <f>CONCATENATE(C58,".",D58,".",E58,".",F58)</f>
        <v>3.1.0.0</v>
      </c>
      <c r="H58" s="819" t="s">
        <v>53</v>
      </c>
      <c r="I58" s="828">
        <f t="shared" si="55"/>
        <v>1751500</v>
      </c>
      <c r="J58" s="725">
        <f t="shared" si="56"/>
        <v>0</v>
      </c>
      <c r="K58" s="726">
        <f t="shared" si="4"/>
        <v>1751500</v>
      </c>
      <c r="L58" s="901"/>
      <c r="M58" s="902"/>
      <c r="N58" s="53">
        <f>+N59+N65</f>
        <v>130000</v>
      </c>
      <c r="O58" s="53">
        <f t="shared" ref="O58" si="72">+O59+O65</f>
        <v>1621500</v>
      </c>
      <c r="P58" s="833">
        <f t="shared" si="40"/>
        <v>1751500</v>
      </c>
      <c r="Q58" s="53">
        <f t="shared" ref="Q58:U58" si="73">+Q59+Q65</f>
        <v>0</v>
      </c>
      <c r="R58" s="53">
        <f t="shared" si="73"/>
        <v>0</v>
      </c>
      <c r="S58" s="53">
        <f t="shared" si="73"/>
        <v>0</v>
      </c>
      <c r="T58" s="53">
        <f t="shared" si="73"/>
        <v>0</v>
      </c>
      <c r="U58" s="53">
        <f t="shared" si="73"/>
        <v>0</v>
      </c>
      <c r="V58" s="53">
        <f t="shared" si="7"/>
        <v>0</v>
      </c>
      <c r="W58" s="840"/>
      <c r="Z58" s="780"/>
      <c r="AA58" s="847"/>
      <c r="AB58" s="774"/>
      <c r="AC58" s="774"/>
      <c r="AD58" s="774"/>
      <c r="AE58" s="775">
        <f t="shared" si="15"/>
        <v>0</v>
      </c>
      <c r="AF58" s="785"/>
      <c r="AG58" s="913"/>
      <c r="AH58" s="913"/>
      <c r="AI58" s="913"/>
      <c r="AJ58" s="913"/>
      <c r="AK58" s="914">
        <f t="shared" si="46"/>
        <v>0</v>
      </c>
      <c r="AM58" s="51"/>
      <c r="AN58" s="51"/>
      <c r="AO58" s="51"/>
      <c r="AP58" s="51"/>
      <c r="AQ58" s="51"/>
      <c r="AR58" s="51"/>
      <c r="AS58" s="51"/>
      <c r="AT58" s="51"/>
    </row>
    <row r="59" spans="2:46" s="507" customFormat="1" ht="38.25" x14ac:dyDescent="0.2">
      <c r="B59" s="505"/>
      <c r="C59" s="506">
        <v>3</v>
      </c>
      <c r="D59" s="506">
        <v>1</v>
      </c>
      <c r="E59" s="506">
        <v>1</v>
      </c>
      <c r="F59" s="506">
        <v>0</v>
      </c>
      <c r="G59" s="505" t="str">
        <f>CONCATENATE(C59,".",D59,".",E59,".",F59)</f>
        <v>3.1.1.0</v>
      </c>
      <c r="H59" s="623" t="s">
        <v>314</v>
      </c>
      <c r="I59" s="826">
        <f t="shared" si="55"/>
        <v>475000</v>
      </c>
      <c r="J59" s="731">
        <f t="shared" si="56"/>
        <v>0</v>
      </c>
      <c r="K59" s="732">
        <f t="shared" si="4"/>
        <v>475000</v>
      </c>
      <c r="L59" s="897"/>
      <c r="M59" s="898"/>
      <c r="N59" s="43">
        <f>SUM(N60:N64)</f>
        <v>75000</v>
      </c>
      <c r="O59" s="43">
        <f t="shared" ref="O59" si="74">SUM(O60:O64)</f>
        <v>400000</v>
      </c>
      <c r="P59" s="834">
        <f t="shared" si="40"/>
        <v>475000</v>
      </c>
      <c r="Q59" s="43">
        <f t="shared" ref="Q59:U59" si="75">SUM(Q60:Q64)</f>
        <v>0</v>
      </c>
      <c r="R59" s="43">
        <f t="shared" si="75"/>
        <v>0</v>
      </c>
      <c r="S59" s="43">
        <f t="shared" si="75"/>
        <v>0</v>
      </c>
      <c r="T59" s="43">
        <f t="shared" si="75"/>
        <v>0</v>
      </c>
      <c r="U59" s="43">
        <f t="shared" si="75"/>
        <v>0</v>
      </c>
      <c r="V59" s="43">
        <f t="shared" si="7"/>
        <v>0</v>
      </c>
      <c r="W59" s="505">
        <f>+'Matriz de Resultados'!B42</f>
        <v>3.1</v>
      </c>
      <c r="Z59" s="779"/>
      <c r="AA59" s="846"/>
      <c r="AB59" s="772"/>
      <c r="AC59" s="772"/>
      <c r="AD59" s="772"/>
      <c r="AE59" s="773">
        <f t="shared" si="15"/>
        <v>0</v>
      </c>
      <c r="AF59" s="784"/>
      <c r="AG59" s="911"/>
      <c r="AH59" s="911"/>
      <c r="AI59" s="911"/>
      <c r="AJ59" s="911"/>
      <c r="AK59" s="912">
        <f t="shared" si="46"/>
        <v>0</v>
      </c>
      <c r="AM59" s="505"/>
      <c r="AN59" s="505"/>
      <c r="AO59" s="505"/>
      <c r="AP59" s="505"/>
      <c r="AQ59" s="505"/>
      <c r="AR59" s="505"/>
      <c r="AS59" s="505"/>
      <c r="AT59" s="505"/>
    </row>
    <row r="60" spans="2:46" ht="38.25" x14ac:dyDescent="0.2">
      <c r="C60" s="50">
        <v>3</v>
      </c>
      <c r="D60" s="50">
        <v>1</v>
      </c>
      <c r="E60" s="50">
        <v>1</v>
      </c>
      <c r="F60" s="50">
        <v>1</v>
      </c>
      <c r="G60" s="32" t="str">
        <f t="shared" si="10"/>
        <v>3.1.1.1</v>
      </c>
      <c r="H60" s="2" t="str">
        <f>+'3.1 nuevo'!B6</f>
        <v>Consultorías para diagnóstico, propuesta de modelo de organización y elaboración de guía de recursos, en cada departamento priorizado</v>
      </c>
      <c r="I60" s="825">
        <f t="shared" si="55"/>
        <v>475000</v>
      </c>
      <c r="J60" s="729">
        <f t="shared" si="56"/>
        <v>0</v>
      </c>
      <c r="K60" s="730">
        <f t="shared" si="4"/>
        <v>475000</v>
      </c>
      <c r="L60" s="894">
        <v>1</v>
      </c>
      <c r="M60" s="895">
        <f t="shared" si="14"/>
        <v>0</v>
      </c>
      <c r="N60" s="37">
        <f>+'3.1 nuevo'!I6</f>
        <v>75000</v>
      </c>
      <c r="O60" s="37">
        <f>+'3.1 nuevo'!J6</f>
        <v>400000</v>
      </c>
      <c r="P60" s="835">
        <f t="shared" si="40"/>
        <v>475000</v>
      </c>
      <c r="Q60" s="38"/>
      <c r="R60" s="38"/>
      <c r="S60" s="38"/>
      <c r="T60" s="38"/>
      <c r="U60" s="37"/>
      <c r="V60" s="38">
        <f t="shared" si="7"/>
        <v>0</v>
      </c>
      <c r="Z60" s="778">
        <f>+I60/AE60</f>
        <v>39583.333333333336</v>
      </c>
      <c r="AB60" s="59">
        <v>3</v>
      </c>
      <c r="AC60" s="59">
        <v>6</v>
      </c>
      <c r="AD60" s="59">
        <v>3</v>
      </c>
      <c r="AE60" s="771">
        <f t="shared" si="15"/>
        <v>12</v>
      </c>
      <c r="AF60" s="337">
        <f t="shared" ref="AF60:AI64" si="76">+$Z60*AA60</f>
        <v>0</v>
      </c>
      <c r="AG60" s="910">
        <f t="shared" si="76"/>
        <v>118750</v>
      </c>
      <c r="AH60" s="910">
        <f t="shared" si="76"/>
        <v>237500</v>
      </c>
      <c r="AI60" s="910">
        <f t="shared" si="76"/>
        <v>118750</v>
      </c>
      <c r="AJ60" s="910"/>
      <c r="AK60" s="910">
        <f t="shared" si="46"/>
        <v>475000</v>
      </c>
      <c r="AL60" s="23" t="s">
        <v>423</v>
      </c>
      <c r="AM60" s="919" t="s">
        <v>600</v>
      </c>
      <c r="AN60" s="919" t="s">
        <v>474</v>
      </c>
      <c r="AQ60" s="539">
        <v>43009</v>
      </c>
      <c r="AR60" s="539">
        <f t="shared" ref="AR60:AR64" si="77">EOMONTH(AQ60,AS60)</f>
        <v>43373</v>
      </c>
      <c r="AS60" s="919">
        <v>11</v>
      </c>
    </row>
    <row r="61" spans="2:46" ht="51" x14ac:dyDescent="0.2">
      <c r="C61" s="50">
        <v>3</v>
      </c>
      <c r="D61" s="50">
        <v>1</v>
      </c>
      <c r="E61" s="50">
        <v>1</v>
      </c>
      <c r="F61" s="50">
        <v>2</v>
      </c>
      <c r="G61" s="32" t="str">
        <f t="shared" si="10"/>
        <v>3.1.1.2</v>
      </c>
      <c r="H61" s="2" t="str">
        <f>+'3.1 nuevo'!B10</f>
        <v>Capacitación de funcionarios y equipos técnicos provinciales en metodologías de diseño, implementación y evaluacion de programas de seguridad, y en estrategias de patrullamiento basado en hot spot policing.</v>
      </c>
      <c r="I61" s="825">
        <f t="shared" si="55"/>
        <v>0</v>
      </c>
      <c r="J61" s="729">
        <f t="shared" si="56"/>
        <v>0</v>
      </c>
      <c r="K61" s="730">
        <f t="shared" si="4"/>
        <v>0</v>
      </c>
      <c r="L61" s="894">
        <v>1</v>
      </c>
      <c r="M61" s="895">
        <f t="shared" si="14"/>
        <v>0</v>
      </c>
      <c r="N61" s="37">
        <f>+'3.1 nuevo'!I10</f>
        <v>0</v>
      </c>
      <c r="O61" s="37">
        <f>+'3.1 nuevo'!J10</f>
        <v>0</v>
      </c>
      <c r="P61" s="835">
        <f t="shared" si="40"/>
        <v>0</v>
      </c>
      <c r="Q61" s="38"/>
      <c r="R61" s="38"/>
      <c r="S61" s="38"/>
      <c r="T61" s="38"/>
      <c r="U61" s="37"/>
      <c r="V61" s="38">
        <f t="shared" si="7"/>
        <v>0</v>
      </c>
      <c r="Z61" s="778">
        <v>1</v>
      </c>
      <c r="AE61" s="771">
        <f t="shared" si="15"/>
        <v>0</v>
      </c>
      <c r="AF61" s="337">
        <f t="shared" si="76"/>
        <v>0</v>
      </c>
      <c r="AG61" s="910">
        <f t="shared" si="76"/>
        <v>0</v>
      </c>
      <c r="AH61" s="910">
        <f t="shared" si="76"/>
        <v>0</v>
      </c>
      <c r="AI61" s="910">
        <f t="shared" si="76"/>
        <v>0</v>
      </c>
      <c r="AJ61" s="910"/>
      <c r="AK61" s="910">
        <f t="shared" si="46"/>
        <v>0</v>
      </c>
      <c r="AL61" s="23" t="s">
        <v>178</v>
      </c>
      <c r="AQ61" s="539">
        <v>43497</v>
      </c>
      <c r="AR61" s="539">
        <f t="shared" si="77"/>
        <v>43830</v>
      </c>
      <c r="AS61" s="919">
        <v>10</v>
      </c>
    </row>
    <row r="62" spans="2:46" ht="25.5" x14ac:dyDescent="0.2">
      <c r="C62" s="50">
        <v>3</v>
      </c>
      <c r="D62" s="50">
        <v>1</v>
      </c>
      <c r="E62" s="50">
        <v>1</v>
      </c>
      <c r="F62" s="50">
        <v>3</v>
      </c>
      <c r="G62" s="32" t="str">
        <f t="shared" si="10"/>
        <v>3.1.1.3</v>
      </c>
      <c r="H62" s="2" t="str">
        <f>+'3.1 nuevo'!B13</f>
        <v>Consultorías de apoyo al diseño e implementación de programas piloto</v>
      </c>
      <c r="I62" s="825">
        <f t="shared" si="55"/>
        <v>0</v>
      </c>
      <c r="J62" s="729">
        <f t="shared" si="56"/>
        <v>0</v>
      </c>
      <c r="K62" s="730">
        <f t="shared" si="4"/>
        <v>0</v>
      </c>
      <c r="L62" s="894">
        <v>1</v>
      </c>
      <c r="M62" s="895">
        <f t="shared" si="14"/>
        <v>0</v>
      </c>
      <c r="N62" s="37">
        <f>+'3.1 nuevo'!I13</f>
        <v>0</v>
      </c>
      <c r="O62" s="37">
        <f>+'3.1 nuevo'!J13</f>
        <v>0</v>
      </c>
      <c r="P62" s="835">
        <f t="shared" si="40"/>
        <v>0</v>
      </c>
      <c r="Q62" s="38"/>
      <c r="R62" s="38"/>
      <c r="S62" s="38"/>
      <c r="T62" s="38"/>
      <c r="U62" s="37"/>
      <c r="V62" s="38">
        <f t="shared" si="7"/>
        <v>0</v>
      </c>
      <c r="Z62" s="778">
        <v>1</v>
      </c>
      <c r="AE62" s="771">
        <f t="shared" si="15"/>
        <v>0</v>
      </c>
      <c r="AF62" s="337">
        <f t="shared" si="76"/>
        <v>0</v>
      </c>
      <c r="AG62" s="910">
        <f t="shared" si="76"/>
        <v>0</v>
      </c>
      <c r="AH62" s="910">
        <f t="shared" si="76"/>
        <v>0</v>
      </c>
      <c r="AI62" s="910">
        <f t="shared" si="76"/>
        <v>0</v>
      </c>
      <c r="AJ62" s="910"/>
      <c r="AK62" s="910">
        <f t="shared" si="46"/>
        <v>0</v>
      </c>
      <c r="AL62" s="23" t="s">
        <v>423</v>
      </c>
      <c r="AM62" s="919" t="s">
        <v>600</v>
      </c>
      <c r="AN62" s="919" t="s">
        <v>474</v>
      </c>
      <c r="AQ62" s="539">
        <v>43497</v>
      </c>
      <c r="AR62" s="539">
        <f t="shared" si="77"/>
        <v>43982</v>
      </c>
      <c r="AS62" s="919">
        <v>15</v>
      </c>
    </row>
    <row r="63" spans="2:46" ht="38.25" x14ac:dyDescent="0.2">
      <c r="C63" s="50">
        <v>3</v>
      </c>
      <c r="D63" s="50">
        <v>1</v>
      </c>
      <c r="E63" s="50">
        <v>1</v>
      </c>
      <c r="F63" s="50">
        <v>4</v>
      </c>
      <c r="G63" s="32" t="str">
        <f t="shared" si="10"/>
        <v>3.1.1.4</v>
      </c>
      <c r="H63" s="2" t="str">
        <f>+'3.1 nuevo'!B17</f>
        <v>Diagnóstico, fortalecimiento y propuesta de plan de monitoreo y evaluación para un programa de seguridad en ejecución en cada municipio</v>
      </c>
      <c r="I63" s="825">
        <f t="shared" si="55"/>
        <v>0</v>
      </c>
      <c r="J63" s="729">
        <f t="shared" si="56"/>
        <v>0</v>
      </c>
      <c r="K63" s="730">
        <f t="shared" si="4"/>
        <v>0</v>
      </c>
      <c r="L63" s="894">
        <v>1</v>
      </c>
      <c r="M63" s="895">
        <f t="shared" si="14"/>
        <v>0</v>
      </c>
      <c r="N63" s="37">
        <f>+'3.1 nuevo'!I17</f>
        <v>0</v>
      </c>
      <c r="O63" s="37">
        <f>+'3.1 nuevo'!J17</f>
        <v>0</v>
      </c>
      <c r="P63" s="835">
        <f t="shared" si="40"/>
        <v>0</v>
      </c>
      <c r="Q63" s="38"/>
      <c r="R63" s="38"/>
      <c r="S63" s="38"/>
      <c r="T63" s="38"/>
      <c r="U63" s="37"/>
      <c r="V63" s="38">
        <f t="shared" si="7"/>
        <v>0</v>
      </c>
      <c r="Z63" s="778">
        <v>1</v>
      </c>
      <c r="AE63" s="771">
        <f t="shared" si="15"/>
        <v>0</v>
      </c>
      <c r="AF63" s="337">
        <f t="shared" si="76"/>
        <v>0</v>
      </c>
      <c r="AG63" s="910">
        <f t="shared" si="76"/>
        <v>0</v>
      </c>
      <c r="AH63" s="910">
        <f t="shared" si="76"/>
        <v>0</v>
      </c>
      <c r="AI63" s="910">
        <f t="shared" si="76"/>
        <v>0</v>
      </c>
      <c r="AJ63" s="910"/>
      <c r="AK63" s="910">
        <f t="shared" si="46"/>
        <v>0</v>
      </c>
      <c r="AL63" s="23" t="s">
        <v>423</v>
      </c>
      <c r="AM63" s="919" t="s">
        <v>441</v>
      </c>
      <c r="AN63" s="919" t="s">
        <v>474</v>
      </c>
      <c r="AQ63" s="539">
        <v>43497</v>
      </c>
      <c r="AR63" s="539">
        <f t="shared" si="77"/>
        <v>43982</v>
      </c>
      <c r="AS63" s="919">
        <v>15</v>
      </c>
    </row>
    <row r="64" spans="2:46" ht="39" customHeight="1" x14ac:dyDescent="0.2">
      <c r="C64" s="50">
        <v>3</v>
      </c>
      <c r="D64" s="50">
        <v>1</v>
      </c>
      <c r="E64" s="50">
        <v>1</v>
      </c>
      <c r="F64" s="50">
        <v>5</v>
      </c>
      <c r="G64" s="32" t="str">
        <f t="shared" si="10"/>
        <v>3.1.1.5</v>
      </c>
      <c r="H64" s="2" t="str">
        <f>+'3.1 nuevo'!B18</f>
        <v>Consultoría para desarrollo de propuestas de evaluación local sobre el desempeño policial en cada departamento priorizado</v>
      </c>
      <c r="I64" s="825">
        <f t="shared" si="55"/>
        <v>0</v>
      </c>
      <c r="J64" s="729">
        <f t="shared" si="56"/>
        <v>0</v>
      </c>
      <c r="K64" s="730">
        <f t="shared" si="4"/>
        <v>0</v>
      </c>
      <c r="L64" s="894">
        <v>1</v>
      </c>
      <c r="M64" s="895">
        <f t="shared" si="14"/>
        <v>0</v>
      </c>
      <c r="N64" s="37">
        <f>+'3.1 nuevo'!I18</f>
        <v>0</v>
      </c>
      <c r="O64" s="37">
        <f>+'3.1 nuevo'!J18</f>
        <v>0</v>
      </c>
      <c r="P64" s="835">
        <f t="shared" si="40"/>
        <v>0</v>
      </c>
      <c r="Q64" s="38"/>
      <c r="R64" s="38"/>
      <c r="S64" s="38"/>
      <c r="T64" s="38"/>
      <c r="U64" s="37"/>
      <c r="V64" s="38">
        <f t="shared" si="7"/>
        <v>0</v>
      </c>
      <c r="Z64" s="778">
        <v>1</v>
      </c>
      <c r="AE64" s="771">
        <f t="shared" si="15"/>
        <v>0</v>
      </c>
      <c r="AF64" s="337">
        <f t="shared" si="76"/>
        <v>0</v>
      </c>
      <c r="AG64" s="910">
        <f t="shared" si="76"/>
        <v>0</v>
      </c>
      <c r="AH64" s="910">
        <f t="shared" si="76"/>
        <v>0</v>
      </c>
      <c r="AI64" s="910">
        <f t="shared" si="76"/>
        <v>0</v>
      </c>
      <c r="AJ64" s="910"/>
      <c r="AK64" s="910">
        <f t="shared" si="46"/>
        <v>0</v>
      </c>
      <c r="AL64" s="23" t="s">
        <v>423</v>
      </c>
      <c r="AM64" s="919" t="s">
        <v>600</v>
      </c>
      <c r="AN64" s="919" t="s">
        <v>474</v>
      </c>
      <c r="AO64" s="539">
        <v>43770</v>
      </c>
      <c r="AP64" s="919">
        <v>3</v>
      </c>
      <c r="AQ64" s="539">
        <v>43831</v>
      </c>
      <c r="AR64" s="539">
        <f t="shared" si="77"/>
        <v>44408</v>
      </c>
      <c r="AS64" s="919">
        <v>18</v>
      </c>
    </row>
    <row r="65" spans="2:46" s="507" customFormat="1" ht="25.5" x14ac:dyDescent="0.2">
      <c r="B65" s="505"/>
      <c r="C65" s="506">
        <v>3</v>
      </c>
      <c r="D65" s="506">
        <v>1</v>
      </c>
      <c r="E65" s="506">
        <v>2</v>
      </c>
      <c r="F65" s="506">
        <v>0</v>
      </c>
      <c r="G65" s="505" t="str">
        <f>CONCATENATE(C65,".",D65,".",E65,".",F65)</f>
        <v>3.1.2.0</v>
      </c>
      <c r="H65" s="623" t="s">
        <v>315</v>
      </c>
      <c r="I65" s="826">
        <f t="shared" si="55"/>
        <v>1276500</v>
      </c>
      <c r="J65" s="731">
        <f t="shared" si="56"/>
        <v>0</v>
      </c>
      <c r="K65" s="732">
        <f t="shared" si="4"/>
        <v>1276500</v>
      </c>
      <c r="L65" s="897"/>
      <c r="M65" s="898"/>
      <c r="N65" s="43">
        <f>SUM(N66:N70)</f>
        <v>55000</v>
      </c>
      <c r="O65" s="43">
        <f t="shared" ref="O65" si="78">SUM(O66:O70)</f>
        <v>1221500</v>
      </c>
      <c r="P65" s="834">
        <f t="shared" si="40"/>
        <v>1276500</v>
      </c>
      <c r="Q65" s="43">
        <f t="shared" ref="Q65:U65" si="79">SUM(Q66:Q70)</f>
        <v>0</v>
      </c>
      <c r="R65" s="43">
        <f t="shared" si="79"/>
        <v>0</v>
      </c>
      <c r="S65" s="43">
        <f t="shared" si="79"/>
        <v>0</v>
      </c>
      <c r="T65" s="43">
        <f t="shared" si="79"/>
        <v>0</v>
      </c>
      <c r="U65" s="43">
        <f t="shared" si="79"/>
        <v>0</v>
      </c>
      <c r="V65" s="43">
        <f t="shared" si="7"/>
        <v>0</v>
      </c>
      <c r="W65" s="505">
        <f>+'Matriz de Resultados'!B43</f>
        <v>3.2</v>
      </c>
      <c r="Z65" s="779"/>
      <c r="AA65" s="846"/>
      <c r="AB65" s="772"/>
      <c r="AC65" s="772"/>
      <c r="AD65" s="772"/>
      <c r="AE65" s="773">
        <f t="shared" si="15"/>
        <v>0</v>
      </c>
      <c r="AF65" s="784"/>
      <c r="AG65" s="911"/>
      <c r="AH65" s="911"/>
      <c r="AI65" s="911"/>
      <c r="AJ65" s="911"/>
      <c r="AK65" s="912">
        <f t="shared" si="46"/>
        <v>0</v>
      </c>
      <c r="AM65" s="505"/>
      <c r="AN65" s="505"/>
      <c r="AO65" s="505"/>
      <c r="AP65" s="505"/>
      <c r="AQ65" s="505"/>
      <c r="AR65" s="505"/>
      <c r="AS65" s="505"/>
      <c r="AT65" s="505"/>
    </row>
    <row r="66" spans="2:46" ht="42.75" customHeight="1" x14ac:dyDescent="0.2">
      <c r="C66" s="50">
        <v>3</v>
      </c>
      <c r="D66" s="50">
        <v>1</v>
      </c>
      <c r="E66" s="50">
        <v>2</v>
      </c>
      <c r="F66" s="50">
        <v>1</v>
      </c>
      <c r="G66" s="32" t="str">
        <f>CONCATENATE(C66,".",D66,".",E66,".",F66)</f>
        <v>3.1.2.1</v>
      </c>
      <c r="H66" s="2" t="str">
        <f>+'3.1 nuevo'!B20</f>
        <v>Consultorías de elaboración de protocolos de gestión de datos de homicidios y robos en los departamentos priorizados</v>
      </c>
      <c r="I66" s="825">
        <f t="shared" si="55"/>
        <v>225000</v>
      </c>
      <c r="J66" s="729">
        <f t="shared" si="56"/>
        <v>0</v>
      </c>
      <c r="K66" s="730">
        <f t="shared" si="4"/>
        <v>225000</v>
      </c>
      <c r="L66" s="894">
        <v>1</v>
      </c>
      <c r="M66" s="895">
        <f t="shared" si="14"/>
        <v>0</v>
      </c>
      <c r="N66" s="37">
        <f>+'3.1 nuevo'!I20</f>
        <v>25000</v>
      </c>
      <c r="O66" s="37">
        <f>+'3.1 nuevo'!J20</f>
        <v>200000</v>
      </c>
      <c r="P66" s="835">
        <f t="shared" si="40"/>
        <v>225000</v>
      </c>
      <c r="Q66" s="38"/>
      <c r="R66" s="38"/>
      <c r="S66" s="38"/>
      <c r="T66" s="38"/>
      <c r="U66" s="37"/>
      <c r="V66" s="38">
        <f t="shared" si="7"/>
        <v>0</v>
      </c>
      <c r="Z66" s="778">
        <f>+I66/AE66</f>
        <v>15000</v>
      </c>
      <c r="AB66" s="59">
        <v>3</v>
      </c>
      <c r="AC66" s="59">
        <v>6</v>
      </c>
      <c r="AD66" s="59">
        <v>6</v>
      </c>
      <c r="AE66" s="771">
        <f t="shared" si="15"/>
        <v>15</v>
      </c>
      <c r="AF66" s="337">
        <f t="shared" ref="AF66:AI70" si="80">+$Z66*AA66</f>
        <v>0</v>
      </c>
      <c r="AG66" s="910">
        <f t="shared" si="80"/>
        <v>45000</v>
      </c>
      <c r="AH66" s="910">
        <f t="shared" si="80"/>
        <v>90000</v>
      </c>
      <c r="AI66" s="910">
        <f t="shared" si="80"/>
        <v>90000</v>
      </c>
      <c r="AJ66" s="910"/>
      <c r="AK66" s="910">
        <f t="shared" si="46"/>
        <v>225000</v>
      </c>
      <c r="AL66" s="23" t="s">
        <v>423</v>
      </c>
      <c r="AM66" s="919" t="s">
        <v>442</v>
      </c>
      <c r="AN66" s="919" t="s">
        <v>474</v>
      </c>
      <c r="AQ66" s="539">
        <v>43009</v>
      </c>
      <c r="AR66" s="539">
        <f t="shared" ref="AR66:AR70" si="81">EOMONTH(AQ66,AS66)</f>
        <v>43646</v>
      </c>
      <c r="AS66" s="919">
        <v>20</v>
      </c>
    </row>
    <row r="67" spans="2:46" ht="25.5" x14ac:dyDescent="0.2">
      <c r="C67" s="50">
        <v>3</v>
      </c>
      <c r="D67" s="50">
        <v>1</v>
      </c>
      <c r="E67" s="50">
        <v>2</v>
      </c>
      <c r="F67" s="50">
        <v>2</v>
      </c>
      <c r="G67" s="32" t="str">
        <f t="shared" ref="G67:G70" si="82">CONCATENATE(C67,".",D67,".",E67,".",F67)</f>
        <v>3.1.2.2</v>
      </c>
      <c r="H67" s="2" t="str">
        <f>+'3.1 nuevo'!B21</f>
        <v>Adquisición de equipamiento, mobiliario y materiales para los observatorios</v>
      </c>
      <c r="I67" s="825">
        <f t="shared" si="55"/>
        <v>551500</v>
      </c>
      <c r="J67" s="729">
        <f t="shared" si="56"/>
        <v>0</v>
      </c>
      <c r="K67" s="730">
        <f t="shared" si="4"/>
        <v>551500</v>
      </c>
      <c r="L67" s="894">
        <v>1</v>
      </c>
      <c r="M67" s="895">
        <f t="shared" si="14"/>
        <v>0</v>
      </c>
      <c r="N67" s="37">
        <f>+'3.1 nuevo'!I21</f>
        <v>30000</v>
      </c>
      <c r="O67" s="37">
        <f>+'3.1 nuevo'!J21</f>
        <v>521500</v>
      </c>
      <c r="P67" s="835">
        <f t="shared" ref="P67:P82" si="83">SUM(N67:O67)</f>
        <v>551500</v>
      </c>
      <c r="Q67" s="38"/>
      <c r="R67" s="38"/>
      <c r="S67" s="38"/>
      <c r="T67" s="38"/>
      <c r="U67" s="37"/>
      <c r="V67" s="38">
        <f t="shared" si="7"/>
        <v>0</v>
      </c>
      <c r="Z67" s="778">
        <f>+I67/AE67</f>
        <v>36766.666666666664</v>
      </c>
      <c r="AB67" s="59">
        <v>3</v>
      </c>
      <c r="AC67" s="59">
        <v>6</v>
      </c>
      <c r="AD67" s="59">
        <v>6</v>
      </c>
      <c r="AE67" s="771">
        <f t="shared" si="15"/>
        <v>15</v>
      </c>
      <c r="AF67" s="337">
        <f t="shared" si="80"/>
        <v>0</v>
      </c>
      <c r="AG67" s="910">
        <f t="shared" si="80"/>
        <v>110300</v>
      </c>
      <c r="AH67" s="910">
        <f t="shared" si="80"/>
        <v>220600</v>
      </c>
      <c r="AI67" s="910">
        <f t="shared" si="80"/>
        <v>220600</v>
      </c>
      <c r="AJ67" s="910"/>
      <c r="AK67" s="910">
        <f t="shared" si="46"/>
        <v>551500</v>
      </c>
      <c r="AL67" s="23" t="s">
        <v>421</v>
      </c>
      <c r="AM67" s="919" t="s">
        <v>155</v>
      </c>
      <c r="AN67" s="919" t="s">
        <v>474</v>
      </c>
      <c r="AQ67" s="539">
        <v>43009</v>
      </c>
      <c r="AR67" s="539">
        <f t="shared" si="81"/>
        <v>43646</v>
      </c>
      <c r="AS67" s="919">
        <v>20</v>
      </c>
    </row>
    <row r="68" spans="2:46" x14ac:dyDescent="0.2">
      <c r="C68" s="50">
        <v>3</v>
      </c>
      <c r="D68" s="50">
        <v>1</v>
      </c>
      <c r="E68" s="50">
        <v>2</v>
      </c>
      <c r="F68" s="50">
        <v>3</v>
      </c>
      <c r="G68" s="32" t="str">
        <f t="shared" si="82"/>
        <v>3.1.2.3</v>
      </c>
      <c r="H68" s="2" t="str">
        <f>+'3.1 nuevo'!B26</f>
        <v>Adquisición de licencias de software</v>
      </c>
      <c r="I68" s="825">
        <f t="shared" si="55"/>
        <v>400000</v>
      </c>
      <c r="J68" s="729">
        <f t="shared" si="56"/>
        <v>0</v>
      </c>
      <c r="K68" s="730">
        <f t="shared" si="4"/>
        <v>400000</v>
      </c>
      <c r="L68" s="894">
        <v>1</v>
      </c>
      <c r="M68" s="895">
        <f t="shared" si="14"/>
        <v>0</v>
      </c>
      <c r="N68" s="37">
        <f>+'3.1 nuevo'!I26</f>
        <v>0</v>
      </c>
      <c r="O68" s="37">
        <f>+'3.1 nuevo'!J26</f>
        <v>400000</v>
      </c>
      <c r="P68" s="835">
        <f t="shared" si="83"/>
        <v>400000</v>
      </c>
      <c r="Q68" s="38"/>
      <c r="R68" s="38"/>
      <c r="S68" s="38"/>
      <c r="T68" s="38"/>
      <c r="U68" s="37"/>
      <c r="V68" s="38">
        <f t="shared" ref="V68:V82" si="84">SUM(Q68:U68)</f>
        <v>0</v>
      </c>
      <c r="Z68" s="778">
        <f>+I68/AE68</f>
        <v>66666.666666666672</v>
      </c>
      <c r="AC68" s="59">
        <v>5</v>
      </c>
      <c r="AD68" s="59">
        <v>1</v>
      </c>
      <c r="AE68" s="771">
        <f t="shared" si="15"/>
        <v>6</v>
      </c>
      <c r="AF68" s="337">
        <f t="shared" si="80"/>
        <v>0</v>
      </c>
      <c r="AG68" s="910">
        <f t="shared" si="80"/>
        <v>0</v>
      </c>
      <c r="AH68" s="910">
        <f t="shared" si="80"/>
        <v>333333.33333333337</v>
      </c>
      <c r="AI68" s="910">
        <f t="shared" si="80"/>
        <v>66666.666666666672</v>
      </c>
      <c r="AJ68" s="910"/>
      <c r="AK68" s="910">
        <f t="shared" si="46"/>
        <v>400000.00000000006</v>
      </c>
      <c r="AL68" s="23" t="s">
        <v>421</v>
      </c>
      <c r="AM68" s="919" t="s">
        <v>464</v>
      </c>
      <c r="AN68" s="919" t="s">
        <v>474</v>
      </c>
      <c r="AQ68" s="539">
        <v>43132</v>
      </c>
      <c r="AR68" s="539">
        <f t="shared" si="81"/>
        <v>43312</v>
      </c>
      <c r="AS68" s="919">
        <v>5</v>
      </c>
    </row>
    <row r="69" spans="2:46" x14ac:dyDescent="0.2">
      <c r="C69" s="50">
        <v>3</v>
      </c>
      <c r="D69" s="50">
        <v>1</v>
      </c>
      <c r="E69" s="50">
        <v>2</v>
      </c>
      <c r="F69" s="50">
        <v>4</v>
      </c>
      <c r="G69" s="32" t="str">
        <f t="shared" si="82"/>
        <v>3.1.2.4</v>
      </c>
      <c r="H69" s="2" t="str">
        <f>+'3.1 nuevo'!B27</f>
        <v>Servicio de diseño de una página web para cada observatorio</v>
      </c>
      <c r="I69" s="825">
        <f t="shared" si="55"/>
        <v>0</v>
      </c>
      <c r="J69" s="729">
        <f t="shared" si="56"/>
        <v>0</v>
      </c>
      <c r="K69" s="730">
        <f t="shared" si="4"/>
        <v>0</v>
      </c>
      <c r="L69" s="894">
        <v>1</v>
      </c>
      <c r="M69" s="895">
        <f t="shared" si="14"/>
        <v>0</v>
      </c>
      <c r="N69" s="37">
        <f>+'3.1 nuevo'!I27</f>
        <v>0</v>
      </c>
      <c r="O69" s="37">
        <f>+'3.1 nuevo'!J27</f>
        <v>0</v>
      </c>
      <c r="P69" s="835">
        <f t="shared" si="83"/>
        <v>0</v>
      </c>
      <c r="Q69" s="38"/>
      <c r="R69" s="38"/>
      <c r="S69" s="38"/>
      <c r="T69" s="38"/>
      <c r="U69" s="37"/>
      <c r="V69" s="38">
        <f t="shared" si="84"/>
        <v>0</v>
      </c>
      <c r="Z69" s="778">
        <v>1</v>
      </c>
      <c r="AE69" s="771">
        <f t="shared" si="15"/>
        <v>0</v>
      </c>
      <c r="AF69" s="337">
        <f t="shared" si="80"/>
        <v>0</v>
      </c>
      <c r="AG69" s="910">
        <f t="shared" si="80"/>
        <v>0</v>
      </c>
      <c r="AH69" s="910">
        <f t="shared" si="80"/>
        <v>0</v>
      </c>
      <c r="AI69" s="910">
        <f t="shared" si="80"/>
        <v>0</v>
      </c>
      <c r="AJ69" s="910"/>
      <c r="AK69" s="910">
        <f t="shared" si="46"/>
        <v>0</v>
      </c>
      <c r="AL69" s="23" t="s">
        <v>423</v>
      </c>
      <c r="AM69" s="919" t="s">
        <v>465</v>
      </c>
      <c r="AN69" s="919" t="s">
        <v>474</v>
      </c>
      <c r="AQ69" s="539">
        <v>43497</v>
      </c>
      <c r="AR69" s="539">
        <f t="shared" si="81"/>
        <v>43677</v>
      </c>
      <c r="AS69" s="919">
        <v>5</v>
      </c>
    </row>
    <row r="70" spans="2:46" ht="25.5" x14ac:dyDescent="0.2">
      <c r="C70" s="50">
        <v>3</v>
      </c>
      <c r="D70" s="50">
        <v>1</v>
      </c>
      <c r="E70" s="50">
        <v>2</v>
      </c>
      <c r="F70" s="50">
        <v>5</v>
      </c>
      <c r="G70" s="32" t="str">
        <f t="shared" si="82"/>
        <v>3.1.2.5</v>
      </c>
      <c r="H70" s="2" t="str">
        <f>+'3.1 nuevo'!B28</f>
        <v>Diseño e implementación de cursos de capacitación para los integrantes de los observatorios</v>
      </c>
      <c r="I70" s="825">
        <f t="shared" si="55"/>
        <v>100000</v>
      </c>
      <c r="J70" s="729">
        <f t="shared" si="56"/>
        <v>0</v>
      </c>
      <c r="K70" s="730">
        <f t="shared" si="4"/>
        <v>100000</v>
      </c>
      <c r="L70" s="894">
        <v>1</v>
      </c>
      <c r="M70" s="895">
        <f t="shared" si="14"/>
        <v>0</v>
      </c>
      <c r="N70" s="37">
        <f>+'3.1 nuevo'!I28</f>
        <v>0</v>
      </c>
      <c r="O70" s="37">
        <f>+'3.1 nuevo'!J28</f>
        <v>100000</v>
      </c>
      <c r="P70" s="835">
        <f t="shared" si="83"/>
        <v>100000</v>
      </c>
      <c r="Q70" s="38"/>
      <c r="R70" s="38"/>
      <c r="S70" s="38"/>
      <c r="T70" s="38"/>
      <c r="U70" s="37"/>
      <c r="V70" s="38">
        <f t="shared" si="84"/>
        <v>0</v>
      </c>
      <c r="Z70" s="778">
        <f>+I70/AE70</f>
        <v>9090.9090909090901</v>
      </c>
      <c r="AC70" s="59">
        <v>5</v>
      </c>
      <c r="AD70" s="59">
        <v>6</v>
      </c>
      <c r="AE70" s="771">
        <f t="shared" si="15"/>
        <v>11</v>
      </c>
      <c r="AF70" s="337">
        <f t="shared" si="80"/>
        <v>0</v>
      </c>
      <c r="AG70" s="910">
        <f t="shared" si="80"/>
        <v>0</v>
      </c>
      <c r="AH70" s="910">
        <f t="shared" si="80"/>
        <v>45454.545454545449</v>
      </c>
      <c r="AI70" s="910">
        <f t="shared" si="80"/>
        <v>54545.454545454544</v>
      </c>
      <c r="AJ70" s="910"/>
      <c r="AK70" s="910">
        <f t="shared" ref="AK70:AK82" si="85">SUM(AF70:AJ70)</f>
        <v>100000</v>
      </c>
      <c r="AL70" s="23" t="s">
        <v>178</v>
      </c>
      <c r="AM70" s="539"/>
      <c r="AQ70" s="539">
        <v>43132</v>
      </c>
      <c r="AR70" s="539">
        <f t="shared" si="81"/>
        <v>43769</v>
      </c>
      <c r="AS70" s="919">
        <v>20</v>
      </c>
    </row>
    <row r="71" spans="2:46" s="54" customFormat="1" x14ac:dyDescent="0.2">
      <c r="B71" s="51"/>
      <c r="C71" s="52">
        <v>3</v>
      </c>
      <c r="D71" s="52">
        <v>2</v>
      </c>
      <c r="E71" s="52">
        <v>0</v>
      </c>
      <c r="F71" s="52">
        <v>0</v>
      </c>
      <c r="G71" s="51" t="str">
        <f t="shared" si="10"/>
        <v>3.2.0.0</v>
      </c>
      <c r="H71" s="819" t="s">
        <v>52</v>
      </c>
      <c r="I71" s="828">
        <f t="shared" si="55"/>
        <v>3763405</v>
      </c>
      <c r="J71" s="725">
        <f t="shared" si="56"/>
        <v>0</v>
      </c>
      <c r="K71" s="726">
        <f t="shared" si="4"/>
        <v>3763405</v>
      </c>
      <c r="L71" s="901"/>
      <c r="M71" s="902"/>
      <c r="N71" s="53">
        <f>SUM(N72:N74)</f>
        <v>525000</v>
      </c>
      <c r="O71" s="53">
        <f>SUM(O72:O74)</f>
        <v>3238405</v>
      </c>
      <c r="P71" s="833">
        <f t="shared" si="83"/>
        <v>3763405</v>
      </c>
      <c r="Q71" s="53">
        <f t="shared" ref="Q71:T71" si="86">SUM(Q72:Q74)</f>
        <v>0</v>
      </c>
      <c r="R71" s="53">
        <f t="shared" si="86"/>
        <v>0</v>
      </c>
      <c r="S71" s="53">
        <f t="shared" si="86"/>
        <v>0</v>
      </c>
      <c r="T71" s="53">
        <f t="shared" si="86"/>
        <v>0</v>
      </c>
      <c r="U71" s="53">
        <f>SUM(U72:U74)</f>
        <v>0</v>
      </c>
      <c r="V71" s="53">
        <f t="shared" si="84"/>
        <v>0</v>
      </c>
      <c r="W71" s="840"/>
      <c r="Z71" s="780"/>
      <c r="AA71" s="847"/>
      <c r="AB71" s="774"/>
      <c r="AC71" s="774"/>
      <c r="AD71" s="774"/>
      <c r="AE71" s="775">
        <f t="shared" ref="AE71:AE78" si="87">SUM(AA71:AD71)</f>
        <v>0</v>
      </c>
      <c r="AF71" s="785"/>
      <c r="AG71" s="913"/>
      <c r="AH71" s="913"/>
      <c r="AI71" s="913"/>
      <c r="AJ71" s="913"/>
      <c r="AK71" s="914">
        <f t="shared" si="85"/>
        <v>0</v>
      </c>
      <c r="AM71" s="51"/>
      <c r="AN71" s="51"/>
      <c r="AO71" s="51"/>
      <c r="AP71" s="51"/>
      <c r="AQ71" s="51"/>
      <c r="AR71" s="51"/>
      <c r="AS71" s="51"/>
      <c r="AT71" s="51"/>
    </row>
    <row r="72" spans="2:46" s="463" customFormat="1" ht="19.5" customHeight="1" x14ac:dyDescent="0.2">
      <c r="B72" s="490"/>
      <c r="C72" s="491">
        <v>3</v>
      </c>
      <c r="D72" s="491">
        <v>2</v>
      </c>
      <c r="E72" s="491">
        <v>1</v>
      </c>
      <c r="F72" s="491">
        <v>1</v>
      </c>
      <c r="G72" s="750" t="str">
        <f t="shared" si="10"/>
        <v>3.2.1.1</v>
      </c>
      <c r="H72" s="622" t="s">
        <v>51</v>
      </c>
      <c r="I72" s="829">
        <f t="shared" si="55"/>
        <v>1995000</v>
      </c>
      <c r="J72" s="733">
        <f t="shared" si="56"/>
        <v>0</v>
      </c>
      <c r="K72" s="734">
        <f t="shared" ref="K72:K82" si="88">SUM(I72:J72)</f>
        <v>1995000</v>
      </c>
      <c r="L72" s="900">
        <v>1</v>
      </c>
      <c r="M72" s="904">
        <f t="shared" si="14"/>
        <v>0</v>
      </c>
      <c r="N72" s="492">
        <f>+'3.2 ultimo'!K6</f>
        <v>495000</v>
      </c>
      <c r="O72" s="492">
        <f>+'3.2 ultimo'!L6</f>
        <v>1500000</v>
      </c>
      <c r="P72" s="835">
        <f t="shared" si="83"/>
        <v>1995000</v>
      </c>
      <c r="Q72" s="38"/>
      <c r="R72" s="38"/>
      <c r="S72" s="38"/>
      <c r="T72" s="38"/>
      <c r="U72" s="492"/>
      <c r="V72" s="38">
        <f t="shared" si="84"/>
        <v>0</v>
      </c>
      <c r="W72" s="490">
        <f>+'Matriz de Resultados'!B44</f>
        <v>3.3</v>
      </c>
      <c r="Z72" s="778">
        <f>+I72/AE72</f>
        <v>133000</v>
      </c>
      <c r="AA72" s="845"/>
      <c r="AB72" s="59">
        <v>3</v>
      </c>
      <c r="AC72" s="59">
        <v>6</v>
      </c>
      <c r="AD72" s="59">
        <v>6</v>
      </c>
      <c r="AE72" s="771">
        <f t="shared" si="87"/>
        <v>15</v>
      </c>
      <c r="AF72" s="337">
        <f t="shared" ref="AF72:AI73" si="89">+$Z72*AA72</f>
        <v>0</v>
      </c>
      <c r="AG72" s="910">
        <f t="shared" si="89"/>
        <v>399000</v>
      </c>
      <c r="AH72" s="910">
        <f t="shared" si="89"/>
        <v>798000</v>
      </c>
      <c r="AI72" s="910">
        <f t="shared" si="89"/>
        <v>798000</v>
      </c>
      <c r="AJ72" s="910"/>
      <c r="AK72" s="910">
        <f t="shared" si="85"/>
        <v>1995000</v>
      </c>
      <c r="AL72" s="463" t="s">
        <v>421</v>
      </c>
      <c r="AM72" s="490" t="s">
        <v>465</v>
      </c>
      <c r="AN72" s="919" t="s">
        <v>440</v>
      </c>
      <c r="AO72" s="490"/>
      <c r="AP72" s="490"/>
      <c r="AQ72" s="751">
        <v>43009</v>
      </c>
      <c r="AR72" s="751">
        <f t="shared" ref="AR72:AR73" si="90">EOMONTH(AQ72,AS72)</f>
        <v>43646</v>
      </c>
      <c r="AS72" s="490">
        <v>20</v>
      </c>
      <c r="AT72" s="490"/>
    </row>
    <row r="73" spans="2:46" s="463" customFormat="1" ht="19.5" customHeight="1" x14ac:dyDescent="0.2">
      <c r="B73" s="490"/>
      <c r="C73" s="491">
        <v>3</v>
      </c>
      <c r="D73" s="491">
        <v>2</v>
      </c>
      <c r="E73" s="491">
        <v>2</v>
      </c>
      <c r="F73" s="491">
        <v>1</v>
      </c>
      <c r="G73" s="750" t="str">
        <f t="shared" si="10"/>
        <v>3.2.2.1</v>
      </c>
      <c r="H73" s="622" t="s">
        <v>555</v>
      </c>
      <c r="I73" s="829">
        <f t="shared" si="55"/>
        <v>720000</v>
      </c>
      <c r="J73" s="733">
        <f t="shared" si="56"/>
        <v>0</v>
      </c>
      <c r="K73" s="734">
        <f t="shared" si="88"/>
        <v>720000</v>
      </c>
      <c r="L73" s="900">
        <v>1</v>
      </c>
      <c r="M73" s="904">
        <f t="shared" ref="M73:M81" si="91">100%-L73</f>
        <v>0</v>
      </c>
      <c r="N73" s="492">
        <f>+'3.2 ultimo'!K11</f>
        <v>0</v>
      </c>
      <c r="O73" s="492">
        <f>+'3.2 ultimo'!L11</f>
        <v>720000</v>
      </c>
      <c r="P73" s="835">
        <f t="shared" si="83"/>
        <v>720000</v>
      </c>
      <c r="Q73" s="38"/>
      <c r="R73" s="38"/>
      <c r="S73" s="38"/>
      <c r="T73" s="38"/>
      <c r="U73" s="492"/>
      <c r="V73" s="38">
        <f t="shared" si="84"/>
        <v>0</v>
      </c>
      <c r="W73" s="490">
        <f>+'Matriz de Resultados'!B45</f>
        <v>3.4</v>
      </c>
      <c r="Z73" s="778">
        <f>+I73/AE73</f>
        <v>80000</v>
      </c>
      <c r="AA73" s="845"/>
      <c r="AB73" s="59"/>
      <c r="AC73" s="59">
        <v>3</v>
      </c>
      <c r="AD73" s="59">
        <v>6</v>
      </c>
      <c r="AE73" s="771">
        <f t="shared" si="87"/>
        <v>9</v>
      </c>
      <c r="AF73" s="337">
        <f t="shared" si="89"/>
        <v>0</v>
      </c>
      <c r="AG73" s="910">
        <f t="shared" si="89"/>
        <v>0</v>
      </c>
      <c r="AH73" s="910">
        <f t="shared" si="89"/>
        <v>240000</v>
      </c>
      <c r="AI73" s="910">
        <f t="shared" si="89"/>
        <v>480000</v>
      </c>
      <c r="AJ73" s="910"/>
      <c r="AK73" s="910">
        <f t="shared" si="85"/>
        <v>720000</v>
      </c>
      <c r="AL73" s="463" t="s">
        <v>421</v>
      </c>
      <c r="AM73" s="490" t="s">
        <v>465</v>
      </c>
      <c r="AN73" s="919" t="s">
        <v>440</v>
      </c>
      <c r="AO73" s="490"/>
      <c r="AP73" s="490"/>
      <c r="AQ73" s="751">
        <v>43191</v>
      </c>
      <c r="AR73" s="751">
        <f t="shared" si="90"/>
        <v>43769</v>
      </c>
      <c r="AS73" s="490">
        <v>18</v>
      </c>
      <c r="AT73" s="490"/>
    </row>
    <row r="74" spans="2:46" s="507" customFormat="1" ht="25.5" x14ac:dyDescent="0.2">
      <c r="B74" s="505"/>
      <c r="C74" s="506">
        <v>3</v>
      </c>
      <c r="D74" s="506">
        <v>2</v>
      </c>
      <c r="E74" s="506">
        <v>3</v>
      </c>
      <c r="F74" s="506">
        <v>0</v>
      </c>
      <c r="G74" s="505" t="str">
        <f t="shared" si="10"/>
        <v>3.2.3.0</v>
      </c>
      <c r="H74" s="623" t="s">
        <v>21</v>
      </c>
      <c r="I74" s="826">
        <f t="shared" si="55"/>
        <v>1048405</v>
      </c>
      <c r="J74" s="731">
        <f t="shared" si="56"/>
        <v>0</v>
      </c>
      <c r="K74" s="732">
        <f t="shared" si="88"/>
        <v>1048405</v>
      </c>
      <c r="L74" s="897"/>
      <c r="M74" s="898"/>
      <c r="N74" s="43">
        <f>SUM(N75:N78)</f>
        <v>30000</v>
      </c>
      <c r="O74" s="43">
        <f t="shared" ref="O74:U74" si="92">SUM(O75:O78)</f>
        <v>1018405</v>
      </c>
      <c r="P74" s="834">
        <f t="shared" si="83"/>
        <v>1048405</v>
      </c>
      <c r="Q74" s="43">
        <f t="shared" si="92"/>
        <v>0</v>
      </c>
      <c r="R74" s="43">
        <f t="shared" si="92"/>
        <v>0</v>
      </c>
      <c r="S74" s="43">
        <f t="shared" si="92"/>
        <v>0</v>
      </c>
      <c r="T74" s="43">
        <f t="shared" si="92"/>
        <v>0</v>
      </c>
      <c r="U74" s="43">
        <f t="shared" si="92"/>
        <v>0</v>
      </c>
      <c r="V74" s="43">
        <f t="shared" si="84"/>
        <v>0</v>
      </c>
      <c r="W74" s="505">
        <v>3.5</v>
      </c>
      <c r="Z74" s="779"/>
      <c r="AA74" s="846"/>
      <c r="AB74" s="772"/>
      <c r="AC74" s="772"/>
      <c r="AD74" s="772"/>
      <c r="AE74" s="773">
        <f t="shared" si="87"/>
        <v>0</v>
      </c>
      <c r="AF74" s="784"/>
      <c r="AG74" s="911"/>
      <c r="AH74" s="911"/>
      <c r="AI74" s="911"/>
      <c r="AJ74" s="911"/>
      <c r="AK74" s="912">
        <f t="shared" si="85"/>
        <v>0</v>
      </c>
      <c r="AM74" s="505"/>
      <c r="AN74" s="505"/>
      <c r="AO74" s="505"/>
      <c r="AP74" s="505"/>
      <c r="AQ74" s="505"/>
      <c r="AR74" s="505"/>
      <c r="AS74" s="505"/>
      <c r="AT74" s="505"/>
    </row>
    <row r="75" spans="2:46" ht="25.5" x14ac:dyDescent="0.2">
      <c r="C75" s="50">
        <v>3</v>
      </c>
      <c r="D75" s="50">
        <v>2</v>
      </c>
      <c r="E75" s="50">
        <v>3</v>
      </c>
      <c r="F75" s="50">
        <v>1</v>
      </c>
      <c r="G75" s="207" t="str">
        <f t="shared" si="10"/>
        <v>3.2.3.1</v>
      </c>
      <c r="H75" s="2" t="str">
        <f>+'3.2.3 RP'!G18</f>
        <v>Programa de prevención de factores de riesgo de violencia en niños de 2 a 11 años (Triple P) en 5 barrios</v>
      </c>
      <c r="I75" s="825">
        <f t="shared" si="55"/>
        <v>141950</v>
      </c>
      <c r="J75" s="729">
        <f t="shared" si="56"/>
        <v>0</v>
      </c>
      <c r="K75" s="730">
        <f t="shared" si="88"/>
        <v>141950</v>
      </c>
      <c r="L75" s="894">
        <v>1</v>
      </c>
      <c r="M75" s="895">
        <f t="shared" si="91"/>
        <v>0</v>
      </c>
      <c r="N75" s="37">
        <f>+'3.2 ultimo'!K26</f>
        <v>0</v>
      </c>
      <c r="O75" s="37">
        <f>+'3.2 ultimo'!L26</f>
        <v>141950</v>
      </c>
      <c r="P75" s="835">
        <f t="shared" si="83"/>
        <v>141950</v>
      </c>
      <c r="Q75" s="38"/>
      <c r="R75" s="38"/>
      <c r="S75" s="38"/>
      <c r="T75" s="38"/>
      <c r="U75" s="37"/>
      <c r="V75" s="38">
        <f t="shared" si="84"/>
        <v>0</v>
      </c>
      <c r="Z75" s="778">
        <f>+I75/AE75</f>
        <v>15772.222222222223</v>
      </c>
      <c r="AC75" s="59">
        <v>3</v>
      </c>
      <c r="AD75" s="59">
        <v>6</v>
      </c>
      <c r="AE75" s="771">
        <f t="shared" si="87"/>
        <v>9</v>
      </c>
      <c r="AF75" s="337">
        <f t="shared" ref="AF75:AI78" si="93">+$Z75*AA75</f>
        <v>0</v>
      </c>
      <c r="AG75" s="910">
        <f t="shared" si="93"/>
        <v>0</v>
      </c>
      <c r="AH75" s="910">
        <f t="shared" si="93"/>
        <v>47316.666666666672</v>
      </c>
      <c r="AI75" s="910">
        <f t="shared" si="93"/>
        <v>94633.333333333343</v>
      </c>
      <c r="AJ75" s="910"/>
      <c r="AK75" s="910">
        <f t="shared" si="85"/>
        <v>141950</v>
      </c>
      <c r="AL75" s="23" t="s">
        <v>423</v>
      </c>
      <c r="AM75" s="919" t="s">
        <v>600</v>
      </c>
      <c r="AN75" s="919" t="s">
        <v>474</v>
      </c>
      <c r="AQ75" s="539">
        <v>43191</v>
      </c>
      <c r="AR75" s="539">
        <f t="shared" ref="AR75:AR78" si="94">EOMONTH(AQ75,AS75)</f>
        <v>43769</v>
      </c>
      <c r="AS75" s="919">
        <v>18</v>
      </c>
      <c r="AT75" s="919">
        <v>5</v>
      </c>
    </row>
    <row r="76" spans="2:46" ht="25.5" x14ac:dyDescent="0.2">
      <c r="C76" s="50">
        <v>3</v>
      </c>
      <c r="D76" s="50">
        <v>2</v>
      </c>
      <c r="E76" s="50">
        <v>3</v>
      </c>
      <c r="F76" s="50">
        <v>2</v>
      </c>
      <c r="G76" s="207" t="str">
        <f t="shared" si="10"/>
        <v>3.2.3.2</v>
      </c>
      <c r="H76" s="2" t="str">
        <f>+'3.2.3 RP'!G22</f>
        <v>Programa de prevención de la violencia contra la mujer (SASA!) en 5 barrios</v>
      </c>
      <c r="I76" s="825">
        <f t="shared" si="55"/>
        <v>141200</v>
      </c>
      <c r="J76" s="729">
        <f t="shared" si="56"/>
        <v>0</v>
      </c>
      <c r="K76" s="730">
        <f t="shared" si="88"/>
        <v>141200</v>
      </c>
      <c r="L76" s="894">
        <v>1</v>
      </c>
      <c r="M76" s="895">
        <f t="shared" si="91"/>
        <v>0</v>
      </c>
      <c r="N76" s="37">
        <f>+'3.2 ultimo'!K31</f>
        <v>0</v>
      </c>
      <c r="O76" s="37">
        <f>+'3.2 ultimo'!L31</f>
        <v>141200</v>
      </c>
      <c r="P76" s="835">
        <f t="shared" si="83"/>
        <v>141200</v>
      </c>
      <c r="Q76" s="38"/>
      <c r="R76" s="38"/>
      <c r="S76" s="38"/>
      <c r="T76" s="38"/>
      <c r="U76" s="37"/>
      <c r="V76" s="38">
        <f t="shared" si="84"/>
        <v>0</v>
      </c>
      <c r="Z76" s="778">
        <f>+I76/AE76</f>
        <v>15688.888888888889</v>
      </c>
      <c r="AC76" s="59">
        <v>3</v>
      </c>
      <c r="AD76" s="59">
        <v>6</v>
      </c>
      <c r="AE76" s="771">
        <f t="shared" si="87"/>
        <v>9</v>
      </c>
      <c r="AF76" s="337">
        <f t="shared" si="93"/>
        <v>0</v>
      </c>
      <c r="AG76" s="910">
        <f t="shared" si="93"/>
        <v>0</v>
      </c>
      <c r="AH76" s="910">
        <f t="shared" si="93"/>
        <v>47066.666666666664</v>
      </c>
      <c r="AI76" s="910">
        <f t="shared" si="93"/>
        <v>94133.333333333328</v>
      </c>
      <c r="AJ76" s="910"/>
      <c r="AK76" s="910">
        <f t="shared" si="85"/>
        <v>141200</v>
      </c>
      <c r="AL76" s="23" t="s">
        <v>423</v>
      </c>
      <c r="AM76" s="919" t="s">
        <v>600</v>
      </c>
      <c r="AN76" s="919" t="s">
        <v>474</v>
      </c>
      <c r="AQ76" s="539">
        <v>43191</v>
      </c>
      <c r="AR76" s="539">
        <f t="shared" si="94"/>
        <v>44012</v>
      </c>
      <c r="AS76" s="919">
        <v>26</v>
      </c>
      <c r="AT76" s="919">
        <v>5</v>
      </c>
    </row>
    <row r="77" spans="2:46" ht="38.25" x14ac:dyDescent="0.2">
      <c r="C77" s="50">
        <v>3</v>
      </c>
      <c r="D77" s="50">
        <v>2</v>
      </c>
      <c r="E77" s="50">
        <v>3</v>
      </c>
      <c r="F77" s="50">
        <v>3</v>
      </c>
      <c r="G77" s="207" t="str">
        <f t="shared" si="10"/>
        <v>3.2.3.3</v>
      </c>
      <c r="H77" s="2" t="str">
        <f>+'3.2.3 RP'!G27</f>
        <v>Programa de prevención de la violencia en adolescentes de 11 a 17 años (Becoming a man - BAM Sports Edition) en 5 barrios</v>
      </c>
      <c r="I77" s="825">
        <f t="shared" si="55"/>
        <v>275500</v>
      </c>
      <c r="J77" s="729">
        <f t="shared" si="56"/>
        <v>0</v>
      </c>
      <c r="K77" s="730">
        <f t="shared" si="88"/>
        <v>275500</v>
      </c>
      <c r="L77" s="894">
        <v>1</v>
      </c>
      <c r="M77" s="895">
        <f t="shared" si="91"/>
        <v>0</v>
      </c>
      <c r="N77" s="37">
        <f>+'3.2 ultimo'!K37</f>
        <v>0</v>
      </c>
      <c r="O77" s="37">
        <f>+'3.2 ultimo'!L37</f>
        <v>275500</v>
      </c>
      <c r="P77" s="835">
        <f t="shared" si="83"/>
        <v>275500</v>
      </c>
      <c r="Q77" s="38"/>
      <c r="R77" s="38"/>
      <c r="S77" s="38"/>
      <c r="T77" s="38"/>
      <c r="U77" s="37"/>
      <c r="V77" s="38">
        <f t="shared" si="84"/>
        <v>0</v>
      </c>
      <c r="Z77" s="778">
        <f>+I77/AE77</f>
        <v>30611.111111111109</v>
      </c>
      <c r="AC77" s="59">
        <v>3</v>
      </c>
      <c r="AD77" s="59">
        <v>6</v>
      </c>
      <c r="AE77" s="771">
        <f t="shared" si="87"/>
        <v>9</v>
      </c>
      <c r="AF77" s="337">
        <f t="shared" si="93"/>
        <v>0</v>
      </c>
      <c r="AG77" s="910">
        <f t="shared" si="93"/>
        <v>0</v>
      </c>
      <c r="AH77" s="910">
        <f t="shared" si="93"/>
        <v>91833.333333333328</v>
      </c>
      <c r="AI77" s="910">
        <f t="shared" si="93"/>
        <v>183666.66666666666</v>
      </c>
      <c r="AJ77" s="910"/>
      <c r="AK77" s="910">
        <f t="shared" si="85"/>
        <v>275500</v>
      </c>
      <c r="AL77" s="23" t="s">
        <v>423</v>
      </c>
      <c r="AM77" s="919" t="s">
        <v>600</v>
      </c>
      <c r="AN77" s="919" t="s">
        <v>474</v>
      </c>
      <c r="AQ77" s="539">
        <v>43191</v>
      </c>
      <c r="AR77" s="539">
        <f t="shared" si="94"/>
        <v>44012</v>
      </c>
      <c r="AS77" s="919">
        <v>26</v>
      </c>
      <c r="AT77" s="919">
        <v>5</v>
      </c>
    </row>
    <row r="78" spans="2:46" ht="25.5" x14ac:dyDescent="0.2">
      <c r="C78" s="50">
        <v>3</v>
      </c>
      <c r="D78" s="50">
        <v>2</v>
      </c>
      <c r="E78" s="50">
        <v>3</v>
      </c>
      <c r="F78" s="50">
        <v>4</v>
      </c>
      <c r="G78" s="207" t="str">
        <f t="shared" si="10"/>
        <v>3.2.3.4</v>
      </c>
      <c r="H78" s="2" t="str">
        <f>+'3.2.3 RP'!G37</f>
        <v>Programa de prevención del delito mediante reconversión laboral</v>
      </c>
      <c r="I78" s="825">
        <f t="shared" si="55"/>
        <v>489755</v>
      </c>
      <c r="J78" s="729">
        <f t="shared" si="56"/>
        <v>0</v>
      </c>
      <c r="K78" s="730">
        <f t="shared" si="88"/>
        <v>489755</v>
      </c>
      <c r="L78" s="894">
        <v>1</v>
      </c>
      <c r="M78" s="895">
        <f t="shared" si="91"/>
        <v>0</v>
      </c>
      <c r="N78" s="37">
        <f>+'3.2 ultimo'!K16+'3.2 ultimo'!K20</f>
        <v>30000</v>
      </c>
      <c r="O78" s="37">
        <f>+'3.2 ultimo'!L16+'3.2 ultimo'!L20</f>
        <v>459755</v>
      </c>
      <c r="P78" s="835">
        <f t="shared" si="83"/>
        <v>489755</v>
      </c>
      <c r="Q78" s="38"/>
      <c r="R78" s="38"/>
      <c r="S78" s="38"/>
      <c r="T78" s="38"/>
      <c r="U78" s="37"/>
      <c r="V78" s="38">
        <f t="shared" si="84"/>
        <v>0</v>
      </c>
      <c r="Z78" s="778">
        <f>+I78/AE78</f>
        <v>54417.222222222219</v>
      </c>
      <c r="AC78" s="59">
        <v>3</v>
      </c>
      <c r="AD78" s="59">
        <v>6</v>
      </c>
      <c r="AE78" s="771">
        <f t="shared" si="87"/>
        <v>9</v>
      </c>
      <c r="AF78" s="337">
        <f t="shared" si="93"/>
        <v>0</v>
      </c>
      <c r="AG78" s="910">
        <f t="shared" si="93"/>
        <v>0</v>
      </c>
      <c r="AH78" s="910">
        <f t="shared" si="93"/>
        <v>163251.66666666666</v>
      </c>
      <c r="AI78" s="910">
        <f t="shared" si="93"/>
        <v>326503.33333333331</v>
      </c>
      <c r="AJ78" s="910"/>
      <c r="AK78" s="910">
        <f t="shared" si="85"/>
        <v>489755</v>
      </c>
      <c r="AL78" s="23" t="s">
        <v>423</v>
      </c>
      <c r="AM78" s="919" t="s">
        <v>600</v>
      </c>
      <c r="AN78" s="919" t="s">
        <v>474</v>
      </c>
      <c r="AQ78" s="539">
        <v>43191</v>
      </c>
      <c r="AR78" s="539">
        <f t="shared" si="94"/>
        <v>43769</v>
      </c>
      <c r="AS78" s="919">
        <v>18</v>
      </c>
      <c r="AT78" s="919">
        <v>5</v>
      </c>
    </row>
    <row r="79" spans="2:46" s="41" customFormat="1" ht="21.95" customHeight="1" x14ac:dyDescent="0.2">
      <c r="B79" s="46"/>
      <c r="C79" s="48">
        <v>4</v>
      </c>
      <c r="D79" s="48">
        <v>0</v>
      </c>
      <c r="E79" s="48">
        <v>0</v>
      </c>
      <c r="F79" s="48">
        <v>0</v>
      </c>
      <c r="G79" s="47" t="str">
        <f t="shared" si="10"/>
        <v>4.0.0.0</v>
      </c>
      <c r="H79" s="818" t="s">
        <v>54</v>
      </c>
      <c r="I79" s="821">
        <f t="shared" si="55"/>
        <v>0</v>
      </c>
      <c r="J79" s="813">
        <f t="shared" si="56"/>
        <v>2500000</v>
      </c>
      <c r="K79" s="822">
        <f t="shared" si="88"/>
        <v>2500000</v>
      </c>
      <c r="L79" s="888"/>
      <c r="M79" s="889"/>
      <c r="N79" s="811">
        <f>SUM(N80:N81)</f>
        <v>0</v>
      </c>
      <c r="O79" s="811">
        <f>SUM(O80:O81)</f>
        <v>0</v>
      </c>
      <c r="P79" s="832">
        <f t="shared" si="83"/>
        <v>0</v>
      </c>
      <c r="Q79" s="811">
        <f t="shared" ref="Q79:T79" si="95">SUM(Q80:Q81)</f>
        <v>200000</v>
      </c>
      <c r="R79" s="811">
        <f t="shared" si="95"/>
        <v>900000</v>
      </c>
      <c r="S79" s="811">
        <f t="shared" si="95"/>
        <v>900000</v>
      </c>
      <c r="T79" s="811">
        <f t="shared" si="95"/>
        <v>350000</v>
      </c>
      <c r="U79" s="811">
        <f>SUM(U80:U81)</f>
        <v>150000</v>
      </c>
      <c r="V79" s="811">
        <f t="shared" si="84"/>
        <v>2500000</v>
      </c>
      <c r="W79" s="837"/>
      <c r="X79" s="812"/>
      <c r="Z79" s="814"/>
      <c r="AA79" s="841"/>
      <c r="AB79" s="815"/>
      <c r="AC79" s="815"/>
      <c r="AD79" s="815"/>
      <c r="AE79" s="842"/>
      <c r="AF79" s="816"/>
      <c r="AG79" s="905"/>
      <c r="AH79" s="905"/>
      <c r="AI79" s="905"/>
      <c r="AJ79" s="905"/>
      <c r="AK79" s="815">
        <f t="shared" si="85"/>
        <v>0</v>
      </c>
    </row>
    <row r="80" spans="2:46" ht="18.75" customHeight="1" x14ac:dyDescent="0.2">
      <c r="C80" s="50">
        <v>4</v>
      </c>
      <c r="D80" s="50">
        <v>1</v>
      </c>
      <c r="E80" s="50">
        <v>0</v>
      </c>
      <c r="F80" s="50">
        <v>1</v>
      </c>
      <c r="G80" s="32" t="str">
        <f t="shared" si="10"/>
        <v>4.1.0.1</v>
      </c>
      <c r="H80" s="2" t="s">
        <v>55</v>
      </c>
      <c r="I80" s="825">
        <f t="shared" si="55"/>
        <v>0</v>
      </c>
      <c r="J80" s="729">
        <f t="shared" si="56"/>
        <v>2500000</v>
      </c>
      <c r="K80" s="730">
        <f t="shared" si="88"/>
        <v>2500000</v>
      </c>
      <c r="L80" s="894">
        <v>0</v>
      </c>
      <c r="M80" s="895">
        <f t="shared" si="91"/>
        <v>1</v>
      </c>
      <c r="N80" s="37">
        <v>0</v>
      </c>
      <c r="O80" s="37">
        <v>0</v>
      </c>
      <c r="P80" s="835">
        <f t="shared" si="83"/>
        <v>0</v>
      </c>
      <c r="Q80" s="38">
        <v>200000</v>
      </c>
      <c r="R80" s="38">
        <v>900000</v>
      </c>
      <c r="S80" s="38">
        <v>900000</v>
      </c>
      <c r="T80" s="38">
        <v>350000</v>
      </c>
      <c r="U80" s="37">
        <v>150000</v>
      </c>
      <c r="V80" s="38">
        <f t="shared" si="84"/>
        <v>2500000</v>
      </c>
      <c r="Z80" s="778">
        <v>1</v>
      </c>
      <c r="AF80" s="337">
        <f t="shared" ref="AF80:AI81" si="96">+$Z80*AA80</f>
        <v>0</v>
      </c>
      <c r="AG80" s="910">
        <f t="shared" si="96"/>
        <v>0</v>
      </c>
      <c r="AH80" s="910">
        <f t="shared" si="96"/>
        <v>0</v>
      </c>
      <c r="AI80" s="910">
        <f t="shared" si="96"/>
        <v>0</v>
      </c>
      <c r="AJ80" s="910"/>
      <c r="AK80" s="910">
        <f t="shared" si="85"/>
        <v>0</v>
      </c>
      <c r="AL80" s="23" t="s">
        <v>295</v>
      </c>
      <c r="AR80" s="539">
        <f t="shared" ref="AR80:AR81" si="97">EOMONTH(AQ80,AS80)</f>
        <v>31</v>
      </c>
    </row>
    <row r="81" spans="2:44" ht="18.75" hidden="1" customHeight="1" x14ac:dyDescent="0.2">
      <c r="C81" s="50">
        <v>4</v>
      </c>
      <c r="D81" s="50">
        <v>2</v>
      </c>
      <c r="E81" s="50">
        <v>0</v>
      </c>
      <c r="F81" s="50">
        <v>1</v>
      </c>
      <c r="G81" s="32" t="str">
        <f t="shared" si="10"/>
        <v>4.2.0.1</v>
      </c>
      <c r="H81" s="2" t="s">
        <v>56</v>
      </c>
      <c r="I81" s="825">
        <f t="shared" si="55"/>
        <v>0</v>
      </c>
      <c r="J81" s="729">
        <f t="shared" si="56"/>
        <v>0</v>
      </c>
      <c r="K81" s="730">
        <f t="shared" si="88"/>
        <v>0</v>
      </c>
      <c r="L81" s="894">
        <v>1</v>
      </c>
      <c r="M81" s="895">
        <f t="shared" si="91"/>
        <v>0</v>
      </c>
      <c r="N81" s="37"/>
      <c r="O81" s="37"/>
      <c r="P81" s="835">
        <f t="shared" si="83"/>
        <v>0</v>
      </c>
      <c r="Q81" s="38"/>
      <c r="R81" s="38"/>
      <c r="S81" s="38"/>
      <c r="T81" s="38"/>
      <c r="U81" s="37"/>
      <c r="V81" s="38">
        <f t="shared" si="84"/>
        <v>0</v>
      </c>
      <c r="Z81" s="778">
        <f>+I81/(AS81+1)</f>
        <v>0</v>
      </c>
      <c r="AF81" s="337">
        <f t="shared" si="96"/>
        <v>0</v>
      </c>
      <c r="AG81" s="910">
        <f t="shared" si="96"/>
        <v>0</v>
      </c>
      <c r="AH81" s="910">
        <f t="shared" si="96"/>
        <v>0</v>
      </c>
      <c r="AI81" s="910">
        <f t="shared" si="96"/>
        <v>0</v>
      </c>
      <c r="AJ81" s="910"/>
      <c r="AK81" s="910">
        <f t="shared" si="85"/>
        <v>0</v>
      </c>
      <c r="AR81" s="539">
        <f t="shared" si="97"/>
        <v>31</v>
      </c>
    </row>
    <row r="82" spans="2:44" s="41" customFormat="1" ht="21.95" customHeight="1" x14ac:dyDescent="0.2">
      <c r="B82" s="46"/>
      <c r="C82" s="48"/>
      <c r="D82" s="48"/>
      <c r="E82" s="48"/>
      <c r="F82" s="48"/>
      <c r="G82" s="47"/>
      <c r="H82" s="818" t="s">
        <v>10</v>
      </c>
      <c r="I82" s="821">
        <f t="shared" si="55"/>
        <v>14645405</v>
      </c>
      <c r="J82" s="813">
        <f t="shared" si="56"/>
        <v>5000000</v>
      </c>
      <c r="K82" s="822">
        <f t="shared" si="88"/>
        <v>19645405</v>
      </c>
      <c r="L82" s="888"/>
      <c r="M82" s="889"/>
      <c r="N82" s="811">
        <f t="shared" ref="N82:T82" si="98">+N57+N41+N3+N79</f>
        <v>1737500</v>
      </c>
      <c r="O82" s="811">
        <f t="shared" si="98"/>
        <v>12907905</v>
      </c>
      <c r="P82" s="832">
        <f t="shared" si="83"/>
        <v>14645405</v>
      </c>
      <c r="Q82" s="811">
        <f t="shared" si="98"/>
        <v>200000</v>
      </c>
      <c r="R82" s="811">
        <f t="shared" si="98"/>
        <v>900000</v>
      </c>
      <c r="S82" s="811">
        <f t="shared" si="98"/>
        <v>3400000</v>
      </c>
      <c r="T82" s="811">
        <f t="shared" si="98"/>
        <v>350000</v>
      </c>
      <c r="U82" s="811">
        <f>+U57+U41+U3+U79</f>
        <v>150000</v>
      </c>
      <c r="V82" s="811">
        <f t="shared" si="84"/>
        <v>5000000</v>
      </c>
      <c r="W82" s="837"/>
      <c r="X82" s="812"/>
      <c r="Z82" s="814"/>
      <c r="AA82" s="841"/>
      <c r="AB82" s="815"/>
      <c r="AC82" s="815"/>
      <c r="AD82" s="815"/>
      <c r="AE82" s="842"/>
      <c r="AF82" s="817">
        <f>SUM(AF4:AF81)</f>
        <v>0</v>
      </c>
      <c r="AG82" s="915">
        <f t="shared" ref="AG82:AI82" si="99">SUM(AG4:AG81)</f>
        <v>2192057.1428571427</v>
      </c>
      <c r="AH82" s="915">
        <f t="shared" si="99"/>
        <v>4825232.6911976915</v>
      </c>
      <c r="AI82" s="915">
        <f t="shared" si="99"/>
        <v>7628115.1659451658</v>
      </c>
      <c r="AJ82" s="915"/>
      <c r="AK82" s="915">
        <f t="shared" si="85"/>
        <v>14645405</v>
      </c>
    </row>
    <row r="83" spans="2:44" x14ac:dyDescent="0.2">
      <c r="G83" s="33"/>
      <c r="N83" s="39">
        <f>+N82/$P$82</f>
        <v>0.11863789359188087</v>
      </c>
      <c r="O83" s="39">
        <f>+O82/$P$82</f>
        <v>0.88136210640811918</v>
      </c>
      <c r="U83" s="39"/>
      <c r="AF83" s="787">
        <f>+AF82/$AK$82</f>
        <v>0</v>
      </c>
      <c r="AG83" s="916">
        <f>+AG82/$AK$82</f>
        <v>0.14967541989157301</v>
      </c>
      <c r="AH83" s="916">
        <f>+AH82/$AK$82</f>
        <v>0.32947075831618799</v>
      </c>
      <c r="AI83" s="916">
        <f>+AI82/$AK$82</f>
        <v>0.52085382179223894</v>
      </c>
      <c r="AJ83" s="916"/>
    </row>
    <row r="84" spans="2:44" x14ac:dyDescent="0.2">
      <c r="AG84" s="918">
        <f>+AF83+AG83</f>
        <v>0.14967541989157301</v>
      </c>
      <c r="AI84" s="918">
        <f>+AH83+AI83</f>
        <v>0.85032458010842693</v>
      </c>
      <c r="AJ84" s="918"/>
    </row>
  </sheetData>
  <autoFilter ref="B2:AT83"/>
  <mergeCells count="9">
    <mergeCell ref="AF1:AK1"/>
    <mergeCell ref="AL1:AT1"/>
    <mergeCell ref="B6:B7"/>
    <mergeCell ref="B10:B13"/>
    <mergeCell ref="B38:B39"/>
    <mergeCell ref="I1:K1"/>
    <mergeCell ref="N1:P1"/>
    <mergeCell ref="Q1:V1"/>
    <mergeCell ref="AA1:AE1"/>
  </mergeCells>
  <conditionalFormatting sqref="AA66:AD70 AA6:AD8 AA72:AD73 AA75:AD78 AA60:AD64 AA53:AD56 AA51:AD51 AA48:AD49 AA44:AD46 AA31:AD33 AA35:AD36 AA38:AD40 AA25:AD29 AA21:AD23 AA16:AD19 AA10:AD13">
    <cfRule type="cellIs" dxfId="8" priority="17" operator="notEqual">
      <formula>0</formula>
    </cfRule>
  </conditionalFormatting>
  <printOptions horizontalCentered="1" gridLines="1"/>
  <pageMargins left="0.23622047244094499" right="0.23622047244094499" top="0.74803149606299202" bottom="0.511811023622047" header="0.31496062992126" footer="0.31496062992126"/>
  <pageSetup paperSize="5" scale="92" orientation="landscape" r:id="rId1"/>
  <headerFooter>
    <oddHeader>&amp;CPrograma Federal de Seguridad AR-L1255</oddHeader>
    <oddFooter>&amp;R&amp;P</oddFooter>
  </headerFooter>
  <rowBreaks count="1" manualBreakCount="1">
    <brk id="56" min="1" max="40" man="1"/>
  </rowBreaks>
  <colBreaks count="1" manualBreakCount="1">
    <brk id="30" max="82"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L73"/>
  <sheetViews>
    <sheetView showGridLines="0" view="pageBreakPreview" topLeftCell="B20" zoomScale="60" zoomScaleNormal="85" workbookViewId="0">
      <selection activeCell="N26" sqref="N26"/>
    </sheetView>
  </sheetViews>
  <sheetFormatPr defaultColWidth="11.42578125" defaultRowHeight="14.25" x14ac:dyDescent="0.2"/>
  <cols>
    <col min="1" max="2" width="5.85546875" style="439" customWidth="1"/>
    <col min="3" max="3" width="61.140625" style="3" customWidth="1"/>
    <col min="4" max="4" width="24" style="3" customWidth="1"/>
    <col min="5" max="6" width="11.28515625" style="3" customWidth="1"/>
    <col min="7" max="7" width="9.85546875" style="3" customWidth="1"/>
    <col min="8" max="8" width="8.5703125" style="3" customWidth="1"/>
    <col min="9" max="9" width="8.28515625" style="3" customWidth="1"/>
    <col min="10" max="10" width="9.85546875" style="3" customWidth="1"/>
    <col min="11" max="11" width="8.140625" style="3" customWidth="1"/>
    <col min="12" max="13" width="22.85546875" style="445" customWidth="1"/>
    <col min="14" max="14" width="17.140625" style="3" customWidth="1"/>
    <col min="15" max="15" width="11.7109375" style="23" customWidth="1"/>
    <col min="16" max="16" width="58.28515625" style="23" customWidth="1"/>
    <col min="17" max="16384" width="11.42578125" style="23"/>
  </cols>
  <sheetData>
    <row r="2" spans="1:38" ht="15" x14ac:dyDescent="0.2">
      <c r="C2" s="952" t="s">
        <v>97</v>
      </c>
      <c r="D2" s="952"/>
      <c r="E2" s="952"/>
      <c r="F2" s="952"/>
      <c r="G2" s="952"/>
      <c r="H2" s="952"/>
      <c r="I2" s="952"/>
      <c r="J2" s="952"/>
      <c r="K2" s="952"/>
      <c r="L2" s="952"/>
      <c r="M2" s="952"/>
    </row>
    <row r="3" spans="1:38" ht="15" x14ac:dyDescent="0.2">
      <c r="C3" s="952" t="s">
        <v>601</v>
      </c>
      <c r="D3" s="952"/>
      <c r="E3" s="952"/>
      <c r="F3" s="952"/>
      <c r="G3" s="952"/>
      <c r="H3" s="952"/>
      <c r="I3" s="952"/>
      <c r="J3" s="952"/>
      <c r="K3" s="952"/>
      <c r="L3" s="952"/>
      <c r="M3" s="952"/>
    </row>
    <row r="4" spans="1:38" ht="15" thickBot="1" x14ac:dyDescent="0.25"/>
    <row r="5" spans="1:38" s="322" customFormat="1" ht="15" x14ac:dyDescent="0.2">
      <c r="A5" s="438"/>
      <c r="B5" s="438"/>
      <c r="C5" s="953" t="s">
        <v>0</v>
      </c>
      <c r="D5" s="954"/>
      <c r="E5" s="954"/>
      <c r="F5" s="954"/>
      <c r="G5" s="954"/>
      <c r="H5" s="954"/>
      <c r="I5" s="954"/>
      <c r="J5" s="954"/>
      <c r="K5" s="954"/>
      <c r="L5" s="954"/>
      <c r="M5" s="954"/>
      <c r="N5" s="955"/>
      <c r="O5" s="1"/>
      <c r="P5" s="1"/>
      <c r="Q5" s="1"/>
      <c r="R5" s="321"/>
    </row>
    <row r="6" spans="1:38" s="322" customFormat="1" ht="52.5" customHeight="1" thickBot="1" x14ac:dyDescent="0.25">
      <c r="A6" s="438"/>
      <c r="B6" s="438"/>
      <c r="C6" s="956" t="s">
        <v>386</v>
      </c>
      <c r="D6" s="957"/>
      <c r="E6" s="957"/>
      <c r="F6" s="957"/>
      <c r="G6" s="957"/>
      <c r="H6" s="957"/>
      <c r="I6" s="957"/>
      <c r="J6" s="957"/>
      <c r="K6" s="957"/>
      <c r="L6" s="957"/>
      <c r="M6" s="957"/>
      <c r="N6" s="958"/>
      <c r="O6" s="323"/>
      <c r="P6" s="323"/>
      <c r="Q6" s="323"/>
      <c r="R6" s="324"/>
      <c r="S6" s="2"/>
      <c r="T6" s="2"/>
      <c r="U6" s="2"/>
      <c r="X6" s="2"/>
      <c r="Y6" s="2"/>
      <c r="Z6" s="2"/>
      <c r="AA6" s="2"/>
      <c r="AB6" s="2"/>
      <c r="AC6" s="2"/>
      <c r="AD6" s="2"/>
      <c r="AE6" s="2"/>
      <c r="AF6" s="2"/>
      <c r="AG6" s="2"/>
      <c r="AH6" s="2"/>
      <c r="AI6" s="2"/>
      <c r="AJ6" s="2"/>
      <c r="AK6" s="2"/>
      <c r="AL6" s="2"/>
    </row>
    <row r="9" spans="1:38" ht="15" thickBot="1" x14ac:dyDescent="0.25">
      <c r="G9" s="327">
        <v>2017</v>
      </c>
      <c r="H9" s="327">
        <v>2018</v>
      </c>
      <c r="I9" s="327">
        <v>2019</v>
      </c>
      <c r="J9" s="327">
        <v>2020</v>
      </c>
    </row>
    <row r="10" spans="1:38" ht="30.75" thickBot="1" x14ac:dyDescent="0.25">
      <c r="C10" s="6" t="s">
        <v>9</v>
      </c>
      <c r="D10" s="9" t="s">
        <v>1</v>
      </c>
      <c r="E10" s="18" t="s">
        <v>328</v>
      </c>
      <c r="F10" s="18" t="s">
        <v>2</v>
      </c>
      <c r="G10" s="14" t="s">
        <v>4</v>
      </c>
      <c r="H10" s="14" t="s">
        <v>5</v>
      </c>
      <c r="I10" s="14" t="s">
        <v>6</v>
      </c>
      <c r="J10" s="14" t="s">
        <v>7</v>
      </c>
      <c r="K10" s="14" t="s">
        <v>3</v>
      </c>
      <c r="L10" s="15" t="s">
        <v>14</v>
      </c>
      <c r="M10" s="972" t="s">
        <v>399</v>
      </c>
      <c r="N10" s="973"/>
      <c r="O10" s="4"/>
      <c r="P10" s="4"/>
      <c r="Q10" s="4"/>
      <c r="R10" s="4"/>
      <c r="S10" s="4"/>
    </row>
    <row r="11" spans="1:38" ht="43.5" customHeight="1" thickBot="1" x14ac:dyDescent="0.25">
      <c r="C11" s="974" t="s">
        <v>390</v>
      </c>
      <c r="D11" s="975"/>
      <c r="E11" s="975"/>
      <c r="F11" s="975"/>
      <c r="G11" s="975"/>
      <c r="H11" s="975"/>
      <c r="I11" s="975"/>
      <c r="J11" s="975"/>
      <c r="K11" s="975"/>
      <c r="L11" s="975"/>
      <c r="M11" s="975"/>
      <c r="N11" s="976"/>
      <c r="O11" s="4"/>
      <c r="P11" s="4"/>
      <c r="Q11" s="4"/>
      <c r="R11" s="4"/>
      <c r="S11" s="4"/>
    </row>
    <row r="12" spans="1:38" ht="45" customHeight="1" x14ac:dyDescent="0.2">
      <c r="A12" s="59"/>
      <c r="B12" s="59"/>
      <c r="C12" s="856" t="s">
        <v>419</v>
      </c>
      <c r="D12" s="857" t="s">
        <v>387</v>
      </c>
      <c r="E12" s="858" t="s">
        <v>388</v>
      </c>
      <c r="F12" s="859">
        <v>2010</v>
      </c>
      <c r="G12" s="860"/>
      <c r="H12" s="475"/>
      <c r="I12" s="861"/>
      <c r="J12" s="475"/>
      <c r="K12" s="475"/>
      <c r="L12" s="862" t="s">
        <v>397</v>
      </c>
      <c r="M12" s="977"/>
      <c r="N12" s="977"/>
    </row>
    <row r="13" spans="1:38" ht="50.25" customHeight="1" x14ac:dyDescent="0.2">
      <c r="A13" s="59"/>
      <c r="B13" s="59"/>
      <c r="C13" s="465" t="s">
        <v>391</v>
      </c>
      <c r="D13" s="466" t="s">
        <v>387</v>
      </c>
      <c r="E13" s="467" t="s">
        <v>392</v>
      </c>
      <c r="F13" s="468">
        <v>2010</v>
      </c>
      <c r="G13" s="469"/>
      <c r="H13" s="470"/>
      <c r="I13" s="471"/>
      <c r="J13" s="470"/>
      <c r="K13" s="470"/>
      <c r="L13" s="863" t="s">
        <v>397</v>
      </c>
      <c r="M13" s="978"/>
      <c r="N13" s="978"/>
    </row>
    <row r="14" spans="1:38" ht="39.75" customHeight="1" x14ac:dyDescent="0.2">
      <c r="A14" s="59"/>
      <c r="B14" s="59"/>
      <c r="C14" s="465" t="s">
        <v>393</v>
      </c>
      <c r="D14" s="472" t="s">
        <v>57</v>
      </c>
      <c r="E14" s="473" t="s">
        <v>394</v>
      </c>
      <c r="F14" s="468">
        <v>2015</v>
      </c>
      <c r="G14" s="469"/>
      <c r="H14" s="470"/>
      <c r="I14" s="470"/>
      <c r="J14" s="470"/>
      <c r="K14" s="470"/>
      <c r="L14" s="863" t="s">
        <v>398</v>
      </c>
      <c r="M14" s="978"/>
      <c r="N14" s="978"/>
    </row>
    <row r="15" spans="1:38" ht="39.75" customHeight="1" thickBot="1" x14ac:dyDescent="0.25">
      <c r="A15" s="59"/>
      <c r="B15" s="59"/>
      <c r="C15" s="864" t="s">
        <v>395</v>
      </c>
      <c r="D15" s="865" t="s">
        <v>57</v>
      </c>
      <c r="E15" s="866" t="s">
        <v>396</v>
      </c>
      <c r="F15" s="867"/>
      <c r="G15" s="867"/>
      <c r="H15" s="868"/>
      <c r="I15" s="868"/>
      <c r="J15" s="868"/>
      <c r="K15" s="868"/>
      <c r="L15" s="869"/>
      <c r="M15" s="964"/>
      <c r="N15" s="964"/>
    </row>
    <row r="16" spans="1:38" ht="48" customHeight="1" thickBot="1" x14ac:dyDescent="0.25">
      <c r="C16" s="965" t="s">
        <v>400</v>
      </c>
      <c r="D16" s="966"/>
      <c r="E16" s="966"/>
      <c r="F16" s="966"/>
      <c r="G16" s="966"/>
      <c r="H16" s="966"/>
      <c r="I16" s="966"/>
      <c r="J16" s="966"/>
      <c r="K16" s="966"/>
      <c r="L16" s="966"/>
      <c r="M16" s="966"/>
      <c r="N16" s="967"/>
      <c r="O16" s="4"/>
      <c r="P16" s="4"/>
      <c r="Q16" s="4"/>
      <c r="R16" s="4"/>
      <c r="S16" s="4"/>
    </row>
    <row r="17" spans="1:20" s="326" customFormat="1" ht="153.75" customHeight="1" x14ac:dyDescent="0.2">
      <c r="A17" s="60"/>
      <c r="B17" s="60"/>
      <c r="C17" s="870" t="s">
        <v>401</v>
      </c>
      <c r="D17" s="474" t="s">
        <v>389</v>
      </c>
      <c r="E17" s="871" t="s">
        <v>402</v>
      </c>
      <c r="F17" s="872">
        <v>2015</v>
      </c>
      <c r="G17" s="464"/>
      <c r="H17" s="464"/>
      <c r="I17" s="464"/>
      <c r="J17" s="464"/>
      <c r="K17" s="873"/>
      <c r="L17" s="624" t="s">
        <v>403</v>
      </c>
      <c r="M17" s="968"/>
      <c r="N17" s="969"/>
    </row>
    <row r="18" spans="1:20" ht="105" customHeight="1" thickBot="1" x14ac:dyDescent="0.25">
      <c r="A18" s="59"/>
      <c r="B18" s="59"/>
      <c r="C18" s="874" t="s">
        <v>404</v>
      </c>
      <c r="D18" s="476" t="s">
        <v>57</v>
      </c>
      <c r="E18" s="875" t="s">
        <v>405</v>
      </c>
      <c r="F18" s="876">
        <v>2015</v>
      </c>
      <c r="G18" s="877"/>
      <c r="H18" s="877"/>
      <c r="I18" s="877"/>
      <c r="J18" s="877"/>
      <c r="K18" s="877"/>
      <c r="L18" s="878" t="s">
        <v>406</v>
      </c>
      <c r="M18" s="970"/>
      <c r="N18" s="971"/>
    </row>
    <row r="19" spans="1:20" ht="24" customHeight="1" thickBot="1" x14ac:dyDescent="0.25">
      <c r="A19" s="59"/>
      <c r="B19" s="59"/>
      <c r="C19" s="325"/>
      <c r="D19" s="477"/>
      <c r="E19" s="477"/>
      <c r="F19" s="477"/>
      <c r="G19" s="336">
        <v>2017</v>
      </c>
      <c r="H19" s="336">
        <v>2018</v>
      </c>
      <c r="I19" s="336">
        <v>2019</v>
      </c>
      <c r="J19" s="336">
        <v>2020</v>
      </c>
      <c r="K19" s="478"/>
      <c r="L19" s="479"/>
      <c r="M19" s="479"/>
      <c r="P19" s="332"/>
      <c r="Q19" s="332"/>
      <c r="R19" s="332"/>
      <c r="S19" s="332"/>
      <c r="T19" s="332"/>
    </row>
    <row r="20" spans="1:20" ht="42.75" customHeight="1" thickBot="1" x14ac:dyDescent="0.25">
      <c r="A20" s="59" t="s">
        <v>409</v>
      </c>
      <c r="B20" s="59" t="s">
        <v>348</v>
      </c>
      <c r="C20" s="330" t="s">
        <v>8</v>
      </c>
      <c r="D20" s="58" t="s">
        <v>1</v>
      </c>
      <c r="E20" s="56" t="s">
        <v>328</v>
      </c>
      <c r="F20" s="56" t="s">
        <v>2</v>
      </c>
      <c r="G20" s="57" t="s">
        <v>4</v>
      </c>
      <c r="H20" s="57" t="s">
        <v>5</v>
      </c>
      <c r="I20" s="57" t="s">
        <v>6</v>
      </c>
      <c r="J20" s="57" t="s">
        <v>7</v>
      </c>
      <c r="K20" s="57" t="s">
        <v>3</v>
      </c>
      <c r="L20" s="55" t="s">
        <v>14</v>
      </c>
      <c r="M20" s="55" t="s">
        <v>399</v>
      </c>
      <c r="N20" s="58" t="s">
        <v>15</v>
      </c>
      <c r="O20" s="337"/>
    </row>
    <row r="21" spans="1:20" ht="22.5" customHeight="1" thickBot="1" x14ac:dyDescent="0.25">
      <c r="A21" s="59"/>
      <c r="B21" s="59"/>
      <c r="C21" s="959" t="s">
        <v>383</v>
      </c>
      <c r="D21" s="960"/>
      <c r="E21" s="960"/>
      <c r="F21" s="960"/>
      <c r="G21" s="960"/>
      <c r="H21" s="960"/>
      <c r="I21" s="960"/>
      <c r="J21" s="960"/>
      <c r="K21" s="960"/>
      <c r="L21" s="960"/>
      <c r="M21" s="960"/>
      <c r="N21" s="963"/>
      <c r="O21" s="337"/>
    </row>
    <row r="22" spans="1:20" ht="42.75" x14ac:dyDescent="0.2">
      <c r="A22" s="59" t="s">
        <v>302</v>
      </c>
      <c r="B22" s="59">
        <v>1.1000000000000001</v>
      </c>
      <c r="C22" s="481" t="s">
        <v>410</v>
      </c>
      <c r="D22" s="482" t="s">
        <v>417</v>
      </c>
      <c r="E22" s="457">
        <v>0</v>
      </c>
      <c r="F22" s="457">
        <v>2017</v>
      </c>
      <c r="G22" s="624">
        <v>0</v>
      </c>
      <c r="H22" s="624">
        <v>0</v>
      </c>
      <c r="I22" s="624">
        <v>1</v>
      </c>
      <c r="J22" s="624"/>
      <c r="K22" s="624">
        <v>1</v>
      </c>
      <c r="L22" s="482" t="s">
        <v>413</v>
      </c>
      <c r="M22" s="752"/>
      <c r="N22" s="442">
        <f>+PEP!S6</f>
        <v>230000</v>
      </c>
    </row>
    <row r="23" spans="1:20" ht="33.75" customHeight="1" x14ac:dyDescent="0.2">
      <c r="A23" s="59" t="s">
        <v>302</v>
      </c>
      <c r="B23" s="59">
        <v>1.2</v>
      </c>
      <c r="C23" s="483" t="s">
        <v>411</v>
      </c>
      <c r="D23" s="484" t="s">
        <v>299</v>
      </c>
      <c r="E23" s="459">
        <v>0</v>
      </c>
      <c r="F23" s="459">
        <v>2017</v>
      </c>
      <c r="G23" s="333"/>
      <c r="H23" s="13"/>
      <c r="I23" s="13">
        <v>3</v>
      </c>
      <c r="J23" s="13">
        <v>5</v>
      </c>
      <c r="K23" s="13">
        <v>5</v>
      </c>
      <c r="L23" s="484" t="s">
        <v>414</v>
      </c>
      <c r="M23" s="753"/>
      <c r="N23" s="443">
        <f>+PEP!S7</f>
        <v>770000</v>
      </c>
    </row>
    <row r="24" spans="1:20" ht="42.75" x14ac:dyDescent="0.2">
      <c r="A24" s="59" t="s">
        <v>302</v>
      </c>
      <c r="B24" s="59">
        <v>1.3</v>
      </c>
      <c r="C24" s="483" t="s">
        <v>300</v>
      </c>
      <c r="D24" s="484" t="s">
        <v>296</v>
      </c>
      <c r="E24" s="459">
        <v>0</v>
      </c>
      <c r="F24" s="459">
        <v>2017</v>
      </c>
      <c r="G24" s="333"/>
      <c r="H24" s="13"/>
      <c r="I24" s="13"/>
      <c r="J24" s="13">
        <v>50</v>
      </c>
      <c r="K24" s="13">
        <v>50</v>
      </c>
      <c r="L24" s="484" t="s">
        <v>415</v>
      </c>
      <c r="M24" s="753"/>
      <c r="N24" s="443">
        <f>+PEP!S8</f>
        <v>200000</v>
      </c>
    </row>
    <row r="25" spans="1:20" ht="42" customHeight="1" x14ac:dyDescent="0.2">
      <c r="A25" s="59"/>
      <c r="B25" s="59"/>
      <c r="C25" s="483" t="s">
        <v>612</v>
      </c>
      <c r="D25" s="484"/>
      <c r="E25" s="459"/>
      <c r="F25" s="459"/>
      <c r="G25" s="333"/>
      <c r="H25" s="13"/>
      <c r="I25" s="13"/>
      <c r="J25" s="13"/>
      <c r="K25" s="13"/>
      <c r="L25" s="484"/>
      <c r="M25" s="753"/>
      <c r="N25" s="443">
        <f>+PEP!S34</f>
        <v>40000</v>
      </c>
    </row>
    <row r="26" spans="1:20" ht="28.5" x14ac:dyDescent="0.2">
      <c r="A26" s="59" t="s">
        <v>308</v>
      </c>
      <c r="B26" s="59">
        <v>1.4</v>
      </c>
      <c r="C26" s="483" t="s">
        <v>412</v>
      </c>
      <c r="D26" s="484" t="s">
        <v>418</v>
      </c>
      <c r="E26" s="459">
        <v>0</v>
      </c>
      <c r="F26" s="459">
        <v>2017</v>
      </c>
      <c r="G26" s="333"/>
      <c r="H26" s="333"/>
      <c r="I26" s="13">
        <v>1</v>
      </c>
      <c r="J26" s="13"/>
      <c r="K26" s="13">
        <v>1</v>
      </c>
      <c r="L26" s="484" t="s">
        <v>416</v>
      </c>
      <c r="M26" s="753"/>
      <c r="N26" s="443">
        <f>+PEP!S10+PEP!S11</f>
        <v>880000</v>
      </c>
    </row>
    <row r="27" spans="1:20" ht="47.25" customHeight="1" x14ac:dyDescent="0.2">
      <c r="A27" s="59" t="s">
        <v>308</v>
      </c>
      <c r="B27" s="59">
        <v>1.5</v>
      </c>
      <c r="C27" s="483" t="s">
        <v>566</v>
      </c>
      <c r="D27" s="484" t="s">
        <v>306</v>
      </c>
      <c r="E27" s="459">
        <v>0</v>
      </c>
      <c r="F27" s="459">
        <v>2017</v>
      </c>
      <c r="G27" s="333"/>
      <c r="H27" s="333"/>
      <c r="I27" s="13">
        <v>3</v>
      </c>
      <c r="J27" s="13">
        <v>5</v>
      </c>
      <c r="K27" s="13">
        <v>5</v>
      </c>
      <c r="L27" s="484" t="s">
        <v>567</v>
      </c>
      <c r="M27" s="753"/>
      <c r="N27" s="443">
        <f>+PEP!S13</f>
        <v>320000</v>
      </c>
    </row>
    <row r="28" spans="1:20" ht="34.5" customHeight="1" x14ac:dyDescent="0.2">
      <c r="A28" s="59" t="s">
        <v>308</v>
      </c>
      <c r="B28" s="59">
        <v>1.6</v>
      </c>
      <c r="C28" s="483" t="s">
        <v>515</v>
      </c>
      <c r="D28" s="484" t="s">
        <v>307</v>
      </c>
      <c r="E28" s="459">
        <v>0</v>
      </c>
      <c r="F28" s="459">
        <v>2017</v>
      </c>
      <c r="G28" s="333"/>
      <c r="H28" s="13">
        <v>1</v>
      </c>
      <c r="I28" s="333"/>
      <c r="J28" s="333"/>
      <c r="K28" s="13">
        <v>1</v>
      </c>
      <c r="L28" s="484" t="s">
        <v>568</v>
      </c>
      <c r="M28" s="753"/>
      <c r="N28" s="443">
        <f>+PEP!S12</f>
        <v>100000</v>
      </c>
    </row>
    <row r="29" spans="1:20" ht="42.75" x14ac:dyDescent="0.2">
      <c r="A29" s="59" t="s">
        <v>221</v>
      </c>
      <c r="B29" s="59">
        <v>1.7</v>
      </c>
      <c r="C29" s="483" t="s">
        <v>303</v>
      </c>
      <c r="D29" s="484" t="s">
        <v>304</v>
      </c>
      <c r="E29" s="627">
        <v>0</v>
      </c>
      <c r="F29" s="627">
        <v>2017</v>
      </c>
      <c r="G29" s="444"/>
      <c r="H29" s="625">
        <v>1</v>
      </c>
      <c r="I29" s="625">
        <v>2</v>
      </c>
      <c r="J29" s="625">
        <v>3</v>
      </c>
      <c r="K29" s="13">
        <v>3</v>
      </c>
      <c r="L29" s="484" t="s">
        <v>569</v>
      </c>
      <c r="M29" s="753" t="s">
        <v>305</v>
      </c>
      <c r="N29" s="443">
        <f>+PEP!S15+PEP!S24+PEP!S30+PEP!S36</f>
        <v>1045000</v>
      </c>
    </row>
    <row r="30" spans="1:20" ht="39" customHeight="1" x14ac:dyDescent="0.2">
      <c r="A30" s="59" t="s">
        <v>221</v>
      </c>
      <c r="B30" s="59">
        <v>1.8</v>
      </c>
      <c r="C30" s="483" t="s">
        <v>327</v>
      </c>
      <c r="D30" s="484" t="s">
        <v>298</v>
      </c>
      <c r="E30" s="627">
        <v>0</v>
      </c>
      <c r="F30" s="627">
        <v>2017</v>
      </c>
      <c r="G30" s="444"/>
      <c r="H30" s="625"/>
      <c r="I30" s="625">
        <v>1</v>
      </c>
      <c r="J30" s="444"/>
      <c r="K30" s="333"/>
      <c r="L30" s="484" t="s">
        <v>570</v>
      </c>
      <c r="M30" s="753"/>
      <c r="N30" s="443">
        <f>+PEP!S20</f>
        <v>985000</v>
      </c>
    </row>
    <row r="31" spans="1:20" ht="36" customHeight="1" thickBot="1" x14ac:dyDescent="0.25">
      <c r="A31" s="59" t="s">
        <v>12</v>
      </c>
      <c r="B31" s="59">
        <v>1.9</v>
      </c>
      <c r="C31" s="485" t="s">
        <v>301</v>
      </c>
      <c r="D31" s="486" t="s">
        <v>297</v>
      </c>
      <c r="E31" s="461">
        <v>1</v>
      </c>
      <c r="F31" s="461">
        <v>2017</v>
      </c>
      <c r="G31" s="335"/>
      <c r="H31" s="626">
        <v>1</v>
      </c>
      <c r="I31" s="626">
        <v>1</v>
      </c>
      <c r="J31" s="626"/>
      <c r="K31" s="626">
        <v>3</v>
      </c>
      <c r="L31" s="486" t="s">
        <v>571</v>
      </c>
      <c r="M31" s="754"/>
      <c r="N31" s="452">
        <f>+PEP!S37</f>
        <v>2580000</v>
      </c>
      <c r="O31" s="337">
        <f>SUM(N22:N31)</f>
        <v>7150000</v>
      </c>
    </row>
    <row r="32" spans="1:20" ht="15" thickBot="1" x14ac:dyDescent="0.25">
      <c r="G32" s="328">
        <v>2017</v>
      </c>
      <c r="H32" s="328">
        <v>2018</v>
      </c>
      <c r="I32" s="328">
        <v>2019</v>
      </c>
      <c r="J32" s="328">
        <v>2020</v>
      </c>
    </row>
    <row r="33" spans="1:16" ht="30.75" thickBot="1" x14ac:dyDescent="0.25">
      <c r="A33" s="59" t="s">
        <v>409</v>
      </c>
      <c r="B33" s="59" t="s">
        <v>348</v>
      </c>
      <c r="C33" s="6" t="s">
        <v>8</v>
      </c>
      <c r="D33" s="9" t="s">
        <v>1</v>
      </c>
      <c r="E33" s="18" t="s">
        <v>328</v>
      </c>
      <c r="F33" s="18"/>
      <c r="G33" s="14" t="s">
        <v>4</v>
      </c>
      <c r="H33" s="14" t="s">
        <v>5</v>
      </c>
      <c r="I33" s="14" t="s">
        <v>6</v>
      </c>
      <c r="J33" s="14" t="s">
        <v>7</v>
      </c>
      <c r="K33" s="14" t="s">
        <v>3</v>
      </c>
      <c r="L33" s="15" t="s">
        <v>14</v>
      </c>
      <c r="M33" s="15" t="s">
        <v>399</v>
      </c>
      <c r="N33" s="329" t="s">
        <v>15</v>
      </c>
    </row>
    <row r="34" spans="1:16" ht="22.5" customHeight="1" thickBot="1" x14ac:dyDescent="0.25">
      <c r="A34" s="59"/>
      <c r="B34" s="59"/>
      <c r="C34" s="959" t="s">
        <v>384</v>
      </c>
      <c r="D34" s="960"/>
      <c r="E34" s="960"/>
      <c r="F34" s="960"/>
      <c r="G34" s="960"/>
      <c r="H34" s="960"/>
      <c r="I34" s="960"/>
      <c r="J34" s="960"/>
      <c r="K34" s="960"/>
      <c r="L34" s="961"/>
      <c r="M34" s="960"/>
      <c r="N34" s="962"/>
      <c r="O34" s="337"/>
    </row>
    <row r="35" spans="1:16" ht="42.75" x14ac:dyDescent="0.2">
      <c r="A35" s="59">
        <v>2.1</v>
      </c>
      <c r="B35" s="59">
        <v>2.1</v>
      </c>
      <c r="C35" s="437" t="s">
        <v>309</v>
      </c>
      <c r="D35" s="487" t="s">
        <v>311</v>
      </c>
      <c r="E35" s="462">
        <v>0</v>
      </c>
      <c r="F35" s="462">
        <v>2017</v>
      </c>
      <c r="G35" s="16">
        <v>0</v>
      </c>
      <c r="H35" s="16">
        <v>55</v>
      </c>
      <c r="I35" s="16">
        <v>100</v>
      </c>
      <c r="J35" s="16"/>
      <c r="K35" s="755">
        <v>100</v>
      </c>
      <c r="L35" s="759" t="s">
        <v>572</v>
      </c>
      <c r="M35" s="760" t="s">
        <v>310</v>
      </c>
      <c r="N35" s="446">
        <f>PEP!I43+PEP!I50</f>
        <v>5596000</v>
      </c>
      <c r="O35" s="337"/>
    </row>
    <row r="36" spans="1:16" s="326" customFormat="1" ht="57" x14ac:dyDescent="0.2">
      <c r="A36" s="59">
        <v>2.1</v>
      </c>
      <c r="B36" s="59">
        <v>2.2000000000000002</v>
      </c>
      <c r="C36" s="447" t="s">
        <v>516</v>
      </c>
      <c r="D36" s="7" t="s">
        <v>312</v>
      </c>
      <c r="E36" s="459">
        <v>0</v>
      </c>
      <c r="F36" s="459">
        <v>2017</v>
      </c>
      <c r="G36" s="13">
        <v>65</v>
      </c>
      <c r="H36" s="13">
        <v>160</v>
      </c>
      <c r="I36" s="13">
        <v>240</v>
      </c>
      <c r="J36" s="333"/>
      <c r="K36" s="756">
        <v>240</v>
      </c>
      <c r="L36" s="20" t="s">
        <v>573</v>
      </c>
      <c r="M36" s="20"/>
      <c r="N36" s="443">
        <f>+PEP!K48</f>
        <v>504000</v>
      </c>
    </row>
    <row r="37" spans="1:16" s="326" customFormat="1" ht="21.75" customHeight="1" x14ac:dyDescent="0.2">
      <c r="A37" s="59" t="s">
        <v>326</v>
      </c>
      <c r="B37" s="59">
        <v>2.2999999999999998</v>
      </c>
      <c r="C37" s="448" t="s">
        <v>574</v>
      </c>
      <c r="D37" s="8" t="s">
        <v>575</v>
      </c>
      <c r="E37" s="879">
        <v>0</v>
      </c>
      <c r="F37" s="879">
        <v>2017</v>
      </c>
      <c r="G37" s="628">
        <v>2</v>
      </c>
      <c r="H37" s="628">
        <v>7</v>
      </c>
      <c r="I37" s="628">
        <v>12</v>
      </c>
      <c r="J37" s="628"/>
      <c r="K37" s="757">
        <v>12</v>
      </c>
      <c r="L37" s="20" t="s">
        <v>576</v>
      </c>
      <c r="M37" s="20"/>
      <c r="N37" s="449">
        <f>+PEP!K49</f>
        <v>350000</v>
      </c>
    </row>
    <row r="38" spans="1:16" s="326" customFormat="1" ht="48" customHeight="1" thickBot="1" x14ac:dyDescent="0.25">
      <c r="A38" s="60">
        <v>2.2000000000000002</v>
      </c>
      <c r="B38" s="60">
        <v>2.4</v>
      </c>
      <c r="C38" s="450" t="s">
        <v>329</v>
      </c>
      <c r="D38" s="451" t="s">
        <v>313</v>
      </c>
      <c r="E38" s="461">
        <v>0</v>
      </c>
      <c r="F38" s="461">
        <v>2017</v>
      </c>
      <c r="G38" s="335"/>
      <c r="H38" s="626">
        <v>700</v>
      </c>
      <c r="I38" s="626">
        <v>1400</v>
      </c>
      <c r="J38" s="626"/>
      <c r="K38" s="758">
        <v>1400</v>
      </c>
      <c r="L38" s="5" t="s">
        <v>577</v>
      </c>
      <c r="M38" s="5"/>
      <c r="N38" s="452">
        <f>+PEP!S52</f>
        <v>1500000</v>
      </c>
      <c r="O38" s="920">
        <f>SUM(N35:N38)</f>
        <v>7950000</v>
      </c>
      <c r="P38"/>
    </row>
    <row r="39" spans="1:16" ht="15" thickBot="1" x14ac:dyDescent="0.25">
      <c r="A39" s="441"/>
      <c r="B39" s="441"/>
      <c r="D39" s="453"/>
      <c r="G39" s="328">
        <v>2017</v>
      </c>
      <c r="H39" s="328">
        <v>2018</v>
      </c>
      <c r="I39" s="328">
        <v>2019</v>
      </c>
      <c r="J39" s="328">
        <v>2020</v>
      </c>
      <c r="K39" s="454"/>
      <c r="N39" s="455"/>
    </row>
    <row r="40" spans="1:16" ht="30.75" thickBot="1" x14ac:dyDescent="0.25">
      <c r="A40" s="59" t="s">
        <v>409</v>
      </c>
      <c r="B40" s="59" t="s">
        <v>348</v>
      </c>
      <c r="C40" s="330" t="s">
        <v>8</v>
      </c>
      <c r="D40" s="58" t="s">
        <v>1</v>
      </c>
      <c r="E40" s="56" t="s">
        <v>328</v>
      </c>
      <c r="F40" s="56"/>
      <c r="G40" s="57" t="s">
        <v>4</v>
      </c>
      <c r="H40" s="57" t="s">
        <v>5</v>
      </c>
      <c r="I40" s="57" t="s">
        <v>6</v>
      </c>
      <c r="J40" s="57" t="s">
        <v>7</v>
      </c>
      <c r="K40" s="57" t="s">
        <v>3</v>
      </c>
      <c r="L40" s="55" t="s">
        <v>14</v>
      </c>
      <c r="M40" s="55" t="s">
        <v>399</v>
      </c>
      <c r="N40" s="58" t="s">
        <v>15</v>
      </c>
    </row>
    <row r="41" spans="1:16" ht="22.5" customHeight="1" thickBot="1" x14ac:dyDescent="0.25">
      <c r="A41" s="59"/>
      <c r="B41" s="59"/>
      <c r="C41" s="959" t="s">
        <v>385</v>
      </c>
      <c r="D41" s="960"/>
      <c r="E41" s="960"/>
      <c r="F41" s="960"/>
      <c r="G41" s="960"/>
      <c r="H41" s="960"/>
      <c r="I41" s="960"/>
      <c r="J41" s="960"/>
      <c r="K41" s="960"/>
      <c r="L41" s="961"/>
      <c r="M41" s="961"/>
      <c r="N41" s="962"/>
      <c r="O41" s="337"/>
    </row>
    <row r="42" spans="1:16" ht="52.5" customHeight="1" x14ac:dyDescent="0.2">
      <c r="A42" s="439">
        <v>3.1</v>
      </c>
      <c r="B42" s="439">
        <v>3.1</v>
      </c>
      <c r="C42" s="331" t="s">
        <v>517</v>
      </c>
      <c r="D42" s="456" t="s">
        <v>323</v>
      </c>
      <c r="E42" s="457">
        <v>0</v>
      </c>
      <c r="F42" s="457">
        <v>2017</v>
      </c>
      <c r="G42" s="334"/>
      <c r="H42" s="624">
        <v>2</v>
      </c>
      <c r="I42" s="624">
        <v>5</v>
      </c>
      <c r="J42" s="624"/>
      <c r="K42" s="761">
        <v>5</v>
      </c>
      <c r="L42" s="10" t="s">
        <v>576</v>
      </c>
      <c r="M42" s="762"/>
      <c r="N42" s="763">
        <f>+PEP!S59</f>
        <v>1795000</v>
      </c>
      <c r="O42" s="337"/>
    </row>
    <row r="43" spans="1:16" ht="57" x14ac:dyDescent="0.2">
      <c r="A43" s="439">
        <v>3.1</v>
      </c>
      <c r="B43" s="439">
        <v>3.2</v>
      </c>
      <c r="C43" s="19" t="s">
        <v>321</v>
      </c>
      <c r="D43" s="458" t="s">
        <v>322</v>
      </c>
      <c r="E43" s="459">
        <v>0</v>
      </c>
      <c r="F43" s="459">
        <v>2017</v>
      </c>
      <c r="G43" s="13">
        <v>0</v>
      </c>
      <c r="H43" s="13">
        <v>2</v>
      </c>
      <c r="I43" s="13">
        <v>5</v>
      </c>
      <c r="J43" s="13"/>
      <c r="K43" s="756">
        <v>5</v>
      </c>
      <c r="L43" s="21" t="s">
        <v>578</v>
      </c>
      <c r="M43" s="20"/>
      <c r="N43" s="764">
        <f>+PEP!S65</f>
        <v>1505000</v>
      </c>
    </row>
    <row r="44" spans="1:16" ht="85.5" x14ac:dyDescent="0.2">
      <c r="A44" s="439">
        <v>3.2</v>
      </c>
      <c r="B44" s="439">
        <v>3.3</v>
      </c>
      <c r="C44" s="447" t="s">
        <v>317</v>
      </c>
      <c r="D44" s="458" t="s">
        <v>316</v>
      </c>
      <c r="E44" s="459">
        <v>0</v>
      </c>
      <c r="F44" s="459">
        <v>2017</v>
      </c>
      <c r="G44" s="13">
        <v>0</v>
      </c>
      <c r="H44" s="13">
        <v>2</v>
      </c>
      <c r="I44" s="13">
        <v>5</v>
      </c>
      <c r="J44" s="13"/>
      <c r="K44" s="756">
        <v>5</v>
      </c>
      <c r="L44" s="21" t="s">
        <v>579</v>
      </c>
      <c r="M44" s="20" t="s">
        <v>318</v>
      </c>
      <c r="N44" s="764">
        <f>+'3.2 ultimo'!O6</f>
        <v>2750000</v>
      </c>
    </row>
    <row r="45" spans="1:16" ht="40.5" customHeight="1" x14ac:dyDescent="0.2">
      <c r="A45" s="439">
        <v>3.2</v>
      </c>
      <c r="B45" s="439">
        <v>3.4</v>
      </c>
      <c r="C45" s="21" t="s">
        <v>603</v>
      </c>
      <c r="D45" s="458" t="s">
        <v>306</v>
      </c>
      <c r="E45" s="459">
        <v>0</v>
      </c>
      <c r="F45" s="459">
        <v>2017</v>
      </c>
      <c r="G45" s="333"/>
      <c r="H45" s="13">
        <v>2</v>
      </c>
      <c r="I45" s="13">
        <v>5</v>
      </c>
      <c r="J45" s="13"/>
      <c r="K45" s="756">
        <v>5</v>
      </c>
      <c r="L45" s="21" t="s">
        <v>580</v>
      </c>
      <c r="M45" s="20"/>
      <c r="N45" s="764">
        <f>+'3.2 ultimo'!O11</f>
        <v>1800000</v>
      </c>
    </row>
    <row r="46" spans="1:16" ht="35.25" customHeight="1" thickBot="1" x14ac:dyDescent="0.25">
      <c r="A46" s="439">
        <v>3.2</v>
      </c>
      <c r="B46" s="722">
        <v>3.5</v>
      </c>
      <c r="C46" s="22" t="s">
        <v>319</v>
      </c>
      <c r="D46" s="460" t="s">
        <v>320</v>
      </c>
      <c r="E46" s="461">
        <v>0</v>
      </c>
      <c r="F46" s="461">
        <v>2017</v>
      </c>
      <c r="G46" s="335"/>
      <c r="H46" s="626">
        <v>4</v>
      </c>
      <c r="I46" s="626">
        <v>4</v>
      </c>
      <c r="J46" s="626"/>
      <c r="K46" s="758">
        <v>4</v>
      </c>
      <c r="L46" s="11"/>
      <c r="M46" s="5"/>
      <c r="N46" s="765">
        <f>+'3.2 ultimo'!O15</f>
        <v>1850000</v>
      </c>
      <c r="O46" s="337">
        <f>SUM(N42:N46)</f>
        <v>9700000</v>
      </c>
    </row>
    <row r="47" spans="1:16" x14ac:dyDescent="0.2">
      <c r="O47" s="337">
        <f>SUM(O31:O46)</f>
        <v>24800000</v>
      </c>
    </row>
    <row r="54" spans="5:6" ht="76.5" customHeight="1" x14ac:dyDescent="0.2">
      <c r="E54" s="480"/>
      <c r="F54" s="480"/>
    </row>
    <row r="71" ht="26.25" customHeight="1" x14ac:dyDescent="0.2"/>
    <row r="73" ht="40.5" customHeight="1" x14ac:dyDescent="0.2"/>
  </sheetData>
  <mergeCells count="16">
    <mergeCell ref="C2:M2"/>
    <mergeCell ref="C3:M3"/>
    <mergeCell ref="C5:N5"/>
    <mergeCell ref="C6:N6"/>
    <mergeCell ref="C41:N41"/>
    <mergeCell ref="C21:N21"/>
    <mergeCell ref="C34:N34"/>
    <mergeCell ref="M15:N15"/>
    <mergeCell ref="C16:N16"/>
    <mergeCell ref="M17:N17"/>
    <mergeCell ref="M18:N18"/>
    <mergeCell ref="M10:N10"/>
    <mergeCell ref="C11:N11"/>
    <mergeCell ref="M12:N12"/>
    <mergeCell ref="M13:N13"/>
    <mergeCell ref="M14:N14"/>
  </mergeCells>
  <hyperlinks>
    <hyperlink ref="E12" location="_ftn1" display="_ftn1"/>
    <hyperlink ref="E13" location="_ftn2" display="_ftn2"/>
    <hyperlink ref="E15" location="_ftn3" display="_ftn3"/>
  </hyperlinks>
  <pageMargins left="0.23622047244094491" right="0.23622047244094491" top="0.74803149606299213" bottom="0.74803149606299213" header="0.31496062992125984" footer="0.31496062992125984"/>
  <pageSetup paperSize="8" scale="6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1"/>
  <sheetViews>
    <sheetView workbookViewId="0">
      <selection activeCell="C9" sqref="C9:D9"/>
    </sheetView>
  </sheetViews>
  <sheetFormatPr defaultRowHeight="12.75" x14ac:dyDescent="0.2"/>
  <cols>
    <col min="2" max="2" width="18" customWidth="1"/>
    <col min="3" max="3" width="10.42578125" bestFit="1" customWidth="1"/>
    <col min="4" max="5" width="11.42578125" bestFit="1" customWidth="1"/>
    <col min="6" max="6" width="10.42578125" bestFit="1" customWidth="1"/>
    <col min="7" max="7" width="9.28515625" bestFit="1" customWidth="1"/>
    <col min="8" max="8" width="10.140625" bestFit="1" customWidth="1"/>
    <col min="9" max="9" width="10.28515625" customWidth="1"/>
    <col min="10" max="10" width="10.140625" bestFit="1" customWidth="1"/>
    <col min="13" max="13" width="11.28515625" customWidth="1"/>
  </cols>
  <sheetData>
    <row r="1" spans="2:13" x14ac:dyDescent="0.2">
      <c r="C1" s="141"/>
      <c r="D1" s="141"/>
      <c r="E1" s="141"/>
      <c r="F1" s="141"/>
      <c r="G1" s="141"/>
      <c r="H1" s="141"/>
      <c r="I1" s="141"/>
      <c r="J1" s="141"/>
      <c r="K1" s="141"/>
      <c r="L1" s="141"/>
      <c r="M1" s="141"/>
    </row>
    <row r="2" spans="2:13" ht="15.75" x14ac:dyDescent="0.2">
      <c r="C2" s="942" t="s">
        <v>605</v>
      </c>
      <c r="D2" s="942"/>
      <c r="E2" s="942"/>
      <c r="F2" s="942"/>
      <c r="G2" s="942"/>
      <c r="H2" s="942"/>
      <c r="I2" s="942"/>
      <c r="J2" s="942"/>
      <c r="K2" s="942"/>
      <c r="L2" s="942"/>
      <c r="M2" s="942"/>
    </row>
    <row r="3" spans="2:13" x14ac:dyDescent="0.2">
      <c r="C3" s="805" t="s">
        <v>357</v>
      </c>
      <c r="D3" s="805" t="s">
        <v>358</v>
      </c>
      <c r="E3" s="805" t="s">
        <v>359</v>
      </c>
      <c r="F3" s="805" t="s">
        <v>360</v>
      </c>
      <c r="G3" s="805" t="s">
        <v>361</v>
      </c>
      <c r="H3" s="805" t="s">
        <v>362</v>
      </c>
      <c r="I3" s="805" t="s">
        <v>363</v>
      </c>
      <c r="J3" s="805" t="s">
        <v>364</v>
      </c>
      <c r="K3" s="805" t="s">
        <v>610</v>
      </c>
      <c r="L3" s="805" t="s">
        <v>611</v>
      </c>
      <c r="M3" s="815" t="s">
        <v>10</v>
      </c>
    </row>
    <row r="4" spans="2:13" ht="19.5" customHeight="1" x14ac:dyDescent="0.2">
      <c r="C4" s="921"/>
      <c r="D4" s="921">
        <f>+PEP!AP82</f>
        <v>1737500</v>
      </c>
      <c r="E4" s="921">
        <f>+PEP!AQ82</f>
        <v>5394500</v>
      </c>
      <c r="F4" s="921">
        <f>+PEP!AR82</f>
        <v>7513405</v>
      </c>
      <c r="G4" s="921">
        <f>+PEP!AS82</f>
        <v>6450245</v>
      </c>
      <c r="H4" s="921">
        <f>+PEP!AT82</f>
        <v>3313250</v>
      </c>
      <c r="I4" s="921">
        <f>+PEP!AU82</f>
        <v>421100</v>
      </c>
      <c r="J4" s="921">
        <f>+PEP!AV82</f>
        <v>60000</v>
      </c>
      <c r="K4" s="921">
        <f>+PEP!AW82</f>
        <v>110000</v>
      </c>
      <c r="L4" s="921">
        <f>+[1]PEP!AX82</f>
        <v>0</v>
      </c>
      <c r="M4" s="921">
        <f>+[1]PEP!AY82</f>
        <v>25000000</v>
      </c>
    </row>
    <row r="5" spans="2:13" x14ac:dyDescent="0.2">
      <c r="C5" s="922"/>
      <c r="D5" s="922"/>
      <c r="E5" s="922"/>
      <c r="F5" s="922"/>
      <c r="G5" s="922"/>
      <c r="H5" s="922"/>
      <c r="I5" s="922"/>
      <c r="J5" s="922"/>
      <c r="K5" s="922"/>
      <c r="L5" s="922"/>
      <c r="M5" s="922"/>
    </row>
    <row r="6" spans="2:13" ht="15.75" x14ac:dyDescent="0.2">
      <c r="C6" s="942" t="s">
        <v>613</v>
      </c>
      <c r="D6" s="942"/>
      <c r="E6" s="942"/>
      <c r="F6" s="942"/>
      <c r="G6" s="942"/>
      <c r="H6" s="942"/>
      <c r="I6" s="942"/>
      <c r="J6" s="942"/>
      <c r="K6" s="942"/>
      <c r="L6" s="942"/>
      <c r="M6" s="942"/>
    </row>
    <row r="7" spans="2:13" x14ac:dyDescent="0.2">
      <c r="C7" s="981" t="s">
        <v>614</v>
      </c>
      <c r="D7" s="981"/>
      <c r="E7" s="981" t="s">
        <v>615</v>
      </c>
      <c r="F7" s="981"/>
      <c r="G7" s="981" t="s">
        <v>616</v>
      </c>
      <c r="H7" s="981"/>
      <c r="I7" s="981" t="s">
        <v>617</v>
      </c>
      <c r="J7" s="981"/>
      <c r="K7" s="981" t="s">
        <v>618</v>
      </c>
      <c r="L7" s="981"/>
      <c r="M7" s="815" t="s">
        <v>10</v>
      </c>
    </row>
    <row r="8" spans="2:13" ht="21" customHeight="1" x14ac:dyDescent="0.2">
      <c r="C8" s="979">
        <f>+D4+E4</f>
        <v>7132000</v>
      </c>
      <c r="D8" s="980"/>
      <c r="E8" s="979">
        <f>+F4+G4</f>
        <v>13963650</v>
      </c>
      <c r="F8" s="980"/>
      <c r="G8" s="979">
        <f>+H4+I4</f>
        <v>3734350</v>
      </c>
      <c r="H8" s="980"/>
      <c r="I8" s="979">
        <f>+J4+K4</f>
        <v>170000</v>
      </c>
      <c r="J8" s="980"/>
      <c r="K8" s="979">
        <f>+L4</f>
        <v>0</v>
      </c>
      <c r="L8" s="980"/>
      <c r="M8" s="923">
        <f>SUM(C8:L8)</f>
        <v>25000000</v>
      </c>
    </row>
    <row r="9" spans="2:13" x14ac:dyDescent="0.2">
      <c r="C9" s="979"/>
      <c r="D9" s="980"/>
      <c r="E9" s="979"/>
      <c r="F9" s="980"/>
      <c r="G9" s="979"/>
      <c r="H9" s="980"/>
      <c r="I9" s="979"/>
      <c r="J9" s="980"/>
      <c r="K9" s="979"/>
      <c r="L9" s="980"/>
      <c r="M9" s="923"/>
    </row>
    <row r="10" spans="2:13" x14ac:dyDescent="0.2">
      <c r="C10" s="141" t="s">
        <v>619</v>
      </c>
      <c r="D10" s="141"/>
      <c r="E10" s="141"/>
      <c r="F10" s="141"/>
      <c r="G10" s="141"/>
      <c r="H10" s="141"/>
      <c r="I10" s="141"/>
      <c r="J10" s="141"/>
      <c r="K10" s="141"/>
      <c r="L10" s="141"/>
      <c r="M10" s="141"/>
    </row>
    <row r="11" spans="2:13" ht="15.75" x14ac:dyDescent="0.2">
      <c r="B11" t="s">
        <v>623</v>
      </c>
      <c r="C11" s="942" t="s">
        <v>613</v>
      </c>
      <c r="D11" s="942"/>
      <c r="E11" s="942"/>
      <c r="F11" s="942"/>
      <c r="G11" s="942"/>
      <c r="H11" s="942"/>
      <c r="I11" s="942"/>
      <c r="J11" s="942"/>
      <c r="K11" s="942"/>
      <c r="L11" s="942"/>
      <c r="M11" s="942"/>
    </row>
    <row r="12" spans="2:13" x14ac:dyDescent="0.2">
      <c r="C12" s="981" t="s">
        <v>614</v>
      </c>
      <c r="D12" s="981"/>
      <c r="E12" s="981" t="s">
        <v>615</v>
      </c>
      <c r="F12" s="981"/>
      <c r="G12" s="981" t="s">
        <v>616</v>
      </c>
      <c r="H12" s="981"/>
      <c r="I12" s="981" t="s">
        <v>617</v>
      </c>
      <c r="J12" s="981"/>
      <c r="K12" s="981" t="s">
        <v>618</v>
      </c>
      <c r="L12" s="981"/>
      <c r="M12" s="815" t="s">
        <v>10</v>
      </c>
    </row>
    <row r="13" spans="2:13" ht="21.75" customHeight="1" x14ac:dyDescent="0.2">
      <c r="C13" s="979">
        <v>6500000</v>
      </c>
      <c r="D13" s="980"/>
      <c r="E13" s="979">
        <v>12000000</v>
      </c>
      <c r="F13" s="980"/>
      <c r="G13" s="979">
        <v>5000000</v>
      </c>
      <c r="H13" s="980"/>
      <c r="I13" s="979">
        <v>1500000</v>
      </c>
      <c r="J13" s="980"/>
      <c r="K13" s="979">
        <f>+L9</f>
        <v>0</v>
      </c>
      <c r="L13" s="980"/>
      <c r="M13" s="923">
        <f>SUM(C13:L13)</f>
        <v>25000000</v>
      </c>
    </row>
    <row r="14" spans="2:13" x14ac:dyDescent="0.2">
      <c r="F14" s="927">
        <f>SUM(C13:F13)</f>
        <v>18500000</v>
      </c>
      <c r="H14" s="927">
        <f>SUM(C13:H13)</f>
        <v>23500000</v>
      </c>
      <c r="J14" s="927">
        <f>SUM(C13:J13)</f>
        <v>25000000</v>
      </c>
    </row>
    <row r="16" spans="2:13" ht="13.5" thickBot="1" x14ac:dyDescent="0.25">
      <c r="B16" t="s">
        <v>621</v>
      </c>
      <c r="C16" s="924">
        <v>2017</v>
      </c>
      <c r="D16" s="925">
        <v>2018</v>
      </c>
      <c r="E16" s="925">
        <v>2019</v>
      </c>
      <c r="F16" s="925">
        <v>2020</v>
      </c>
      <c r="G16" s="925">
        <v>2021</v>
      </c>
      <c r="H16" s="926" t="s">
        <v>10</v>
      </c>
    </row>
    <row r="17" spans="2:9" x14ac:dyDescent="0.2">
      <c r="C17" s="929">
        <v>2099998</v>
      </c>
      <c r="D17" s="930">
        <v>11154720</v>
      </c>
      <c r="E17" s="930">
        <v>10558624</v>
      </c>
      <c r="F17" s="930">
        <v>1118785</v>
      </c>
      <c r="G17" s="930">
        <v>67873</v>
      </c>
      <c r="H17" s="931" t="s">
        <v>620</v>
      </c>
      <c r="I17" s="928">
        <f>SUM(C17:G17)</f>
        <v>25000000</v>
      </c>
    </row>
    <row r="18" spans="2:9" x14ac:dyDescent="0.2">
      <c r="B18" t="s">
        <v>622</v>
      </c>
      <c r="C18" s="932">
        <v>2017</v>
      </c>
      <c r="D18" s="932">
        <v>2018</v>
      </c>
      <c r="E18" s="932">
        <v>2019</v>
      </c>
      <c r="F18" s="932">
        <v>2020</v>
      </c>
      <c r="G18" s="932">
        <v>2021</v>
      </c>
      <c r="H18" s="933" t="s">
        <v>10</v>
      </c>
      <c r="I18" s="928">
        <f t="shared" ref="I18" si="0">SUM(C18:G18)</f>
        <v>10095</v>
      </c>
    </row>
    <row r="19" spans="2:9" x14ac:dyDescent="0.2">
      <c r="C19" s="934">
        <f>+D4+(E4*0.3)</f>
        <v>3355850</v>
      </c>
      <c r="D19" s="934">
        <f>+(E4*0.7)+F4+(G4*0.5)</f>
        <v>14514677.5</v>
      </c>
      <c r="E19" s="934">
        <f>+(G4*0.5)+H4+(I4*0.5)</f>
        <v>6748922.5</v>
      </c>
      <c r="F19" s="934">
        <f>+(I4*0.5)+J4+(K4*0.5)</f>
        <v>325550</v>
      </c>
      <c r="G19" s="934">
        <f>+K4*0.5</f>
        <v>55000</v>
      </c>
      <c r="H19" s="928">
        <f>SUM(C19:G19)</f>
        <v>25000000</v>
      </c>
    </row>
    <row r="20" spans="2:9" x14ac:dyDescent="0.2">
      <c r="C20" s="934">
        <v>3356000</v>
      </c>
      <c r="D20" s="934">
        <v>14515000</v>
      </c>
      <c r="E20" s="934">
        <v>6750000</v>
      </c>
      <c r="F20" s="934">
        <v>325000</v>
      </c>
      <c r="G20" s="934">
        <v>54000</v>
      </c>
      <c r="H20" s="934">
        <f>SUM(C20:G20)</f>
        <v>25000000</v>
      </c>
    </row>
    <row r="21" spans="2:9" x14ac:dyDescent="0.2">
      <c r="H21" s="935">
        <f>+H19-H20</f>
        <v>0</v>
      </c>
    </row>
  </sheetData>
  <mergeCells count="28">
    <mergeCell ref="C2:M2"/>
    <mergeCell ref="C6:M6"/>
    <mergeCell ref="C7:D7"/>
    <mergeCell ref="E7:F7"/>
    <mergeCell ref="G7:H7"/>
    <mergeCell ref="I7:J7"/>
    <mergeCell ref="K7:L7"/>
    <mergeCell ref="C9:D9"/>
    <mergeCell ref="E9:F9"/>
    <mergeCell ref="G9:H9"/>
    <mergeCell ref="I9:J9"/>
    <mergeCell ref="K9:L9"/>
    <mergeCell ref="C8:D8"/>
    <mergeCell ref="E8:F8"/>
    <mergeCell ref="G8:H8"/>
    <mergeCell ref="I8:J8"/>
    <mergeCell ref="K8:L8"/>
    <mergeCell ref="C11:M11"/>
    <mergeCell ref="C12:D12"/>
    <mergeCell ref="E12:F12"/>
    <mergeCell ref="G12:H12"/>
    <mergeCell ref="I12:J12"/>
    <mergeCell ref="K12:L12"/>
    <mergeCell ref="C13:D13"/>
    <mergeCell ref="E13:F13"/>
    <mergeCell ref="G13:H13"/>
    <mergeCell ref="I13:J13"/>
    <mergeCell ref="K13:L1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topLeftCell="A4" workbookViewId="0">
      <selection activeCell="C20" sqref="C20:C21"/>
    </sheetView>
  </sheetViews>
  <sheetFormatPr defaultRowHeight="12.75" x14ac:dyDescent="0.2"/>
  <cols>
    <col min="1" max="1" width="23.140625" style="679" customWidth="1"/>
    <col min="2" max="2" width="9.140625" style="679"/>
    <col min="3" max="3" width="51.5703125" style="679" customWidth="1"/>
    <col min="4" max="4" width="5.5703125" style="679" customWidth="1"/>
    <col min="5" max="5" width="12.140625" style="679" customWidth="1"/>
    <col min="6" max="9" width="6.85546875" style="701" customWidth="1"/>
    <col min="10" max="10" width="3.28515625" style="679" customWidth="1"/>
    <col min="11" max="12" width="9.28515625" style="679" bestFit="1" customWidth="1"/>
    <col min="13" max="13" width="9.42578125" style="679" bestFit="1" customWidth="1"/>
    <col min="14" max="14" width="9.28515625" style="679" bestFit="1" customWidth="1"/>
    <col min="15" max="15" width="9.42578125" style="679" bestFit="1" customWidth="1"/>
    <col min="16" max="16384" width="9.140625" style="679"/>
  </cols>
  <sheetData>
    <row r="1" spans="1:15" x14ac:dyDescent="0.2">
      <c r="A1" s="983"/>
      <c r="B1" s="983"/>
      <c r="C1" s="983"/>
      <c r="D1" s="983"/>
      <c r="E1" s="983"/>
    </row>
    <row r="2" spans="1:15" x14ac:dyDescent="0.2">
      <c r="A2" s="985"/>
      <c r="B2" s="985"/>
      <c r="C2" s="985"/>
      <c r="D2" s="985"/>
      <c r="E2" s="985"/>
    </row>
    <row r="3" spans="1:15" x14ac:dyDescent="0.2">
      <c r="A3" s="984" t="s">
        <v>239</v>
      </c>
      <c r="B3" s="984"/>
      <c r="C3" s="984"/>
      <c r="D3" s="984"/>
      <c r="E3" s="984"/>
    </row>
    <row r="4" spans="1:15" x14ac:dyDescent="0.2">
      <c r="A4" s="984"/>
      <c r="B4" s="984"/>
      <c r="C4" s="984"/>
      <c r="D4" s="984"/>
      <c r="E4" s="984"/>
      <c r="L4" s="679" t="s">
        <v>554</v>
      </c>
    </row>
    <row r="5" spans="1:15" x14ac:dyDescent="0.2">
      <c r="A5" s="670" t="s">
        <v>240</v>
      </c>
      <c r="B5" s="670" t="s">
        <v>524</v>
      </c>
      <c r="C5" s="671" t="s">
        <v>241</v>
      </c>
      <c r="D5" s="672" t="s">
        <v>525</v>
      </c>
      <c r="E5" s="664" t="s">
        <v>242</v>
      </c>
      <c r="F5" s="702">
        <v>2017</v>
      </c>
      <c r="G5" s="702">
        <v>2018</v>
      </c>
      <c r="H5" s="702">
        <v>2019</v>
      </c>
      <c r="I5" s="702">
        <v>2020</v>
      </c>
      <c r="K5" s="670">
        <v>2017</v>
      </c>
      <c r="L5" s="670">
        <v>2018</v>
      </c>
      <c r="M5" s="670">
        <v>2019</v>
      </c>
      <c r="N5" s="670">
        <v>2020</v>
      </c>
      <c r="O5" s="679" t="s">
        <v>10</v>
      </c>
    </row>
    <row r="6" spans="1:15" s="681" customFormat="1" x14ac:dyDescent="0.2">
      <c r="A6" s="673"/>
      <c r="B6" s="673"/>
      <c r="C6" s="674"/>
      <c r="D6" s="675"/>
      <c r="E6" s="669">
        <f>SUM(E7:E10)</f>
        <v>2750000</v>
      </c>
      <c r="F6" s="703">
        <f t="shared" ref="F6:I6" si="0">SUM(F7:F10)</f>
        <v>0.60000000000000009</v>
      </c>
      <c r="G6" s="703">
        <f t="shared" si="0"/>
        <v>2.1</v>
      </c>
      <c r="H6" s="703">
        <f t="shared" si="0"/>
        <v>1.3</v>
      </c>
      <c r="I6" s="703">
        <f t="shared" si="0"/>
        <v>0</v>
      </c>
      <c r="J6" s="669">
        <f t="shared" ref="J6" si="1">SUM(J7:J10)</f>
        <v>0</v>
      </c>
      <c r="K6" s="678">
        <f t="shared" ref="K6" si="2">SUM(K7:K10)</f>
        <v>495000</v>
      </c>
      <c r="L6" s="678">
        <f t="shared" ref="L6" si="3">SUM(L7:L10)</f>
        <v>1500000</v>
      </c>
      <c r="M6" s="678">
        <f t="shared" ref="M6" si="4">SUM(M7:M10)</f>
        <v>755000</v>
      </c>
      <c r="N6" s="678">
        <f t="shared" ref="N6" si="5">SUM(N7:N10)</f>
        <v>0</v>
      </c>
      <c r="O6" s="680">
        <f>SUM(K6:N6)</f>
        <v>2750000</v>
      </c>
    </row>
    <row r="7" spans="1:15" x14ac:dyDescent="0.2">
      <c r="A7" s="982" t="s">
        <v>526</v>
      </c>
      <c r="B7" s="682"/>
      <c r="C7" s="666" t="s">
        <v>527</v>
      </c>
      <c r="D7" s="676" t="s">
        <v>11</v>
      </c>
      <c r="E7" s="683">
        <v>275000</v>
      </c>
      <c r="F7" s="704">
        <v>0</v>
      </c>
      <c r="G7" s="704">
        <v>0.5</v>
      </c>
      <c r="H7" s="704">
        <v>0.5</v>
      </c>
      <c r="I7" s="704"/>
      <c r="K7" s="684">
        <f>+$E7*F7</f>
        <v>0</v>
      </c>
      <c r="L7" s="684">
        <f t="shared" ref="L7:N7" si="6">+$E7*G7</f>
        <v>137500</v>
      </c>
      <c r="M7" s="684">
        <f t="shared" si="6"/>
        <v>137500</v>
      </c>
      <c r="N7" s="684">
        <f t="shared" si="6"/>
        <v>0</v>
      </c>
      <c r="O7" s="684">
        <f t="shared" ref="O7:O45" si="7">SUM(K7:N7)</f>
        <v>275000</v>
      </c>
    </row>
    <row r="8" spans="1:15" x14ac:dyDescent="0.2">
      <c r="A8" s="982"/>
      <c r="B8" s="682"/>
      <c r="C8" s="666" t="s">
        <v>528</v>
      </c>
      <c r="D8" s="676" t="s">
        <v>11</v>
      </c>
      <c r="E8" s="683">
        <v>1208500</v>
      </c>
      <c r="F8" s="704">
        <v>0.2</v>
      </c>
      <c r="G8" s="704">
        <v>0.5</v>
      </c>
      <c r="H8" s="704">
        <v>0.3</v>
      </c>
      <c r="I8" s="704"/>
      <c r="K8" s="684">
        <f t="shared" ref="K8:K10" si="8">+$E8*F8</f>
        <v>241700</v>
      </c>
      <c r="L8" s="684">
        <f t="shared" ref="L8:L10" si="9">+$E8*G8</f>
        <v>604250</v>
      </c>
      <c r="M8" s="684">
        <f t="shared" ref="M8:M10" si="10">+$E8*H8</f>
        <v>362550</v>
      </c>
      <c r="N8" s="684">
        <f t="shared" ref="N8:N10" si="11">+$E8*I8</f>
        <v>0</v>
      </c>
      <c r="O8" s="684">
        <f t="shared" si="7"/>
        <v>1208500</v>
      </c>
    </row>
    <row r="9" spans="1:15" x14ac:dyDescent="0.2">
      <c r="A9" s="982"/>
      <c r="B9" s="682"/>
      <c r="C9" s="666" t="s">
        <v>529</v>
      </c>
      <c r="D9" s="676" t="s">
        <v>11</v>
      </c>
      <c r="E9" s="683">
        <v>16500</v>
      </c>
      <c r="F9" s="704">
        <v>0.2</v>
      </c>
      <c r="G9" s="704">
        <v>0.5</v>
      </c>
      <c r="H9" s="704">
        <v>0.3</v>
      </c>
      <c r="I9" s="704"/>
      <c r="K9" s="684">
        <f t="shared" si="8"/>
        <v>3300</v>
      </c>
      <c r="L9" s="684">
        <f t="shared" si="9"/>
        <v>8250</v>
      </c>
      <c r="M9" s="684">
        <f t="shared" si="10"/>
        <v>4950</v>
      </c>
      <c r="N9" s="684">
        <f t="shared" si="11"/>
        <v>0</v>
      </c>
      <c r="O9" s="684">
        <f t="shared" si="7"/>
        <v>16500</v>
      </c>
    </row>
    <row r="10" spans="1:15" x14ac:dyDescent="0.2">
      <c r="A10" s="982"/>
      <c r="B10" s="682"/>
      <c r="C10" s="666" t="s">
        <v>251</v>
      </c>
      <c r="D10" s="676" t="s">
        <v>11</v>
      </c>
      <c r="E10" s="683">
        <v>1250000</v>
      </c>
      <c r="F10" s="704">
        <v>0.2</v>
      </c>
      <c r="G10" s="704">
        <v>0.6</v>
      </c>
      <c r="H10" s="704">
        <v>0.2</v>
      </c>
      <c r="I10" s="704"/>
      <c r="K10" s="684">
        <f t="shared" si="8"/>
        <v>250000</v>
      </c>
      <c r="L10" s="684">
        <f t="shared" si="9"/>
        <v>750000</v>
      </c>
      <c r="M10" s="684">
        <f t="shared" si="10"/>
        <v>250000</v>
      </c>
      <c r="N10" s="684">
        <f t="shared" si="11"/>
        <v>0</v>
      </c>
      <c r="O10" s="684">
        <f t="shared" si="7"/>
        <v>1250000</v>
      </c>
    </row>
    <row r="11" spans="1:15" s="681" customFormat="1" x14ac:dyDescent="0.2">
      <c r="A11" s="673"/>
      <c r="B11" s="673"/>
      <c r="C11" s="674"/>
      <c r="D11" s="675"/>
      <c r="E11" s="669">
        <f>SUM(E12:E14)</f>
        <v>1800000</v>
      </c>
      <c r="F11" s="703">
        <f t="shared" ref="F11:I11" si="12">SUM(F12:F14)</f>
        <v>0</v>
      </c>
      <c r="G11" s="703">
        <f t="shared" si="12"/>
        <v>1.2000000000000002</v>
      </c>
      <c r="H11" s="703">
        <f t="shared" si="12"/>
        <v>1.7999999999999998</v>
      </c>
      <c r="I11" s="703">
        <f t="shared" si="12"/>
        <v>0</v>
      </c>
      <c r="J11" s="669">
        <f t="shared" ref="J11" si="13">SUM(J12:J14)</f>
        <v>0</v>
      </c>
      <c r="K11" s="678">
        <f t="shared" ref="K11" si="14">SUM(K12:K14)</f>
        <v>0</v>
      </c>
      <c r="L11" s="678">
        <f t="shared" ref="L11" si="15">SUM(L12:L14)</f>
        <v>720000</v>
      </c>
      <c r="M11" s="678">
        <f t="shared" ref="M11:N11" si="16">SUM(M12:M14)</f>
        <v>1080000</v>
      </c>
      <c r="N11" s="678">
        <f t="shared" si="16"/>
        <v>0</v>
      </c>
      <c r="O11" s="680">
        <f t="shared" si="7"/>
        <v>1800000</v>
      </c>
    </row>
    <row r="12" spans="1:15" x14ac:dyDescent="0.2">
      <c r="A12" s="982" t="s">
        <v>530</v>
      </c>
      <c r="B12" s="682"/>
      <c r="C12" s="666" t="s">
        <v>531</v>
      </c>
      <c r="D12" s="676" t="s">
        <v>11</v>
      </c>
      <c r="E12" s="683">
        <v>500000</v>
      </c>
      <c r="F12" s="705"/>
      <c r="G12" s="704">
        <v>0.4</v>
      </c>
      <c r="H12" s="704">
        <v>0.6</v>
      </c>
      <c r="K12" s="684">
        <f t="shared" ref="K12:K14" si="17">+$E12*F12</f>
        <v>0</v>
      </c>
      <c r="L12" s="684">
        <f t="shared" ref="L12:L14" si="18">+$E12*G12</f>
        <v>200000</v>
      </c>
      <c r="M12" s="684">
        <f t="shared" ref="M12:M14" si="19">+$E12*H12</f>
        <v>300000</v>
      </c>
      <c r="N12" s="684">
        <f t="shared" ref="N12:N14" si="20">+$E12*I12</f>
        <v>0</v>
      </c>
      <c r="O12" s="684">
        <f t="shared" si="7"/>
        <v>500000</v>
      </c>
    </row>
    <row r="13" spans="1:15" x14ac:dyDescent="0.2">
      <c r="A13" s="982"/>
      <c r="B13" s="682"/>
      <c r="C13" s="666" t="s">
        <v>532</v>
      </c>
      <c r="D13" s="676" t="s">
        <v>11</v>
      </c>
      <c r="E13" s="683">
        <v>1290000</v>
      </c>
      <c r="G13" s="704">
        <v>0.4</v>
      </c>
      <c r="H13" s="704">
        <v>0.6</v>
      </c>
      <c r="K13" s="684">
        <f t="shared" si="17"/>
        <v>0</v>
      </c>
      <c r="L13" s="684">
        <f t="shared" si="18"/>
        <v>516000</v>
      </c>
      <c r="M13" s="684">
        <f t="shared" si="19"/>
        <v>774000</v>
      </c>
      <c r="N13" s="684">
        <f t="shared" si="20"/>
        <v>0</v>
      </c>
      <c r="O13" s="684">
        <f t="shared" si="7"/>
        <v>1290000</v>
      </c>
    </row>
    <row r="14" spans="1:15" x14ac:dyDescent="0.2">
      <c r="A14" s="982"/>
      <c r="B14" s="682"/>
      <c r="C14" s="666" t="s">
        <v>131</v>
      </c>
      <c r="D14" s="665" t="s">
        <v>11</v>
      </c>
      <c r="E14" s="683">
        <v>10000</v>
      </c>
      <c r="G14" s="704">
        <v>0.4</v>
      </c>
      <c r="H14" s="704">
        <v>0.6</v>
      </c>
      <c r="K14" s="684">
        <f t="shared" si="17"/>
        <v>0</v>
      </c>
      <c r="L14" s="684">
        <f t="shared" si="18"/>
        <v>4000</v>
      </c>
      <c r="M14" s="684">
        <f t="shared" si="19"/>
        <v>6000</v>
      </c>
      <c r="N14" s="684">
        <f t="shared" si="20"/>
        <v>0</v>
      </c>
      <c r="O14" s="684">
        <f t="shared" si="7"/>
        <v>10000</v>
      </c>
    </row>
    <row r="15" spans="1:15" s="681" customFormat="1" x14ac:dyDescent="0.2">
      <c r="A15" s="673"/>
      <c r="B15" s="673"/>
      <c r="C15" s="674"/>
      <c r="D15" s="675"/>
      <c r="E15" s="669">
        <f>+E16+E20+E26+E31+E37</f>
        <v>1850000</v>
      </c>
      <c r="F15" s="703">
        <f t="shared" ref="F15:I15" si="21">+F16+F20+F26+F31+F37</f>
        <v>0</v>
      </c>
      <c r="G15" s="703">
        <f t="shared" si="21"/>
        <v>0</v>
      </c>
      <c r="H15" s="703">
        <f t="shared" si="21"/>
        <v>0</v>
      </c>
      <c r="I15" s="703">
        <f t="shared" si="21"/>
        <v>0</v>
      </c>
      <c r="J15" s="669">
        <f t="shared" ref="J15" si="22">+J16+J20+J26+J31+J37</f>
        <v>0</v>
      </c>
      <c r="K15" s="678">
        <f t="shared" ref="K15" si="23">+K16+K20+K26+K31+K37</f>
        <v>30000</v>
      </c>
      <c r="L15" s="678">
        <f t="shared" ref="L15" si="24">+L16+L20+L26+L31+L37</f>
        <v>1018405</v>
      </c>
      <c r="M15" s="678">
        <f t="shared" ref="M15" si="25">+M16+M20+M26+M31+M37</f>
        <v>629995</v>
      </c>
      <c r="N15" s="678">
        <f t="shared" ref="N15" si="26">+N16+N20+N26+N31+N37</f>
        <v>171600</v>
      </c>
      <c r="O15" s="680">
        <f t="shared" si="7"/>
        <v>1850000</v>
      </c>
    </row>
    <row r="16" spans="1:15" x14ac:dyDescent="0.2">
      <c r="A16" s="982" t="s">
        <v>533</v>
      </c>
      <c r="B16" s="682"/>
      <c r="C16" s="685" t="s">
        <v>534</v>
      </c>
      <c r="D16" s="686" t="s">
        <v>11</v>
      </c>
      <c r="E16" s="687">
        <f>SUM(E17:E19)</f>
        <v>134000</v>
      </c>
      <c r="F16" s="706"/>
      <c r="G16" s="706"/>
      <c r="H16" s="706"/>
      <c r="I16" s="706"/>
      <c r="J16" s="687"/>
      <c r="K16" s="687">
        <f t="shared" ref="K16:N16" si="27">SUM(K17:K19)</f>
        <v>0</v>
      </c>
      <c r="L16" s="687">
        <f t="shared" si="27"/>
        <v>80000</v>
      </c>
      <c r="M16" s="687">
        <f t="shared" si="27"/>
        <v>54000</v>
      </c>
      <c r="N16" s="687">
        <f t="shared" si="27"/>
        <v>0</v>
      </c>
      <c r="O16" s="684">
        <f t="shared" si="7"/>
        <v>134000</v>
      </c>
    </row>
    <row r="17" spans="1:15" x14ac:dyDescent="0.2">
      <c r="A17" s="982"/>
      <c r="B17" s="682"/>
      <c r="C17" s="666" t="s">
        <v>535</v>
      </c>
      <c r="D17" s="676" t="s">
        <v>11</v>
      </c>
      <c r="E17" s="668">
        <v>44000</v>
      </c>
      <c r="F17" s="704"/>
      <c r="G17" s="704">
        <v>1</v>
      </c>
      <c r="H17" s="704"/>
      <c r="K17" s="684">
        <f t="shared" ref="K17:K44" si="28">+$E17*F17</f>
        <v>0</v>
      </c>
      <c r="L17" s="684">
        <f t="shared" ref="L17:L44" si="29">+$E17*G17</f>
        <v>44000</v>
      </c>
      <c r="M17" s="684">
        <f t="shared" ref="M17:M44" si="30">+$E17*H17</f>
        <v>0</v>
      </c>
      <c r="N17" s="684">
        <f t="shared" ref="N17:N44" si="31">+$E17*I17</f>
        <v>0</v>
      </c>
      <c r="O17" s="684">
        <f t="shared" si="7"/>
        <v>44000</v>
      </c>
    </row>
    <row r="18" spans="1:15" x14ac:dyDescent="0.2">
      <c r="A18" s="982"/>
      <c r="B18" s="682"/>
      <c r="C18" s="666" t="s">
        <v>536</v>
      </c>
      <c r="D18" s="677" t="s">
        <v>11</v>
      </c>
      <c r="E18" s="667">
        <v>40000</v>
      </c>
      <c r="F18" s="704"/>
      <c r="G18" s="704">
        <v>0.4</v>
      </c>
      <c r="H18" s="704">
        <v>0.6</v>
      </c>
      <c r="K18" s="684">
        <f t="shared" si="28"/>
        <v>0</v>
      </c>
      <c r="L18" s="684">
        <f t="shared" si="29"/>
        <v>16000</v>
      </c>
      <c r="M18" s="684">
        <f t="shared" si="30"/>
        <v>24000</v>
      </c>
      <c r="N18" s="684">
        <f t="shared" si="31"/>
        <v>0</v>
      </c>
      <c r="O18" s="684">
        <f t="shared" si="7"/>
        <v>40000</v>
      </c>
    </row>
    <row r="19" spans="1:15" x14ac:dyDescent="0.2">
      <c r="A19" s="982"/>
      <c r="B19" s="682"/>
      <c r="C19" s="666" t="s">
        <v>537</v>
      </c>
      <c r="D19" s="676" t="s">
        <v>11</v>
      </c>
      <c r="E19" s="668">
        <v>50000</v>
      </c>
      <c r="F19" s="704"/>
      <c r="G19" s="704">
        <v>0.4</v>
      </c>
      <c r="H19" s="704">
        <v>0.6</v>
      </c>
      <c r="K19" s="684">
        <f t="shared" si="28"/>
        <v>0</v>
      </c>
      <c r="L19" s="684">
        <f t="shared" si="29"/>
        <v>20000</v>
      </c>
      <c r="M19" s="684">
        <f t="shared" si="30"/>
        <v>30000</v>
      </c>
      <c r="N19" s="684">
        <f t="shared" si="31"/>
        <v>0</v>
      </c>
      <c r="O19" s="684">
        <f t="shared" si="7"/>
        <v>50000</v>
      </c>
    </row>
    <row r="20" spans="1:15" x14ac:dyDescent="0.2">
      <c r="A20" s="982"/>
      <c r="B20" s="688">
        <v>1</v>
      </c>
      <c r="C20" s="685" t="s">
        <v>538</v>
      </c>
      <c r="D20" s="689" t="s">
        <v>11</v>
      </c>
      <c r="E20" s="687">
        <f>SUM(E21:E25)</f>
        <v>563500</v>
      </c>
      <c r="F20" s="706"/>
      <c r="G20" s="706"/>
      <c r="H20" s="706"/>
      <c r="I20" s="706"/>
      <c r="J20" s="687"/>
      <c r="K20" s="687">
        <f t="shared" ref="K20:N20" si="32">SUM(K21:K25)</f>
        <v>30000</v>
      </c>
      <c r="L20" s="687">
        <f t="shared" si="32"/>
        <v>379755</v>
      </c>
      <c r="M20" s="687">
        <f t="shared" si="32"/>
        <v>153745</v>
      </c>
      <c r="N20" s="687">
        <f t="shared" si="32"/>
        <v>0</v>
      </c>
      <c r="O20" s="684">
        <f t="shared" si="7"/>
        <v>563500</v>
      </c>
    </row>
    <row r="21" spans="1:15" x14ac:dyDescent="0.2">
      <c r="A21" s="982"/>
      <c r="B21" s="682"/>
      <c r="C21" s="666" t="s">
        <v>539</v>
      </c>
      <c r="D21" s="676" t="s">
        <v>11</v>
      </c>
      <c r="E21" s="668">
        <v>150000</v>
      </c>
      <c r="F21" s="704">
        <v>0.2</v>
      </c>
      <c r="G21" s="704">
        <v>0.6</v>
      </c>
      <c r="H21" s="704">
        <v>0.2</v>
      </c>
      <c r="K21" s="684">
        <f t="shared" si="28"/>
        <v>30000</v>
      </c>
      <c r="L21" s="684">
        <f t="shared" si="29"/>
        <v>90000</v>
      </c>
      <c r="M21" s="684">
        <f t="shared" si="30"/>
        <v>30000</v>
      </c>
      <c r="N21" s="684">
        <f t="shared" si="31"/>
        <v>0</v>
      </c>
      <c r="O21" s="684">
        <f t="shared" si="7"/>
        <v>150000</v>
      </c>
    </row>
    <row r="22" spans="1:15" x14ac:dyDescent="0.2">
      <c r="A22" s="982"/>
      <c r="B22" s="682"/>
      <c r="C22" s="666" t="s">
        <v>540</v>
      </c>
      <c r="D22" s="676" t="s">
        <v>11</v>
      </c>
      <c r="E22" s="668">
        <v>180000</v>
      </c>
      <c r="F22" s="704"/>
      <c r="G22" s="704">
        <v>0.4</v>
      </c>
      <c r="H22" s="704">
        <v>0.6</v>
      </c>
      <c r="K22" s="684">
        <f t="shared" si="28"/>
        <v>0</v>
      </c>
      <c r="L22" s="684">
        <f t="shared" si="29"/>
        <v>72000</v>
      </c>
      <c r="M22" s="684">
        <f t="shared" si="30"/>
        <v>108000</v>
      </c>
      <c r="N22" s="684">
        <f t="shared" si="31"/>
        <v>0</v>
      </c>
      <c r="O22" s="684">
        <f t="shared" si="7"/>
        <v>180000</v>
      </c>
    </row>
    <row r="23" spans="1:15" x14ac:dyDescent="0.2">
      <c r="A23" s="982"/>
      <c r="B23" s="682"/>
      <c r="C23" s="666" t="s">
        <v>541</v>
      </c>
      <c r="D23" s="676" t="s">
        <v>11</v>
      </c>
      <c r="E23" s="668">
        <v>200000</v>
      </c>
      <c r="F23" s="704"/>
      <c r="G23" s="704">
        <v>1</v>
      </c>
      <c r="H23" s="704"/>
      <c r="K23" s="684">
        <f t="shared" si="28"/>
        <v>0</v>
      </c>
      <c r="L23" s="684">
        <f t="shared" si="29"/>
        <v>200000</v>
      </c>
      <c r="M23" s="684">
        <f t="shared" si="30"/>
        <v>0</v>
      </c>
      <c r="N23" s="684">
        <f t="shared" si="31"/>
        <v>0</v>
      </c>
      <c r="O23" s="684">
        <f t="shared" si="7"/>
        <v>200000</v>
      </c>
    </row>
    <row r="24" spans="1:15" x14ac:dyDescent="0.2">
      <c r="A24" s="982"/>
      <c r="B24" s="682"/>
      <c r="C24" s="666" t="s">
        <v>529</v>
      </c>
      <c r="D24" s="677" t="s">
        <v>11</v>
      </c>
      <c r="E24" s="667">
        <v>10000</v>
      </c>
      <c r="F24" s="704"/>
      <c r="G24" s="704">
        <v>1</v>
      </c>
      <c r="H24" s="704"/>
      <c r="K24" s="684">
        <f t="shared" si="28"/>
        <v>0</v>
      </c>
      <c r="L24" s="684">
        <f t="shared" si="29"/>
        <v>10000</v>
      </c>
      <c r="M24" s="684">
        <f t="shared" si="30"/>
        <v>0</v>
      </c>
      <c r="N24" s="684">
        <f t="shared" si="31"/>
        <v>0</v>
      </c>
      <c r="O24" s="684">
        <f t="shared" si="7"/>
        <v>10000</v>
      </c>
    </row>
    <row r="25" spans="1:15" x14ac:dyDescent="0.2">
      <c r="A25" s="982"/>
      <c r="B25" s="682"/>
      <c r="C25" s="666" t="s">
        <v>542</v>
      </c>
      <c r="D25" s="676" t="s">
        <v>11</v>
      </c>
      <c r="E25" s="668">
        <v>23500</v>
      </c>
      <c r="F25" s="704"/>
      <c r="G25" s="704">
        <v>0.33</v>
      </c>
      <c r="H25" s="704">
        <v>0.67</v>
      </c>
      <c r="K25" s="684">
        <f t="shared" si="28"/>
        <v>0</v>
      </c>
      <c r="L25" s="684">
        <f t="shared" si="29"/>
        <v>7755</v>
      </c>
      <c r="M25" s="684">
        <f t="shared" si="30"/>
        <v>15745.000000000002</v>
      </c>
      <c r="N25" s="684">
        <f t="shared" si="31"/>
        <v>0</v>
      </c>
      <c r="O25" s="684">
        <f t="shared" si="7"/>
        <v>23500</v>
      </c>
    </row>
    <row r="26" spans="1:15" x14ac:dyDescent="0.2">
      <c r="A26" s="982"/>
      <c r="B26" s="688">
        <v>1</v>
      </c>
      <c r="C26" s="690" t="s">
        <v>543</v>
      </c>
      <c r="D26" s="691" t="s">
        <v>11</v>
      </c>
      <c r="E26" s="687">
        <f>SUM(E27:E30)</f>
        <v>205000</v>
      </c>
      <c r="F26" s="706"/>
      <c r="G26" s="706"/>
      <c r="H26" s="706"/>
      <c r="I26" s="706"/>
      <c r="J26" s="687"/>
      <c r="K26" s="687">
        <f t="shared" ref="K26:N26" si="33">SUM(K27:K30)</f>
        <v>0</v>
      </c>
      <c r="L26" s="687">
        <f t="shared" si="33"/>
        <v>141950</v>
      </c>
      <c r="M26" s="687">
        <f t="shared" si="33"/>
        <v>63050</v>
      </c>
      <c r="N26" s="687">
        <f t="shared" si="33"/>
        <v>0</v>
      </c>
      <c r="O26" s="684">
        <f t="shared" si="7"/>
        <v>205000</v>
      </c>
    </row>
    <row r="27" spans="1:15" ht="25.5" x14ac:dyDescent="0.2">
      <c r="A27" s="982"/>
      <c r="B27" s="682"/>
      <c r="C27" s="692" t="s">
        <v>376</v>
      </c>
      <c r="D27" s="665" t="s">
        <v>11</v>
      </c>
      <c r="E27" s="668">
        <v>150000</v>
      </c>
      <c r="F27" s="704"/>
      <c r="G27" s="704">
        <v>0.67</v>
      </c>
      <c r="H27" s="704">
        <v>0.33</v>
      </c>
      <c r="I27" s="704"/>
      <c r="K27" s="684">
        <f t="shared" si="28"/>
        <v>0</v>
      </c>
      <c r="L27" s="684">
        <f t="shared" si="29"/>
        <v>100500</v>
      </c>
      <c r="M27" s="684">
        <f t="shared" si="30"/>
        <v>49500</v>
      </c>
      <c r="N27" s="684">
        <f t="shared" si="31"/>
        <v>0</v>
      </c>
      <c r="O27" s="684">
        <f t="shared" si="7"/>
        <v>150000</v>
      </c>
    </row>
    <row r="28" spans="1:15" x14ac:dyDescent="0.2">
      <c r="A28" s="982"/>
      <c r="B28" s="682"/>
      <c r="C28" s="692" t="s">
        <v>544</v>
      </c>
      <c r="D28" s="665" t="s">
        <v>11</v>
      </c>
      <c r="E28" s="668">
        <v>20000</v>
      </c>
      <c r="F28" s="704"/>
      <c r="G28" s="704">
        <v>0.67</v>
      </c>
      <c r="H28" s="704">
        <v>0.33</v>
      </c>
      <c r="I28" s="704"/>
      <c r="K28" s="684">
        <f t="shared" si="28"/>
        <v>0</v>
      </c>
      <c r="L28" s="684">
        <f t="shared" si="29"/>
        <v>13400</v>
      </c>
      <c r="M28" s="684">
        <f t="shared" si="30"/>
        <v>6600</v>
      </c>
      <c r="N28" s="684">
        <f t="shared" si="31"/>
        <v>0</v>
      </c>
      <c r="O28" s="684">
        <f t="shared" si="7"/>
        <v>20000</v>
      </c>
    </row>
    <row r="29" spans="1:15" x14ac:dyDescent="0.2">
      <c r="A29" s="982"/>
      <c r="B29" s="682"/>
      <c r="C29" s="693" t="s">
        <v>545</v>
      </c>
      <c r="D29" s="694" t="s">
        <v>11</v>
      </c>
      <c r="E29" s="667">
        <v>20000</v>
      </c>
      <c r="F29" s="704"/>
      <c r="G29" s="704">
        <v>0.9</v>
      </c>
      <c r="H29" s="704">
        <v>0.1</v>
      </c>
      <c r="I29" s="704"/>
      <c r="K29" s="684">
        <f t="shared" si="28"/>
        <v>0</v>
      </c>
      <c r="L29" s="684">
        <f t="shared" si="29"/>
        <v>18000</v>
      </c>
      <c r="M29" s="684">
        <f t="shared" si="30"/>
        <v>2000</v>
      </c>
      <c r="N29" s="684">
        <f t="shared" si="31"/>
        <v>0</v>
      </c>
      <c r="O29" s="684">
        <f t="shared" si="7"/>
        <v>20000</v>
      </c>
    </row>
    <row r="30" spans="1:15" ht="25.5" x14ac:dyDescent="0.2">
      <c r="A30" s="982"/>
      <c r="B30" s="682"/>
      <c r="C30" s="692" t="s">
        <v>371</v>
      </c>
      <c r="D30" s="665" t="s">
        <v>11</v>
      </c>
      <c r="E30" s="668">
        <v>15000</v>
      </c>
      <c r="F30" s="704"/>
      <c r="G30" s="704">
        <v>0.67</v>
      </c>
      <c r="H30" s="704">
        <v>0.33</v>
      </c>
      <c r="I30" s="704"/>
      <c r="K30" s="684">
        <f t="shared" si="28"/>
        <v>0</v>
      </c>
      <c r="L30" s="684">
        <f t="shared" si="29"/>
        <v>10050</v>
      </c>
      <c r="M30" s="684">
        <f t="shared" si="30"/>
        <v>4950</v>
      </c>
      <c r="N30" s="684">
        <f t="shared" si="31"/>
        <v>0</v>
      </c>
      <c r="O30" s="684">
        <f t="shared" si="7"/>
        <v>15000</v>
      </c>
    </row>
    <row r="31" spans="1:15" x14ac:dyDescent="0.2">
      <c r="A31" s="982"/>
      <c r="B31" s="682"/>
      <c r="C31" s="695" t="s">
        <v>546</v>
      </c>
      <c r="D31" s="686" t="s">
        <v>11</v>
      </c>
      <c r="E31" s="687">
        <f>SUM(E32:E36)</f>
        <v>314000</v>
      </c>
      <c r="F31" s="706"/>
      <c r="G31" s="706"/>
      <c r="H31" s="706"/>
      <c r="I31" s="706"/>
      <c r="J31" s="687"/>
      <c r="K31" s="687">
        <f t="shared" ref="K31:N31" si="34">SUM(K32:K36)</f>
        <v>0</v>
      </c>
      <c r="L31" s="687">
        <f t="shared" si="34"/>
        <v>141200</v>
      </c>
      <c r="M31" s="687">
        <f t="shared" si="34"/>
        <v>115200</v>
      </c>
      <c r="N31" s="687">
        <f t="shared" si="34"/>
        <v>57600</v>
      </c>
      <c r="O31" s="684">
        <f t="shared" si="7"/>
        <v>314000</v>
      </c>
    </row>
    <row r="32" spans="1:15" x14ac:dyDescent="0.2">
      <c r="A32" s="982"/>
      <c r="B32" s="682"/>
      <c r="C32" s="693" t="s">
        <v>377</v>
      </c>
      <c r="D32" s="694" t="s">
        <v>11</v>
      </c>
      <c r="E32" s="668">
        <v>20000</v>
      </c>
      <c r="F32" s="704"/>
      <c r="G32" s="704">
        <v>1</v>
      </c>
      <c r="H32" s="704"/>
      <c r="I32" s="704"/>
      <c r="K32" s="684">
        <f t="shared" si="28"/>
        <v>0</v>
      </c>
      <c r="L32" s="684">
        <f t="shared" si="29"/>
        <v>20000</v>
      </c>
      <c r="M32" s="684">
        <f t="shared" si="30"/>
        <v>0</v>
      </c>
      <c r="N32" s="684">
        <f t="shared" si="31"/>
        <v>0</v>
      </c>
      <c r="O32" s="684">
        <f t="shared" si="7"/>
        <v>20000</v>
      </c>
    </row>
    <row r="33" spans="1:15" x14ac:dyDescent="0.2">
      <c r="A33" s="982"/>
      <c r="B33" s="682"/>
      <c r="C33" s="693" t="s">
        <v>547</v>
      </c>
      <c r="D33" s="694" t="s">
        <v>11</v>
      </c>
      <c r="E33" s="667">
        <v>2000</v>
      </c>
      <c r="F33" s="704"/>
      <c r="G33" s="704">
        <v>1</v>
      </c>
      <c r="H33" s="704"/>
      <c r="I33" s="704"/>
      <c r="K33" s="684">
        <f t="shared" si="28"/>
        <v>0</v>
      </c>
      <c r="L33" s="684">
        <f t="shared" si="29"/>
        <v>2000</v>
      </c>
      <c r="M33" s="684">
        <f t="shared" si="30"/>
        <v>0</v>
      </c>
      <c r="N33" s="684">
        <f t="shared" si="31"/>
        <v>0</v>
      </c>
      <c r="O33" s="684">
        <f t="shared" si="7"/>
        <v>2000</v>
      </c>
    </row>
    <row r="34" spans="1:15" x14ac:dyDescent="0.2">
      <c r="A34" s="982"/>
      <c r="B34" s="682"/>
      <c r="C34" s="693" t="s">
        <v>544</v>
      </c>
      <c r="D34" s="694" t="s">
        <v>11</v>
      </c>
      <c r="E34" s="668">
        <v>2500</v>
      </c>
      <c r="F34" s="704"/>
      <c r="G34" s="704">
        <v>1</v>
      </c>
      <c r="H34" s="704"/>
      <c r="I34" s="704"/>
      <c r="K34" s="684">
        <f t="shared" si="28"/>
        <v>0</v>
      </c>
      <c r="L34" s="684">
        <f t="shared" si="29"/>
        <v>2500</v>
      </c>
      <c r="M34" s="684">
        <f t="shared" si="30"/>
        <v>0</v>
      </c>
      <c r="N34" s="684">
        <f t="shared" si="31"/>
        <v>0</v>
      </c>
      <c r="O34" s="684">
        <f t="shared" si="7"/>
        <v>2500</v>
      </c>
    </row>
    <row r="35" spans="1:15" x14ac:dyDescent="0.2">
      <c r="A35" s="982"/>
      <c r="B35" s="682"/>
      <c r="C35" s="693" t="s">
        <v>548</v>
      </c>
      <c r="D35" s="694" t="s">
        <v>11</v>
      </c>
      <c r="E35" s="668">
        <v>288000</v>
      </c>
      <c r="F35" s="704"/>
      <c r="G35" s="704">
        <v>0.4</v>
      </c>
      <c r="H35" s="704">
        <v>0.4</v>
      </c>
      <c r="I35" s="704">
        <v>0.2</v>
      </c>
      <c r="K35" s="684">
        <f t="shared" si="28"/>
        <v>0</v>
      </c>
      <c r="L35" s="684">
        <f t="shared" si="29"/>
        <v>115200</v>
      </c>
      <c r="M35" s="684">
        <f t="shared" si="30"/>
        <v>115200</v>
      </c>
      <c r="N35" s="684">
        <f t="shared" si="31"/>
        <v>57600</v>
      </c>
      <c r="O35" s="684">
        <f t="shared" si="7"/>
        <v>288000</v>
      </c>
    </row>
    <row r="36" spans="1:15" x14ac:dyDescent="0.2">
      <c r="A36" s="982"/>
      <c r="B36" s="682"/>
      <c r="C36" s="693" t="s">
        <v>371</v>
      </c>
      <c r="D36" s="694" t="s">
        <v>11</v>
      </c>
      <c r="E36" s="668">
        <v>1500</v>
      </c>
      <c r="F36" s="704"/>
      <c r="G36" s="704">
        <v>1</v>
      </c>
      <c r="H36" s="704"/>
      <c r="I36" s="704"/>
      <c r="K36" s="684">
        <f t="shared" si="28"/>
        <v>0</v>
      </c>
      <c r="L36" s="684">
        <f t="shared" si="29"/>
        <v>1500</v>
      </c>
      <c r="M36" s="684">
        <f t="shared" si="30"/>
        <v>0</v>
      </c>
      <c r="N36" s="684">
        <f t="shared" si="31"/>
        <v>0</v>
      </c>
      <c r="O36" s="684">
        <f t="shared" si="7"/>
        <v>1500</v>
      </c>
    </row>
    <row r="37" spans="1:15" x14ac:dyDescent="0.2">
      <c r="A37" s="982"/>
      <c r="B37" s="682"/>
      <c r="C37" s="695" t="s">
        <v>549</v>
      </c>
      <c r="D37" s="686" t="s">
        <v>11</v>
      </c>
      <c r="E37" s="687">
        <f>SUM(E38:E44)</f>
        <v>633500</v>
      </c>
      <c r="F37" s="706"/>
      <c r="G37" s="706"/>
      <c r="H37" s="706"/>
      <c r="I37" s="706"/>
      <c r="J37" s="687"/>
      <c r="K37" s="687">
        <f t="shared" ref="K37:N37" si="35">SUM(K38:K44)</f>
        <v>0</v>
      </c>
      <c r="L37" s="687">
        <f t="shared" si="35"/>
        <v>275500</v>
      </c>
      <c r="M37" s="687">
        <f t="shared" si="35"/>
        <v>244000</v>
      </c>
      <c r="N37" s="687">
        <f t="shared" si="35"/>
        <v>114000</v>
      </c>
      <c r="O37" s="684">
        <f t="shared" si="7"/>
        <v>633500</v>
      </c>
    </row>
    <row r="38" spans="1:15" x14ac:dyDescent="0.2">
      <c r="A38" s="982"/>
      <c r="B38" s="682"/>
      <c r="C38" s="693" t="s">
        <v>378</v>
      </c>
      <c r="D38" s="694" t="s">
        <v>11</v>
      </c>
      <c r="E38" s="668">
        <v>20000</v>
      </c>
      <c r="F38" s="704"/>
      <c r="G38" s="704">
        <v>1</v>
      </c>
      <c r="H38" s="704"/>
      <c r="I38" s="704"/>
      <c r="K38" s="684">
        <f t="shared" si="28"/>
        <v>0</v>
      </c>
      <c r="L38" s="684">
        <f t="shared" si="29"/>
        <v>20000</v>
      </c>
      <c r="M38" s="684">
        <f t="shared" si="30"/>
        <v>0</v>
      </c>
      <c r="N38" s="684">
        <f t="shared" si="31"/>
        <v>0</v>
      </c>
      <c r="O38" s="684">
        <f t="shared" si="7"/>
        <v>20000</v>
      </c>
    </row>
    <row r="39" spans="1:15" x14ac:dyDescent="0.2">
      <c r="A39" s="982"/>
      <c r="B39" s="682"/>
      <c r="C39" s="693" t="s">
        <v>544</v>
      </c>
      <c r="D39" s="694" t="s">
        <v>11</v>
      </c>
      <c r="E39" s="668">
        <v>2500</v>
      </c>
      <c r="F39" s="704"/>
      <c r="G39" s="704">
        <v>1</v>
      </c>
      <c r="H39" s="704"/>
      <c r="I39" s="704"/>
      <c r="K39" s="684">
        <f t="shared" si="28"/>
        <v>0</v>
      </c>
      <c r="L39" s="684">
        <f t="shared" si="29"/>
        <v>2500</v>
      </c>
      <c r="M39" s="684">
        <f t="shared" si="30"/>
        <v>0</v>
      </c>
      <c r="N39" s="684">
        <f t="shared" si="31"/>
        <v>0</v>
      </c>
      <c r="O39" s="684">
        <f t="shared" si="7"/>
        <v>2500</v>
      </c>
    </row>
    <row r="40" spans="1:15" x14ac:dyDescent="0.2">
      <c r="A40" s="982"/>
      <c r="B40" s="682"/>
      <c r="C40" s="693" t="s">
        <v>371</v>
      </c>
      <c r="D40" s="694" t="s">
        <v>11</v>
      </c>
      <c r="E40" s="668">
        <v>1000</v>
      </c>
      <c r="F40" s="704"/>
      <c r="G40" s="704">
        <v>1</v>
      </c>
      <c r="H40" s="704"/>
      <c r="I40" s="704"/>
      <c r="K40" s="684">
        <f t="shared" si="28"/>
        <v>0</v>
      </c>
      <c r="L40" s="684">
        <f t="shared" si="29"/>
        <v>1000</v>
      </c>
      <c r="M40" s="684">
        <f t="shared" si="30"/>
        <v>0</v>
      </c>
      <c r="N40" s="684">
        <f t="shared" si="31"/>
        <v>0</v>
      </c>
      <c r="O40" s="684">
        <f t="shared" si="7"/>
        <v>1000</v>
      </c>
    </row>
    <row r="41" spans="1:15" x14ac:dyDescent="0.2">
      <c r="A41" s="982"/>
      <c r="B41" s="682"/>
      <c r="C41" s="693" t="s">
        <v>550</v>
      </c>
      <c r="D41" s="696" t="s">
        <v>11</v>
      </c>
      <c r="E41" s="697">
        <v>234000</v>
      </c>
      <c r="F41" s="704"/>
      <c r="G41" s="704">
        <v>0.4</v>
      </c>
      <c r="H41" s="704">
        <v>0.4</v>
      </c>
      <c r="I41" s="704">
        <v>0.2</v>
      </c>
      <c r="K41" s="684">
        <f t="shared" si="28"/>
        <v>0</v>
      </c>
      <c r="L41" s="684">
        <f t="shared" si="29"/>
        <v>93600</v>
      </c>
      <c r="M41" s="684">
        <f t="shared" si="30"/>
        <v>93600</v>
      </c>
      <c r="N41" s="684">
        <f t="shared" si="31"/>
        <v>46800</v>
      </c>
      <c r="O41" s="684">
        <f t="shared" si="7"/>
        <v>234000</v>
      </c>
    </row>
    <row r="42" spans="1:15" x14ac:dyDescent="0.2">
      <c r="A42" s="982"/>
      <c r="B42" s="682"/>
      <c r="C42" s="693" t="s">
        <v>551</v>
      </c>
      <c r="D42" s="694" t="s">
        <v>11</v>
      </c>
      <c r="E42" s="668">
        <v>180000</v>
      </c>
      <c r="F42" s="704"/>
      <c r="G42" s="704">
        <v>0.4</v>
      </c>
      <c r="H42" s="704">
        <v>0.4</v>
      </c>
      <c r="I42" s="704">
        <v>0.2</v>
      </c>
      <c r="K42" s="684">
        <f t="shared" si="28"/>
        <v>0</v>
      </c>
      <c r="L42" s="684">
        <f t="shared" si="29"/>
        <v>72000</v>
      </c>
      <c r="M42" s="684">
        <f t="shared" si="30"/>
        <v>72000</v>
      </c>
      <c r="N42" s="684">
        <f t="shared" si="31"/>
        <v>36000</v>
      </c>
      <c r="O42" s="684">
        <f t="shared" si="7"/>
        <v>180000</v>
      </c>
    </row>
    <row r="43" spans="1:15" x14ac:dyDescent="0.2">
      <c r="A43" s="982"/>
      <c r="B43" s="682"/>
      <c r="C43" s="693" t="s">
        <v>552</v>
      </c>
      <c r="D43" s="694" t="s">
        <v>11</v>
      </c>
      <c r="E43" s="668">
        <v>40000</v>
      </c>
      <c r="F43" s="704"/>
      <c r="G43" s="704">
        <v>0.6</v>
      </c>
      <c r="H43" s="704">
        <v>0.4</v>
      </c>
      <c r="I43" s="704"/>
      <c r="K43" s="684">
        <f t="shared" si="28"/>
        <v>0</v>
      </c>
      <c r="L43" s="684">
        <f t="shared" si="29"/>
        <v>24000</v>
      </c>
      <c r="M43" s="684">
        <f t="shared" si="30"/>
        <v>16000</v>
      </c>
      <c r="N43" s="684">
        <f t="shared" si="31"/>
        <v>0</v>
      </c>
      <c r="O43" s="684">
        <f t="shared" si="7"/>
        <v>40000</v>
      </c>
    </row>
    <row r="44" spans="1:15" x14ac:dyDescent="0.2">
      <c r="A44" s="982"/>
      <c r="B44" s="682"/>
      <c r="C44" s="693" t="s">
        <v>553</v>
      </c>
      <c r="D44" s="694" t="s">
        <v>11</v>
      </c>
      <c r="E44" s="668">
        <v>156000</v>
      </c>
      <c r="F44" s="704"/>
      <c r="G44" s="704">
        <v>0.4</v>
      </c>
      <c r="H44" s="704">
        <v>0.4</v>
      </c>
      <c r="I44" s="704">
        <v>0.2</v>
      </c>
      <c r="K44" s="684">
        <f t="shared" si="28"/>
        <v>0</v>
      </c>
      <c r="L44" s="684">
        <f t="shared" si="29"/>
        <v>62400</v>
      </c>
      <c r="M44" s="684">
        <f t="shared" si="30"/>
        <v>62400</v>
      </c>
      <c r="N44" s="684">
        <f t="shared" si="31"/>
        <v>31200</v>
      </c>
      <c r="O44" s="684">
        <f t="shared" si="7"/>
        <v>156000</v>
      </c>
    </row>
    <row r="45" spans="1:15" x14ac:dyDescent="0.2">
      <c r="A45" s="698" t="s">
        <v>10</v>
      </c>
      <c r="B45" s="698"/>
      <c r="C45" s="699"/>
      <c r="D45" s="699"/>
      <c r="E45" s="700">
        <f>+E15+E11+E6</f>
        <v>6400000</v>
      </c>
      <c r="I45" s="704"/>
      <c r="K45" s="684"/>
      <c r="L45" s="684"/>
      <c r="M45" s="684"/>
      <c r="N45" s="684"/>
      <c r="O45" s="684">
        <f t="shared" si="7"/>
        <v>0</v>
      </c>
    </row>
  </sheetData>
  <mergeCells count="6">
    <mergeCell ref="A16:A44"/>
    <mergeCell ref="A7:A10"/>
    <mergeCell ref="A1:E1"/>
    <mergeCell ref="A3:E4"/>
    <mergeCell ref="A12:A14"/>
    <mergeCell ref="A2:E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opLeftCell="A2" zoomScale="70" zoomScaleNormal="70" workbookViewId="0">
      <selection activeCell="C20" sqref="C20:C21"/>
    </sheetView>
  </sheetViews>
  <sheetFormatPr defaultRowHeight="12.75" x14ac:dyDescent="0.2"/>
  <cols>
    <col min="1" max="1" width="53.85546875" style="45" customWidth="1"/>
    <col min="2" max="2" width="73" customWidth="1"/>
    <col min="3" max="3" width="10.85546875" style="277" customWidth="1"/>
    <col min="4" max="4" width="21.140625" customWidth="1"/>
    <col min="5" max="5" width="38.140625" customWidth="1"/>
    <col min="6" max="6" width="12.140625" style="129" bestFit="1" customWidth="1"/>
    <col min="7" max="7" width="13.28515625" style="129" customWidth="1"/>
    <col min="8" max="8" width="12.140625" style="129" bestFit="1" customWidth="1"/>
    <col min="9" max="9" width="10.85546875" style="129" bestFit="1" customWidth="1"/>
    <col min="10" max="10" width="12.5703125" customWidth="1"/>
  </cols>
  <sheetData>
    <row r="1" spans="1:10" ht="17.25" x14ac:dyDescent="0.2">
      <c r="A1" s="249"/>
      <c r="B1" s="242"/>
      <c r="C1" s="271"/>
      <c r="D1" s="242"/>
      <c r="E1" s="242"/>
      <c r="F1" s="278"/>
      <c r="G1" s="278"/>
      <c r="H1" s="278"/>
      <c r="I1" s="278"/>
      <c r="J1" s="243"/>
    </row>
    <row r="2" spans="1:10" ht="17.25" x14ac:dyDescent="0.2">
      <c r="A2" s="250"/>
      <c r="B2" s="244"/>
      <c r="C2" s="272"/>
      <c r="D2" s="244"/>
      <c r="E2" s="244"/>
      <c r="F2" s="279"/>
      <c r="G2" s="279"/>
      <c r="H2" s="279"/>
      <c r="I2" s="279"/>
      <c r="J2" s="244"/>
    </row>
    <row r="3" spans="1:10" ht="20.25" x14ac:dyDescent="0.2">
      <c r="A3" s="270" t="s">
        <v>239</v>
      </c>
      <c r="B3" s="245"/>
      <c r="C3" s="273"/>
      <c r="D3" s="245"/>
      <c r="E3" s="245"/>
      <c r="F3" s="278"/>
      <c r="G3" s="278"/>
      <c r="H3" s="278"/>
      <c r="I3" s="278"/>
      <c r="J3" s="243"/>
    </row>
    <row r="4" spans="1:10" ht="19.5" x14ac:dyDescent="0.2">
      <c r="A4" s="251"/>
      <c r="B4" s="245"/>
      <c r="C4" s="273"/>
      <c r="D4" s="245"/>
      <c r="E4" s="245"/>
      <c r="F4" s="278"/>
      <c r="G4" s="278"/>
      <c r="H4" s="278"/>
      <c r="I4" s="278"/>
      <c r="J4" s="243"/>
    </row>
    <row r="5" spans="1:10" ht="39.75" thickBot="1" x14ac:dyDescent="0.25">
      <c r="A5" s="246" t="s">
        <v>240</v>
      </c>
      <c r="B5" s="247" t="s">
        <v>241</v>
      </c>
      <c r="C5" s="247"/>
      <c r="D5" s="247" t="s">
        <v>242</v>
      </c>
      <c r="E5" s="248" t="s">
        <v>243</v>
      </c>
      <c r="F5" s="278">
        <v>2017</v>
      </c>
      <c r="G5" s="278">
        <v>2018</v>
      </c>
      <c r="H5" s="278">
        <v>2019</v>
      </c>
      <c r="I5" s="278">
        <v>2020</v>
      </c>
      <c r="J5" s="243" t="s">
        <v>10</v>
      </c>
    </row>
    <row r="6" spans="1:10" s="256" customFormat="1" ht="21" thickTop="1" x14ac:dyDescent="0.2">
      <c r="A6" s="986" t="s">
        <v>244</v>
      </c>
      <c r="B6" s="252" t="s">
        <v>245</v>
      </c>
      <c r="C6" s="274" t="s">
        <v>11</v>
      </c>
      <c r="D6" s="253">
        <v>275000</v>
      </c>
      <c r="E6" s="254">
        <v>1500000</v>
      </c>
      <c r="F6" s="280"/>
      <c r="G6" s="280"/>
      <c r="H6" s="280"/>
      <c r="I6" s="280"/>
      <c r="J6" s="255"/>
    </row>
    <row r="7" spans="1:10" s="256" customFormat="1" ht="19.5" x14ac:dyDescent="0.2">
      <c r="A7" s="987"/>
      <c r="B7" s="252" t="s">
        <v>246</v>
      </c>
      <c r="C7" s="274" t="s">
        <v>11</v>
      </c>
      <c r="D7" s="253">
        <v>160000</v>
      </c>
      <c r="E7" s="257"/>
      <c r="F7" s="338">
        <f>+F8/$E$6</f>
        <v>0.09</v>
      </c>
      <c r="G7" s="338">
        <f t="shared" ref="G7:I7" si="0">+G8/$E$6</f>
        <v>0.5</v>
      </c>
      <c r="H7" s="338">
        <f t="shared" si="0"/>
        <v>0.4</v>
      </c>
      <c r="I7" s="338">
        <f t="shared" si="0"/>
        <v>0.01</v>
      </c>
      <c r="J7" s="255"/>
    </row>
    <row r="8" spans="1:10" s="256" customFormat="1" ht="19.5" x14ac:dyDescent="0.2">
      <c r="A8" s="987"/>
      <c r="B8" s="252" t="s">
        <v>247</v>
      </c>
      <c r="C8" s="274" t="s">
        <v>11</v>
      </c>
      <c r="D8" s="253">
        <v>12500</v>
      </c>
      <c r="E8" s="257"/>
      <c r="F8" s="339">
        <v>135000</v>
      </c>
      <c r="G8" s="339">
        <v>750000</v>
      </c>
      <c r="H8" s="339">
        <v>600000</v>
      </c>
      <c r="I8" s="339">
        <v>15000</v>
      </c>
      <c r="J8" s="340">
        <f>SUM(F8:I8)</f>
        <v>1500000</v>
      </c>
    </row>
    <row r="9" spans="1:10" s="256" customFormat="1" ht="19.5" x14ac:dyDescent="0.2">
      <c r="A9" s="987"/>
      <c r="B9" s="252" t="s">
        <v>248</v>
      </c>
      <c r="C9" s="274" t="s">
        <v>11</v>
      </c>
      <c r="D9" s="253">
        <v>3440</v>
      </c>
      <c r="E9" s="257"/>
      <c r="F9" s="340"/>
      <c r="G9" s="340"/>
      <c r="H9" s="340"/>
      <c r="I9" s="340"/>
      <c r="J9" s="340"/>
    </row>
    <row r="10" spans="1:10" s="256" customFormat="1" ht="52.5" thickBot="1" x14ac:dyDescent="0.25">
      <c r="A10" s="988"/>
      <c r="B10" s="258" t="s">
        <v>249</v>
      </c>
      <c r="C10" s="275" t="s">
        <v>11</v>
      </c>
      <c r="D10" s="259">
        <v>1180000</v>
      </c>
      <c r="E10" s="260"/>
      <c r="F10" s="340"/>
      <c r="G10" s="340"/>
      <c r="H10" s="340"/>
      <c r="I10" s="340"/>
      <c r="J10" s="340"/>
    </row>
    <row r="11" spans="1:10" s="256" customFormat="1" ht="21.75" thickTop="1" thickBot="1" x14ac:dyDescent="0.25">
      <c r="A11" s="261" t="s">
        <v>250</v>
      </c>
      <c r="B11" s="258" t="s">
        <v>251</v>
      </c>
      <c r="C11" s="275" t="s">
        <v>11</v>
      </c>
      <c r="D11" s="262">
        <v>1500000</v>
      </c>
      <c r="E11" s="263">
        <v>240000</v>
      </c>
      <c r="F11" s="340">
        <f>+$E$11*F$7</f>
        <v>21600</v>
      </c>
      <c r="G11" s="340">
        <f t="shared" ref="G11:I11" si="1">+$E$11*G$7</f>
        <v>120000</v>
      </c>
      <c r="H11" s="340">
        <f t="shared" si="1"/>
        <v>96000</v>
      </c>
      <c r="I11" s="340">
        <f t="shared" si="1"/>
        <v>2400</v>
      </c>
      <c r="J11" s="340">
        <f>SUM(F11:I11)</f>
        <v>240000</v>
      </c>
    </row>
    <row r="12" spans="1:10" s="256" customFormat="1" ht="21" thickTop="1" x14ac:dyDescent="0.2">
      <c r="A12" s="264" t="s">
        <v>252</v>
      </c>
      <c r="B12" s="252" t="s">
        <v>253</v>
      </c>
      <c r="C12" s="274" t="s">
        <v>11</v>
      </c>
      <c r="D12" s="253">
        <v>125000</v>
      </c>
      <c r="E12" s="254">
        <v>2400000</v>
      </c>
      <c r="F12" s="340"/>
      <c r="G12" s="340"/>
      <c r="H12" s="340"/>
      <c r="I12" s="340"/>
      <c r="J12" s="340"/>
    </row>
    <row r="13" spans="1:10" s="256" customFormat="1" ht="72" x14ac:dyDescent="0.2">
      <c r="A13" s="282" t="s">
        <v>269</v>
      </c>
      <c r="B13" s="252" t="s">
        <v>254</v>
      </c>
      <c r="C13" s="274" t="s">
        <v>11</v>
      </c>
      <c r="D13" s="253">
        <v>25000</v>
      </c>
      <c r="E13" s="257"/>
      <c r="F13" s="340"/>
      <c r="G13" s="340"/>
      <c r="H13" s="340"/>
      <c r="I13" s="340"/>
      <c r="J13" s="340"/>
    </row>
    <row r="14" spans="1:10" s="256" customFormat="1" ht="19.5" x14ac:dyDescent="0.2">
      <c r="A14" s="265"/>
      <c r="B14" s="252" t="s">
        <v>255</v>
      </c>
      <c r="C14" s="274" t="s">
        <v>11</v>
      </c>
      <c r="D14" s="253">
        <v>4000</v>
      </c>
      <c r="E14" s="257"/>
      <c r="F14" s="340"/>
      <c r="G14" s="340"/>
      <c r="H14" s="340"/>
      <c r="I14" s="340"/>
      <c r="J14" s="340"/>
    </row>
    <row r="15" spans="1:10" s="256" customFormat="1" ht="19.5" x14ac:dyDescent="0.2">
      <c r="A15" s="265"/>
      <c r="B15" s="252" t="s">
        <v>256</v>
      </c>
      <c r="C15" s="274" t="s">
        <v>11</v>
      </c>
      <c r="D15" s="253">
        <v>3750</v>
      </c>
      <c r="E15" s="257"/>
      <c r="F15" s="339">
        <v>216000</v>
      </c>
      <c r="G15" s="339">
        <v>1200000</v>
      </c>
      <c r="H15" s="339">
        <v>960000</v>
      </c>
      <c r="I15" s="339">
        <v>24000</v>
      </c>
      <c r="J15" s="340">
        <f>SUM(F15:I15)</f>
        <v>2400000</v>
      </c>
    </row>
    <row r="16" spans="1:10" s="256" customFormat="1" ht="19.5" x14ac:dyDescent="0.2">
      <c r="A16" s="265"/>
      <c r="B16" s="252" t="s">
        <v>257</v>
      </c>
      <c r="C16" s="274" t="s">
        <v>11</v>
      </c>
      <c r="D16" s="253">
        <v>230000</v>
      </c>
      <c r="E16" s="257"/>
      <c r="F16" s="340"/>
      <c r="G16" s="340"/>
      <c r="H16" s="340"/>
      <c r="I16" s="340"/>
      <c r="J16" s="340"/>
    </row>
    <row r="17" spans="1:10" s="256" customFormat="1" ht="19.5" x14ac:dyDescent="0.2">
      <c r="A17" s="265"/>
      <c r="B17" s="252" t="s">
        <v>258</v>
      </c>
      <c r="C17" s="274" t="s">
        <v>11</v>
      </c>
      <c r="D17" s="253">
        <v>200000</v>
      </c>
      <c r="E17" s="257"/>
      <c r="F17" s="340"/>
      <c r="G17" s="340"/>
      <c r="H17" s="340"/>
      <c r="I17" s="340"/>
      <c r="J17" s="340"/>
    </row>
    <row r="18" spans="1:10" s="256" customFormat="1" ht="35.25" thickBot="1" x14ac:dyDescent="0.25">
      <c r="A18" s="266"/>
      <c r="B18" s="258" t="s">
        <v>259</v>
      </c>
      <c r="C18" s="275" t="s">
        <v>11</v>
      </c>
      <c r="D18" s="262">
        <v>350000</v>
      </c>
      <c r="E18" s="260"/>
      <c r="F18" s="340"/>
      <c r="G18" s="340"/>
      <c r="H18" s="340"/>
      <c r="I18" s="340"/>
      <c r="J18" s="340"/>
    </row>
    <row r="19" spans="1:10" s="256" customFormat="1" ht="21" thickTop="1" x14ac:dyDescent="0.2">
      <c r="A19" s="986" t="s">
        <v>260</v>
      </c>
      <c r="B19" s="252" t="s">
        <v>261</v>
      </c>
      <c r="C19" s="274" t="s">
        <v>11</v>
      </c>
      <c r="D19" s="253">
        <v>150000</v>
      </c>
      <c r="E19" s="254">
        <v>2400000</v>
      </c>
      <c r="F19" s="340"/>
      <c r="G19" s="340"/>
      <c r="H19" s="340"/>
      <c r="I19" s="340"/>
      <c r="J19" s="340"/>
    </row>
    <row r="20" spans="1:10" s="256" customFormat="1" ht="19.5" x14ac:dyDescent="0.2">
      <c r="A20" s="987"/>
      <c r="B20" s="252" t="s">
        <v>262</v>
      </c>
      <c r="C20" s="274" t="s">
        <v>11</v>
      </c>
      <c r="D20" s="253">
        <v>300000</v>
      </c>
      <c r="E20" s="257"/>
      <c r="F20" s="340"/>
      <c r="G20" s="340"/>
      <c r="H20" s="340"/>
      <c r="I20" s="340"/>
      <c r="J20" s="340"/>
    </row>
    <row r="21" spans="1:10" s="256" customFormat="1" ht="19.5" x14ac:dyDescent="0.2">
      <c r="A21" s="987"/>
      <c r="B21" s="252" t="s">
        <v>263</v>
      </c>
      <c r="C21" s="274" t="s">
        <v>11</v>
      </c>
      <c r="D21" s="253">
        <v>25000</v>
      </c>
      <c r="E21" s="257"/>
      <c r="F21" s="340"/>
      <c r="G21" s="340"/>
      <c r="H21" s="340"/>
      <c r="I21" s="340"/>
      <c r="J21" s="340"/>
    </row>
    <row r="22" spans="1:10" s="256" customFormat="1" ht="19.5" x14ac:dyDescent="0.2">
      <c r="A22" s="987"/>
      <c r="B22" s="252" t="s">
        <v>264</v>
      </c>
      <c r="C22" s="274" t="s">
        <v>11</v>
      </c>
      <c r="D22" s="253">
        <v>90000</v>
      </c>
      <c r="E22" s="257"/>
      <c r="F22" s="339">
        <v>216000</v>
      </c>
      <c r="G22" s="339">
        <v>1200000</v>
      </c>
      <c r="H22" s="339">
        <v>960000</v>
      </c>
      <c r="I22" s="339">
        <v>24000</v>
      </c>
      <c r="J22" s="340">
        <f>SUM(F22:I22)</f>
        <v>2400000</v>
      </c>
    </row>
    <row r="23" spans="1:10" s="256" customFormat="1" ht="34.5" x14ac:dyDescent="0.2">
      <c r="A23" s="987"/>
      <c r="B23" s="252" t="s">
        <v>265</v>
      </c>
      <c r="C23" s="274" t="s">
        <v>11</v>
      </c>
      <c r="D23" s="253">
        <v>305000</v>
      </c>
      <c r="E23" s="257"/>
      <c r="F23" s="340"/>
      <c r="G23" s="340"/>
      <c r="H23" s="340"/>
      <c r="I23" s="340"/>
      <c r="J23" s="340"/>
    </row>
    <row r="24" spans="1:10" s="256" customFormat="1" ht="19.5" x14ac:dyDescent="0.2">
      <c r="A24" s="987"/>
      <c r="B24" s="252" t="s">
        <v>266</v>
      </c>
      <c r="C24" s="274" t="s">
        <v>11</v>
      </c>
      <c r="D24" s="253">
        <v>600000</v>
      </c>
      <c r="E24" s="257"/>
      <c r="F24" s="281"/>
      <c r="G24" s="281"/>
      <c r="H24" s="281"/>
      <c r="I24" s="281"/>
      <c r="J24" s="255"/>
    </row>
    <row r="25" spans="1:10" s="256" customFormat="1" ht="34.5" x14ac:dyDescent="0.2">
      <c r="A25" s="987"/>
      <c r="B25" s="252" t="s">
        <v>267</v>
      </c>
      <c r="C25" s="274" t="s">
        <v>11</v>
      </c>
      <c r="D25" s="253">
        <v>300000</v>
      </c>
      <c r="E25" s="257"/>
      <c r="F25" s="281"/>
      <c r="G25" s="281"/>
      <c r="H25" s="281"/>
      <c r="I25" s="281"/>
      <c r="J25" s="255"/>
    </row>
    <row r="26" spans="1:10" s="256" customFormat="1" ht="20.25" thickBot="1" x14ac:dyDescent="0.25">
      <c r="A26" s="988"/>
      <c r="B26" s="258" t="s">
        <v>268</v>
      </c>
      <c r="C26" s="275" t="s">
        <v>11</v>
      </c>
      <c r="D26" s="262">
        <v>330000</v>
      </c>
      <c r="E26" s="260"/>
      <c r="F26" s="281"/>
      <c r="G26" s="281"/>
      <c r="H26" s="281"/>
      <c r="I26" s="281"/>
      <c r="J26" s="255"/>
    </row>
    <row r="27" spans="1:10" s="256" customFormat="1" ht="21" thickTop="1" x14ac:dyDescent="0.2">
      <c r="A27" s="267"/>
      <c r="B27" s="255"/>
      <c r="C27" s="276"/>
      <c r="D27" s="255"/>
      <c r="E27" s="268">
        <v>6400000</v>
      </c>
      <c r="F27" s="280"/>
      <c r="G27" s="280"/>
      <c r="H27" s="280"/>
      <c r="I27" s="280"/>
      <c r="J27" s="255"/>
    </row>
    <row r="28" spans="1:10" s="256" customFormat="1" ht="17.25" x14ac:dyDescent="0.2">
      <c r="A28" s="267"/>
      <c r="B28" s="255"/>
      <c r="C28" s="276"/>
      <c r="D28" s="255"/>
      <c r="E28" s="255"/>
      <c r="F28" s="280"/>
      <c r="G28" s="280"/>
      <c r="H28" s="280"/>
      <c r="I28" s="280"/>
      <c r="J28" s="255"/>
    </row>
    <row r="29" spans="1:10" s="256" customFormat="1" ht="17.25" x14ac:dyDescent="0.2">
      <c r="A29" s="267"/>
      <c r="B29" s="255"/>
      <c r="C29" s="276"/>
      <c r="D29" s="255"/>
      <c r="E29" s="255"/>
      <c r="F29" s="280"/>
      <c r="G29" s="280"/>
      <c r="H29" s="280"/>
      <c r="I29" s="280"/>
      <c r="J29" s="255"/>
    </row>
    <row r="30" spans="1:10" s="256" customFormat="1" ht="17.25" x14ac:dyDescent="0.2">
      <c r="A30" s="267"/>
      <c r="B30" s="255"/>
      <c r="C30" s="276"/>
      <c r="D30" s="255"/>
      <c r="E30" s="269">
        <v>2400000</v>
      </c>
      <c r="F30" s="280"/>
      <c r="G30" s="280"/>
      <c r="H30" s="280"/>
      <c r="I30" s="280"/>
      <c r="J30" s="255"/>
    </row>
    <row r="31" spans="1:10" s="256" customFormat="1" ht="17.25" x14ac:dyDescent="0.2">
      <c r="A31" s="267"/>
      <c r="B31" s="255"/>
      <c r="C31" s="276"/>
      <c r="D31" s="255"/>
      <c r="E31" s="269">
        <v>1535000</v>
      </c>
      <c r="F31" s="280"/>
      <c r="G31" s="280"/>
      <c r="H31" s="280"/>
      <c r="I31" s="280"/>
      <c r="J31" s="255"/>
    </row>
    <row r="32" spans="1:10" s="256" customFormat="1" ht="17.25" x14ac:dyDescent="0.2">
      <c r="A32" s="267"/>
      <c r="B32" s="255"/>
      <c r="C32" s="276"/>
      <c r="D32" s="255"/>
      <c r="E32" s="269">
        <v>865000</v>
      </c>
      <c r="F32" s="280"/>
      <c r="G32" s="280"/>
      <c r="H32" s="280"/>
      <c r="I32" s="280"/>
      <c r="J32" s="255"/>
    </row>
    <row r="33" spans="1:10" s="256" customFormat="1" ht="17.25" x14ac:dyDescent="0.2">
      <c r="A33" s="267"/>
      <c r="B33" s="255"/>
      <c r="C33" s="276"/>
      <c r="D33" s="255"/>
      <c r="E33" s="255"/>
      <c r="F33" s="280"/>
      <c r="G33" s="280"/>
      <c r="H33" s="280"/>
      <c r="I33" s="280"/>
      <c r="J33" s="255"/>
    </row>
  </sheetData>
  <mergeCells count="2">
    <mergeCell ref="A6:A10"/>
    <mergeCell ref="A19:A2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45"/>
  <sheetViews>
    <sheetView view="pageBreakPreview" zoomScale="90" zoomScaleNormal="90" zoomScaleSheetLayoutView="90" workbookViewId="0">
      <pane xSplit="7" ySplit="6" topLeftCell="H20" activePane="bottomRight" state="frozen"/>
      <selection activeCell="C20" sqref="C20:C21"/>
      <selection pane="topRight" activeCell="C20" sqref="C20:C21"/>
      <selection pane="bottomLeft" activeCell="C20" sqref="C20:C21"/>
      <selection pane="bottomRight" activeCell="C20" sqref="C20:C21"/>
    </sheetView>
  </sheetViews>
  <sheetFormatPr defaultColWidth="9.140625" defaultRowHeight="15" x14ac:dyDescent="0.25"/>
  <cols>
    <col min="1" max="2" width="2.28515625" style="354" customWidth="1"/>
    <col min="3" max="3" width="2" style="354" customWidth="1"/>
    <col min="4" max="4" width="3" style="354" customWidth="1"/>
    <col min="5" max="5" width="2.5703125" style="354" customWidth="1"/>
    <col min="6" max="6" width="1.85546875" style="354" customWidth="1"/>
    <col min="7" max="7" width="56.28515625" style="354" customWidth="1"/>
    <col min="8" max="9" width="14.140625" style="354" customWidth="1"/>
    <col min="10" max="10" width="11.85546875" style="354" customWidth="1"/>
    <col min="11" max="11" width="8.140625" style="354" customWidth="1"/>
    <col min="12" max="12" width="9.140625" style="354" customWidth="1"/>
    <col min="13" max="13" width="12" style="663" customWidth="1"/>
    <col min="14" max="15" width="9.140625" style="354" customWidth="1"/>
    <col min="16" max="16" width="8.28515625" style="354" customWidth="1"/>
    <col min="17" max="17" width="3" style="354" hidden="1" customWidth="1"/>
    <col min="18" max="18" width="9.140625" style="354" hidden="1" customWidth="1"/>
    <col min="19" max="23" width="10.42578125" style="354" customWidth="1"/>
    <col min="24" max="24" width="10.42578125" style="354" hidden="1" customWidth="1"/>
    <col min="25" max="34" width="3.85546875" style="354" customWidth="1"/>
    <col min="35" max="16384" width="9.140625" style="354"/>
  </cols>
  <sheetData>
    <row r="1" spans="1:34" ht="12" customHeight="1" x14ac:dyDescent="0.25">
      <c r="A1" s="341"/>
      <c r="B1" s="341"/>
      <c r="C1" s="341"/>
      <c r="D1" s="341"/>
      <c r="E1" s="341"/>
      <c r="F1" s="341"/>
      <c r="G1" s="342"/>
      <c r="H1" s="344"/>
      <c r="I1" s="344"/>
      <c r="J1" s="345"/>
      <c r="K1" s="346"/>
      <c r="L1" s="347"/>
      <c r="M1" s="658"/>
      <c r="N1" s="348"/>
      <c r="O1" s="349"/>
      <c r="P1" s="349"/>
      <c r="Q1" s="350"/>
      <c r="R1" s="351"/>
      <c r="S1" s="351"/>
      <c r="T1" s="351"/>
      <c r="U1" s="351"/>
      <c r="V1" s="351"/>
      <c r="W1" s="351"/>
      <c r="X1" s="351"/>
      <c r="Y1" s="352"/>
      <c r="Z1" s="353"/>
      <c r="AA1" s="352"/>
      <c r="AB1" s="353"/>
      <c r="AC1" s="352"/>
      <c r="AD1" s="353"/>
      <c r="AE1" s="352"/>
      <c r="AF1" s="353"/>
      <c r="AG1" s="352"/>
      <c r="AH1" s="353"/>
    </row>
    <row r="2" spans="1:34" ht="12" customHeight="1" x14ac:dyDescent="0.25">
      <c r="A2" s="341"/>
      <c r="B2" s="341"/>
      <c r="C2" s="341"/>
      <c r="D2" s="341"/>
      <c r="E2" s="341"/>
      <c r="F2" s="341"/>
      <c r="G2" s="355" t="s">
        <v>330</v>
      </c>
      <c r="H2" s="356"/>
      <c r="I2" s="345"/>
      <c r="J2" s="345"/>
      <c r="K2" s="357"/>
      <c r="L2" s="347"/>
      <c r="M2" s="659"/>
      <c r="N2" s="348"/>
      <c r="O2" s="358"/>
      <c r="P2" s="358"/>
      <c r="Q2" s="359"/>
      <c r="R2" s="360"/>
      <c r="S2" s="360"/>
      <c r="T2" s="360"/>
      <c r="U2" s="360"/>
      <c r="V2" s="360"/>
      <c r="W2" s="360"/>
      <c r="X2" s="360"/>
      <c r="Y2" s="361"/>
      <c r="Z2" s="362"/>
      <c r="AA2" s="361"/>
      <c r="AB2" s="362"/>
      <c r="AC2" s="361"/>
      <c r="AD2" s="362"/>
      <c r="AE2" s="361"/>
      <c r="AF2" s="362"/>
      <c r="AG2" s="361"/>
      <c r="AH2" s="362"/>
    </row>
    <row r="3" spans="1:34" ht="12" customHeight="1" x14ac:dyDescent="0.25">
      <c r="A3" s="341"/>
      <c r="B3" s="341"/>
      <c r="C3" s="341"/>
      <c r="D3" s="341"/>
      <c r="E3" s="341"/>
      <c r="F3" s="341"/>
      <c r="G3" s="355" t="s">
        <v>331</v>
      </c>
      <c r="H3" s="356"/>
      <c r="I3" s="356"/>
      <c r="J3" s="356"/>
      <c r="K3" s="355"/>
      <c r="L3" s="363"/>
      <c r="M3" s="659"/>
      <c r="N3" s="348"/>
      <c r="O3" s="358"/>
      <c r="P3" s="358"/>
      <c r="Q3" s="359"/>
      <c r="R3" s="360"/>
      <c r="S3" s="360"/>
      <c r="T3" s="360"/>
      <c r="U3" s="360"/>
      <c r="V3" s="360"/>
      <c r="W3" s="360"/>
      <c r="X3" s="360"/>
      <c r="Y3" s="361"/>
      <c r="Z3" s="362"/>
      <c r="AA3" s="361"/>
      <c r="AB3" s="362"/>
      <c r="AC3" s="361"/>
      <c r="AD3" s="362"/>
      <c r="AE3" s="361"/>
      <c r="AF3" s="362"/>
      <c r="AG3" s="361"/>
      <c r="AH3" s="362"/>
    </row>
    <row r="4" spans="1:34" ht="12" customHeight="1" x14ac:dyDescent="0.25">
      <c r="A4" s="341"/>
      <c r="B4" s="341"/>
      <c r="C4" s="341"/>
      <c r="D4" s="341"/>
      <c r="E4" s="341"/>
      <c r="F4" s="341"/>
      <c r="G4" s="355" t="s">
        <v>332</v>
      </c>
      <c r="H4" s="989" t="s">
        <v>333</v>
      </c>
      <c r="I4" s="989"/>
      <c r="J4" s="989"/>
      <c r="K4" s="989"/>
      <c r="L4" s="989"/>
      <c r="M4" s="990" t="s">
        <v>334</v>
      </c>
      <c r="N4" s="990"/>
      <c r="O4" s="990"/>
      <c r="P4" s="990"/>
      <c r="Q4" s="990"/>
      <c r="R4" s="990"/>
      <c r="S4" s="991" t="s">
        <v>335</v>
      </c>
      <c r="T4" s="991"/>
      <c r="U4" s="991"/>
      <c r="V4" s="991"/>
      <c r="W4" s="991"/>
      <c r="X4" s="360" t="s">
        <v>336</v>
      </c>
      <c r="Y4" s="992" t="s">
        <v>337</v>
      </c>
      <c r="Z4" s="993"/>
      <c r="AA4" s="993"/>
      <c r="AB4" s="993"/>
      <c r="AC4" s="993"/>
      <c r="AD4" s="993"/>
      <c r="AE4" s="993"/>
      <c r="AF4" s="993"/>
      <c r="AG4" s="993"/>
      <c r="AH4" s="994"/>
    </row>
    <row r="5" spans="1:34" ht="45" customHeight="1" x14ac:dyDescent="0.25">
      <c r="A5" s="364" t="s">
        <v>47</v>
      </c>
      <c r="B5" s="364" t="s">
        <v>48</v>
      </c>
      <c r="C5" s="364" t="s">
        <v>129</v>
      </c>
      <c r="D5" s="364" t="s">
        <v>64</v>
      </c>
      <c r="E5" s="364" t="s">
        <v>338</v>
      </c>
      <c r="F5" s="364" t="s">
        <v>339</v>
      </c>
      <c r="G5" s="365" t="s">
        <v>340</v>
      </c>
      <c r="H5" s="366" t="s">
        <v>341</v>
      </c>
      <c r="I5" s="366" t="s">
        <v>342</v>
      </c>
      <c r="J5" s="366" t="s">
        <v>343</v>
      </c>
      <c r="K5" s="367" t="s">
        <v>38</v>
      </c>
      <c r="L5" s="367" t="s">
        <v>39</v>
      </c>
      <c r="M5" s="365" t="s">
        <v>344</v>
      </c>
      <c r="N5" s="365" t="s">
        <v>345</v>
      </c>
      <c r="O5" s="368" t="s">
        <v>346</v>
      </c>
      <c r="P5" s="365" t="s">
        <v>347</v>
      </c>
      <c r="Q5" s="369" t="s">
        <v>348</v>
      </c>
      <c r="R5" s="370" t="s">
        <v>349</v>
      </c>
      <c r="S5" s="370" t="s">
        <v>350</v>
      </c>
      <c r="T5" s="370" t="s">
        <v>351</v>
      </c>
      <c r="U5" s="370" t="s">
        <v>352</v>
      </c>
      <c r="V5" s="370" t="s">
        <v>353</v>
      </c>
      <c r="W5" s="370" t="s">
        <v>354</v>
      </c>
      <c r="X5" s="370" t="s">
        <v>10</v>
      </c>
      <c r="Y5" s="371" t="s">
        <v>355</v>
      </c>
      <c r="Z5" s="372" t="s">
        <v>356</v>
      </c>
      <c r="AA5" s="371" t="s">
        <v>357</v>
      </c>
      <c r="AB5" s="372" t="s">
        <v>358</v>
      </c>
      <c r="AC5" s="371" t="s">
        <v>359</v>
      </c>
      <c r="AD5" s="372" t="s">
        <v>360</v>
      </c>
      <c r="AE5" s="371" t="s">
        <v>361</v>
      </c>
      <c r="AF5" s="372" t="s">
        <v>362</v>
      </c>
      <c r="AG5" s="371" t="s">
        <v>363</v>
      </c>
      <c r="AH5" s="372" t="s">
        <v>364</v>
      </c>
    </row>
    <row r="6" spans="1:34" x14ac:dyDescent="0.25">
      <c r="A6" s="364"/>
      <c r="B6" s="364"/>
      <c r="C6" s="364"/>
      <c r="D6" s="364"/>
      <c r="E6" s="364"/>
      <c r="F6" s="364"/>
      <c r="G6" s="373" t="s">
        <v>10</v>
      </c>
      <c r="H6" s="374">
        <f>H7</f>
        <v>2790800</v>
      </c>
      <c r="I6" s="374">
        <f t="shared" ref="I6:J7" si="0">I7</f>
        <v>0</v>
      </c>
      <c r="J6" s="374">
        <f t="shared" si="0"/>
        <v>2790800</v>
      </c>
      <c r="K6" s="375">
        <f t="shared" ref="K6:K34" si="1">+H6/(H6+I6)</f>
        <v>1</v>
      </c>
      <c r="L6" s="375">
        <f t="shared" ref="L6:L34" si="2">1-K6</f>
        <v>0</v>
      </c>
      <c r="M6" s="365"/>
      <c r="N6" s="376"/>
      <c r="O6" s="376"/>
      <c r="P6" s="365"/>
      <c r="Q6" s="369"/>
      <c r="R6" s="370"/>
      <c r="S6" s="374">
        <f>S7</f>
        <v>799650</v>
      </c>
      <c r="T6" s="374">
        <f t="shared" ref="T6:W7" si="3">T7</f>
        <v>998050</v>
      </c>
      <c r="U6" s="374">
        <f t="shared" si="3"/>
        <v>784600</v>
      </c>
      <c r="V6" s="374">
        <f t="shared" si="3"/>
        <v>170000</v>
      </c>
      <c r="W6" s="374">
        <f t="shared" si="3"/>
        <v>0</v>
      </c>
      <c r="X6" s="374">
        <f>SUM(S6:W6)</f>
        <v>2752300</v>
      </c>
      <c r="Y6" s="377"/>
      <c r="Z6" s="378"/>
      <c r="AA6" s="377"/>
      <c r="AB6" s="378"/>
      <c r="AC6" s="377"/>
      <c r="AD6" s="378"/>
      <c r="AE6" s="377"/>
      <c r="AF6" s="378"/>
      <c r="AG6" s="377"/>
      <c r="AH6" s="378"/>
    </row>
    <row r="7" spans="1:34" x14ac:dyDescent="0.25">
      <c r="A7" s="379">
        <v>2</v>
      </c>
      <c r="B7" s="379">
        <v>0</v>
      </c>
      <c r="C7" s="379">
        <v>0</v>
      </c>
      <c r="D7" s="379">
        <v>0</v>
      </c>
      <c r="E7" s="379">
        <v>0</v>
      </c>
      <c r="F7" s="379">
        <v>0</v>
      </c>
      <c r="G7" s="380" t="s">
        <v>365</v>
      </c>
      <c r="H7" s="381">
        <f>H8</f>
        <v>2790800</v>
      </c>
      <c r="I7" s="381">
        <f t="shared" si="0"/>
        <v>0</v>
      </c>
      <c r="J7" s="381">
        <f t="shared" si="0"/>
        <v>2790800</v>
      </c>
      <c r="K7" s="382">
        <f t="shared" si="1"/>
        <v>1</v>
      </c>
      <c r="L7" s="382">
        <f t="shared" si="2"/>
        <v>0</v>
      </c>
      <c r="M7" s="660"/>
      <c r="N7" s="383"/>
      <c r="O7" s="384"/>
      <c r="P7" s="385"/>
      <c r="Q7" s="386"/>
      <c r="R7" s="387"/>
      <c r="S7" s="381">
        <f>S8</f>
        <v>799650</v>
      </c>
      <c r="T7" s="381">
        <f t="shared" si="3"/>
        <v>998050</v>
      </c>
      <c r="U7" s="381">
        <f t="shared" si="3"/>
        <v>784600</v>
      </c>
      <c r="V7" s="381">
        <f t="shared" si="3"/>
        <v>170000</v>
      </c>
      <c r="W7" s="381">
        <f t="shared" si="3"/>
        <v>0</v>
      </c>
      <c r="X7" s="381">
        <f t="shared" ref="X7:X35" si="4">SUM(S7:W7)</f>
        <v>2752300</v>
      </c>
      <c r="Y7" s="388">
        <v>1</v>
      </c>
      <c r="Z7" s="389">
        <v>1</v>
      </c>
      <c r="AA7" s="388">
        <v>1</v>
      </c>
      <c r="AB7" s="389">
        <v>1</v>
      </c>
      <c r="AC7" s="388">
        <v>1</v>
      </c>
      <c r="AD7" s="389">
        <v>1</v>
      </c>
      <c r="AE7" s="388">
        <v>1</v>
      </c>
      <c r="AF7" s="389">
        <v>1</v>
      </c>
      <c r="AG7" s="388">
        <v>1</v>
      </c>
      <c r="AH7" s="389">
        <v>1</v>
      </c>
    </row>
    <row r="8" spans="1:34" ht="42.75" customHeight="1" x14ac:dyDescent="0.25">
      <c r="A8" s="390">
        <v>2</v>
      </c>
      <c r="B8" s="390">
        <v>1</v>
      </c>
      <c r="C8" s="390">
        <v>0</v>
      </c>
      <c r="D8" s="390">
        <v>0</v>
      </c>
      <c r="E8" s="390">
        <v>0</v>
      </c>
      <c r="F8" s="390">
        <v>0</v>
      </c>
      <c r="G8" s="391" t="s">
        <v>366</v>
      </c>
      <c r="H8" s="392">
        <f>H9+H18+H22+H27</f>
        <v>2790800</v>
      </c>
      <c r="I8" s="392">
        <f>+I9</f>
        <v>0</v>
      </c>
      <c r="J8" s="392">
        <f>H8+I8</f>
        <v>2790800</v>
      </c>
      <c r="K8" s="393">
        <f t="shared" si="1"/>
        <v>1</v>
      </c>
      <c r="L8" s="393">
        <f t="shared" si="2"/>
        <v>0</v>
      </c>
      <c r="M8" s="396"/>
      <c r="N8" s="394"/>
      <c r="O8" s="395"/>
      <c r="P8" s="396">
        <v>36</v>
      </c>
      <c r="Q8" s="397"/>
      <c r="R8" s="398"/>
      <c r="S8" s="392">
        <f>S9+S18+S22+S27</f>
        <v>799650</v>
      </c>
      <c r="T8" s="392">
        <f>T9+T18+T22+T27</f>
        <v>998050</v>
      </c>
      <c r="U8" s="392">
        <f>U9+U18+U22+U27</f>
        <v>784600</v>
      </c>
      <c r="V8" s="392">
        <f>V9+V18+V22+V27</f>
        <v>170000</v>
      </c>
      <c r="W8" s="392">
        <f>W9+W18+W22+W27</f>
        <v>0</v>
      </c>
      <c r="X8" s="392">
        <f t="shared" si="4"/>
        <v>2752300</v>
      </c>
      <c r="Y8" s="388">
        <v>1</v>
      </c>
      <c r="Z8" s="389">
        <v>1</v>
      </c>
      <c r="AA8" s="388">
        <v>1</v>
      </c>
      <c r="AB8" s="389">
        <v>1</v>
      </c>
      <c r="AC8" s="388">
        <v>1</v>
      </c>
      <c r="AD8" s="389">
        <v>1</v>
      </c>
      <c r="AE8" s="388">
        <v>1</v>
      </c>
      <c r="AF8" s="389">
        <v>1</v>
      </c>
      <c r="AG8" s="388">
        <v>1</v>
      </c>
      <c r="AH8" s="389">
        <v>1</v>
      </c>
    </row>
    <row r="9" spans="1:34" s="639" customFormat="1" ht="32.25" customHeight="1" x14ac:dyDescent="0.25">
      <c r="A9" s="629">
        <v>2</v>
      </c>
      <c r="B9" s="629">
        <v>1</v>
      </c>
      <c r="C9" s="629">
        <v>1</v>
      </c>
      <c r="D9" s="629">
        <v>0</v>
      </c>
      <c r="E9" s="629">
        <v>0</v>
      </c>
      <c r="F9" s="629">
        <v>0</v>
      </c>
      <c r="G9" s="630" t="s">
        <v>367</v>
      </c>
      <c r="H9" s="631">
        <f>H10</f>
        <v>1724300</v>
      </c>
      <c r="I9" s="631">
        <f t="shared" ref="I9:J9" si="5">I10</f>
        <v>0</v>
      </c>
      <c r="J9" s="631">
        <f t="shared" si="5"/>
        <v>1724300</v>
      </c>
      <c r="K9" s="632">
        <f t="shared" si="1"/>
        <v>1</v>
      </c>
      <c r="L9" s="632">
        <f t="shared" si="2"/>
        <v>0</v>
      </c>
      <c r="M9" s="634"/>
      <c r="N9" s="633"/>
      <c r="O9" s="633"/>
      <c r="P9" s="634">
        <v>36</v>
      </c>
      <c r="Q9" s="635"/>
      <c r="R9" s="636"/>
      <c r="S9" s="631">
        <f>S10</f>
        <v>711100</v>
      </c>
      <c r="T9" s="631">
        <f t="shared" ref="T9:W9" si="6">T10</f>
        <v>506600</v>
      </c>
      <c r="U9" s="631">
        <f t="shared" si="6"/>
        <v>506600</v>
      </c>
      <c r="V9" s="631">
        <f t="shared" si="6"/>
        <v>0</v>
      </c>
      <c r="W9" s="631">
        <f t="shared" si="6"/>
        <v>0</v>
      </c>
      <c r="X9" s="631">
        <f t="shared" si="4"/>
        <v>1724300</v>
      </c>
      <c r="Y9" s="637">
        <v>1</v>
      </c>
      <c r="Z9" s="638">
        <v>1</v>
      </c>
      <c r="AA9" s="637">
        <v>1</v>
      </c>
      <c r="AB9" s="638">
        <v>1</v>
      </c>
      <c r="AC9" s="637">
        <v>1</v>
      </c>
      <c r="AD9" s="638">
        <v>1</v>
      </c>
      <c r="AE9" s="637">
        <v>1</v>
      </c>
      <c r="AF9" s="638">
        <v>1</v>
      </c>
      <c r="AG9" s="637">
        <v>1</v>
      </c>
      <c r="AH9" s="638">
        <v>1</v>
      </c>
    </row>
    <row r="10" spans="1:34" s="639" customFormat="1" ht="29.25" customHeight="1" x14ac:dyDescent="0.25">
      <c r="A10" s="640">
        <v>2</v>
      </c>
      <c r="B10" s="640">
        <v>1</v>
      </c>
      <c r="C10" s="640">
        <v>1</v>
      </c>
      <c r="D10" s="640">
        <v>1</v>
      </c>
      <c r="E10" s="640">
        <v>0</v>
      </c>
      <c r="F10" s="640">
        <v>0</v>
      </c>
      <c r="G10" s="641" t="s">
        <v>368</v>
      </c>
      <c r="H10" s="642">
        <f>SUM(H11:H17)</f>
        <v>1724300</v>
      </c>
      <c r="I10" s="642">
        <f>SUM(I11:I17)</f>
        <v>0</v>
      </c>
      <c r="J10" s="642">
        <f>SUM(J11:J17)</f>
        <v>1724300</v>
      </c>
      <c r="K10" s="643">
        <f t="shared" si="1"/>
        <v>1</v>
      </c>
      <c r="L10" s="643">
        <f t="shared" si="2"/>
        <v>0</v>
      </c>
      <c r="M10" s="661"/>
      <c r="N10" s="644"/>
      <c r="O10" s="644"/>
      <c r="P10" s="645">
        <v>36</v>
      </c>
      <c r="Q10" s="646"/>
      <c r="R10" s="647"/>
      <c r="S10" s="642">
        <f t="shared" ref="S10:W10" si="7">SUM(S11:S17)</f>
        <v>711100</v>
      </c>
      <c r="T10" s="642">
        <f t="shared" si="7"/>
        <v>506600</v>
      </c>
      <c r="U10" s="642">
        <f t="shared" si="7"/>
        <v>506600</v>
      </c>
      <c r="V10" s="642">
        <f t="shared" si="7"/>
        <v>0</v>
      </c>
      <c r="W10" s="642">
        <f t="shared" si="7"/>
        <v>0</v>
      </c>
      <c r="X10" s="642">
        <f t="shared" si="4"/>
        <v>1724300</v>
      </c>
      <c r="Y10" s="637">
        <v>1</v>
      </c>
      <c r="Z10" s="638">
        <v>1</v>
      </c>
      <c r="AA10" s="637">
        <v>1</v>
      </c>
      <c r="AB10" s="638">
        <v>1</v>
      </c>
      <c r="AC10" s="637">
        <v>1</v>
      </c>
      <c r="AD10" s="638">
        <v>1</v>
      </c>
      <c r="AE10" s="637">
        <v>1</v>
      </c>
      <c r="AF10" s="638">
        <v>1</v>
      </c>
      <c r="AG10" s="637">
        <v>1</v>
      </c>
      <c r="AH10" s="638">
        <v>1</v>
      </c>
    </row>
    <row r="11" spans="1:34" s="639" customFormat="1" x14ac:dyDescent="0.25">
      <c r="A11" s="648">
        <v>2</v>
      </c>
      <c r="B11" s="648">
        <v>1</v>
      </c>
      <c r="C11" s="648">
        <v>1</v>
      </c>
      <c r="D11" s="648">
        <v>1</v>
      </c>
      <c r="E11" s="648">
        <v>1</v>
      </c>
      <c r="F11" s="648">
        <v>0</v>
      </c>
      <c r="G11" s="649" t="s">
        <v>369</v>
      </c>
      <c r="H11" s="650">
        <f>40000*5</f>
        <v>200000</v>
      </c>
      <c r="I11" s="650">
        <v>0</v>
      </c>
      <c r="J11" s="651">
        <f>H11+I11</f>
        <v>200000</v>
      </c>
      <c r="K11" s="652">
        <f t="shared" si="1"/>
        <v>1</v>
      </c>
      <c r="L11" s="652">
        <f t="shared" si="2"/>
        <v>0</v>
      </c>
      <c r="M11" s="654" t="s">
        <v>178</v>
      </c>
      <c r="N11" s="653"/>
      <c r="O11" s="653"/>
      <c r="P11" s="654">
        <v>1</v>
      </c>
      <c r="Q11" s="655"/>
      <c r="R11" s="656"/>
      <c r="S11" s="650">
        <v>200000</v>
      </c>
      <c r="T11" s="650">
        <v>0</v>
      </c>
      <c r="U11" s="650">
        <v>0</v>
      </c>
      <c r="V11" s="650">
        <v>0</v>
      </c>
      <c r="W11" s="650">
        <v>0</v>
      </c>
      <c r="X11" s="657">
        <f t="shared" si="4"/>
        <v>200000</v>
      </c>
      <c r="Y11" s="637">
        <v>1</v>
      </c>
      <c r="Z11" s="638">
        <v>1</v>
      </c>
      <c r="AA11" s="637">
        <v>1</v>
      </c>
      <c r="AB11" s="638">
        <v>1</v>
      </c>
      <c r="AC11" s="637">
        <v>1</v>
      </c>
      <c r="AD11" s="638">
        <v>1</v>
      </c>
      <c r="AE11" s="637">
        <v>1</v>
      </c>
      <c r="AF11" s="638">
        <v>1</v>
      </c>
      <c r="AG11" s="637">
        <v>1</v>
      </c>
      <c r="AH11" s="638">
        <v>1</v>
      </c>
    </row>
    <row r="12" spans="1:34" s="639" customFormat="1" x14ac:dyDescent="0.25">
      <c r="A12" s="648">
        <v>2</v>
      </c>
      <c r="B12" s="648"/>
      <c r="C12" s="648"/>
      <c r="D12" s="648"/>
      <c r="E12" s="648"/>
      <c r="F12" s="648"/>
      <c r="G12" s="649" t="s">
        <v>370</v>
      </c>
      <c r="H12" s="650">
        <f>500*5*1</f>
        <v>2500</v>
      </c>
      <c r="I12" s="650"/>
      <c r="J12" s="651">
        <f t="shared" ref="J12:J13" si="8">H12+I12</f>
        <v>2500</v>
      </c>
      <c r="K12" s="652">
        <f t="shared" si="1"/>
        <v>1</v>
      </c>
      <c r="L12" s="652">
        <f t="shared" si="2"/>
        <v>0</v>
      </c>
      <c r="M12" s="654" t="s">
        <v>178</v>
      </c>
      <c r="N12" s="653"/>
      <c r="O12" s="653"/>
      <c r="P12" s="654"/>
      <c r="Q12" s="655"/>
      <c r="R12" s="656"/>
      <c r="S12" s="650">
        <v>2500</v>
      </c>
      <c r="T12" s="650">
        <v>0</v>
      </c>
      <c r="U12" s="650">
        <v>0</v>
      </c>
      <c r="V12" s="650">
        <v>0</v>
      </c>
      <c r="W12" s="650">
        <v>0</v>
      </c>
      <c r="X12" s="657"/>
      <c r="Y12" s="637"/>
      <c r="Z12" s="638"/>
      <c r="AA12" s="637"/>
      <c r="AB12" s="638"/>
      <c r="AC12" s="637"/>
      <c r="AD12" s="638"/>
      <c r="AE12" s="637"/>
      <c r="AF12" s="638"/>
      <c r="AG12" s="637"/>
      <c r="AH12" s="638"/>
    </row>
    <row r="13" spans="1:34" s="639" customFormat="1" ht="24" x14ac:dyDescent="0.25">
      <c r="A13" s="648">
        <v>2</v>
      </c>
      <c r="B13" s="648"/>
      <c r="C13" s="648"/>
      <c r="D13" s="648"/>
      <c r="E13" s="648"/>
      <c r="F13" s="648"/>
      <c r="G13" s="649" t="s">
        <v>371</v>
      </c>
      <c r="H13" s="650">
        <f>20*5*20</f>
        <v>2000</v>
      </c>
      <c r="I13" s="650"/>
      <c r="J13" s="651">
        <f t="shared" si="8"/>
        <v>2000</v>
      </c>
      <c r="K13" s="652">
        <f t="shared" si="1"/>
        <v>1</v>
      </c>
      <c r="L13" s="652">
        <f t="shared" si="2"/>
        <v>0</v>
      </c>
      <c r="M13" s="654"/>
      <c r="N13" s="653"/>
      <c r="O13" s="653"/>
      <c r="P13" s="654"/>
      <c r="Q13" s="655"/>
      <c r="R13" s="656"/>
      <c r="S13" s="650">
        <v>2000</v>
      </c>
      <c r="T13" s="650">
        <v>0</v>
      </c>
      <c r="U13" s="650">
        <v>0</v>
      </c>
      <c r="V13" s="650">
        <v>0</v>
      </c>
      <c r="W13" s="650">
        <v>0</v>
      </c>
      <c r="X13" s="657"/>
      <c r="Y13" s="637"/>
      <c r="Z13" s="638"/>
      <c r="AA13" s="637"/>
      <c r="AB13" s="638"/>
      <c r="AC13" s="637"/>
      <c r="AD13" s="638"/>
      <c r="AE13" s="637"/>
      <c r="AF13" s="638"/>
      <c r="AG13" s="637"/>
      <c r="AH13" s="638"/>
    </row>
    <row r="14" spans="1:34" s="639" customFormat="1" x14ac:dyDescent="0.25">
      <c r="A14" s="648">
        <v>2</v>
      </c>
      <c r="B14" s="648"/>
      <c r="C14" s="648"/>
      <c r="D14" s="648"/>
      <c r="E14" s="648"/>
      <c r="F14" s="648"/>
      <c r="G14" s="649" t="s">
        <v>372</v>
      </c>
      <c r="H14" s="650">
        <f>2*1900*12*3</f>
        <v>136800</v>
      </c>
      <c r="I14" s="650"/>
      <c r="J14" s="651">
        <f>H14+I14</f>
        <v>136800</v>
      </c>
      <c r="K14" s="652">
        <f t="shared" si="1"/>
        <v>1</v>
      </c>
      <c r="L14" s="652">
        <f t="shared" si="2"/>
        <v>0</v>
      </c>
      <c r="M14" s="654"/>
      <c r="N14" s="653"/>
      <c r="O14" s="653"/>
      <c r="P14" s="654">
        <v>36</v>
      </c>
      <c r="Q14" s="655"/>
      <c r="R14" s="656"/>
      <c r="S14" s="650">
        <f>2*1900*12</f>
        <v>45600</v>
      </c>
      <c r="T14" s="650">
        <f t="shared" ref="T14:U14" si="9">2*1900*12</f>
        <v>45600</v>
      </c>
      <c r="U14" s="650">
        <f t="shared" si="9"/>
        <v>45600</v>
      </c>
      <c r="V14" s="650">
        <v>0</v>
      </c>
      <c r="W14" s="650">
        <v>0</v>
      </c>
      <c r="X14" s="657"/>
      <c r="Y14" s="637"/>
      <c r="Z14" s="638"/>
      <c r="AA14" s="637"/>
      <c r="AB14" s="638"/>
      <c r="AC14" s="637"/>
      <c r="AD14" s="638"/>
      <c r="AE14" s="637"/>
      <c r="AF14" s="638"/>
      <c r="AG14" s="637"/>
      <c r="AH14" s="638"/>
    </row>
    <row r="15" spans="1:34" s="639" customFormat="1" ht="17.25" customHeight="1" x14ac:dyDescent="0.25">
      <c r="A15" s="648">
        <v>2</v>
      </c>
      <c r="B15" s="648">
        <v>1</v>
      </c>
      <c r="C15" s="648">
        <v>1</v>
      </c>
      <c r="D15" s="648">
        <v>1</v>
      </c>
      <c r="E15" s="648">
        <v>1</v>
      </c>
      <c r="F15" s="648">
        <v>1</v>
      </c>
      <c r="G15" s="649" t="s">
        <v>373</v>
      </c>
      <c r="H15" s="650">
        <f>20*1300*12*3</f>
        <v>936000</v>
      </c>
      <c r="I15" s="650">
        <v>0</v>
      </c>
      <c r="J15" s="650">
        <f>+H15+I15</f>
        <v>936000</v>
      </c>
      <c r="K15" s="652">
        <f t="shared" si="1"/>
        <v>1</v>
      </c>
      <c r="L15" s="652">
        <f t="shared" si="2"/>
        <v>0</v>
      </c>
      <c r="M15" s="654"/>
      <c r="N15" s="653"/>
      <c r="O15" s="653"/>
      <c r="P15" s="655">
        <v>36</v>
      </c>
      <c r="Q15" s="655">
        <v>4</v>
      </c>
      <c r="R15" s="656">
        <v>74000</v>
      </c>
      <c r="S15" s="657">
        <f>20*1300*12</f>
        <v>312000</v>
      </c>
      <c r="T15" s="657">
        <f t="shared" ref="T15:U15" si="10">20*1300*12</f>
        <v>312000</v>
      </c>
      <c r="U15" s="657">
        <f t="shared" si="10"/>
        <v>312000</v>
      </c>
      <c r="V15" s="657">
        <v>0</v>
      </c>
      <c r="W15" s="657">
        <v>0</v>
      </c>
      <c r="X15" s="657">
        <f t="shared" si="4"/>
        <v>936000</v>
      </c>
      <c r="Y15" s="637">
        <v>1</v>
      </c>
      <c r="Z15" s="638">
        <v>1</v>
      </c>
      <c r="AA15" s="637">
        <v>1</v>
      </c>
      <c r="AB15" s="638">
        <v>1</v>
      </c>
      <c r="AC15" s="637">
        <v>1</v>
      </c>
      <c r="AD15" s="638">
        <v>1</v>
      </c>
      <c r="AE15" s="637">
        <v>1</v>
      </c>
      <c r="AF15" s="638">
        <v>1</v>
      </c>
      <c r="AG15" s="637">
        <v>1</v>
      </c>
      <c r="AH15" s="638">
        <v>1</v>
      </c>
    </row>
    <row r="16" spans="1:34" s="639" customFormat="1" x14ac:dyDescent="0.25">
      <c r="A16" s="648">
        <v>2</v>
      </c>
      <c r="B16" s="648">
        <v>1</v>
      </c>
      <c r="C16" s="648">
        <v>1</v>
      </c>
      <c r="D16" s="648">
        <v>1</v>
      </c>
      <c r="E16" s="648">
        <v>1</v>
      </c>
      <c r="F16" s="648">
        <v>2</v>
      </c>
      <c r="G16" s="649" t="s">
        <v>374</v>
      </c>
      <c r="H16" s="650">
        <f>21000*5*3</f>
        <v>315000</v>
      </c>
      <c r="I16" s="650">
        <v>0</v>
      </c>
      <c r="J16" s="650">
        <f>+H16+I16</f>
        <v>315000</v>
      </c>
      <c r="K16" s="652">
        <f t="shared" si="1"/>
        <v>1</v>
      </c>
      <c r="L16" s="652">
        <f t="shared" si="2"/>
        <v>0</v>
      </c>
      <c r="M16" s="654"/>
      <c r="N16" s="653"/>
      <c r="O16" s="653"/>
      <c r="P16" s="655">
        <v>3</v>
      </c>
      <c r="Q16" s="655">
        <v>2</v>
      </c>
      <c r="R16" s="656">
        <v>56000</v>
      </c>
      <c r="S16" s="657">
        <f>21000*5</f>
        <v>105000</v>
      </c>
      <c r="T16" s="657">
        <f t="shared" ref="T16:U16" si="11">21000*5</f>
        <v>105000</v>
      </c>
      <c r="U16" s="657">
        <f t="shared" si="11"/>
        <v>105000</v>
      </c>
      <c r="V16" s="657">
        <v>0</v>
      </c>
      <c r="W16" s="657">
        <v>0</v>
      </c>
      <c r="X16" s="657">
        <f t="shared" si="4"/>
        <v>315000</v>
      </c>
      <c r="Y16" s="637">
        <v>1</v>
      </c>
      <c r="Z16" s="638">
        <v>1</v>
      </c>
      <c r="AA16" s="637">
        <v>1</v>
      </c>
      <c r="AB16" s="638">
        <v>1</v>
      </c>
      <c r="AC16" s="637">
        <v>1</v>
      </c>
      <c r="AD16" s="638">
        <v>1</v>
      </c>
      <c r="AE16" s="637">
        <v>1</v>
      </c>
      <c r="AF16" s="638">
        <v>1</v>
      </c>
      <c r="AG16" s="637">
        <v>1</v>
      </c>
      <c r="AH16" s="638">
        <v>1</v>
      </c>
    </row>
    <row r="17" spans="1:34" s="639" customFormat="1" x14ac:dyDescent="0.25">
      <c r="A17" s="648">
        <v>2</v>
      </c>
      <c r="B17" s="648">
        <v>1</v>
      </c>
      <c r="C17" s="648">
        <v>1</v>
      </c>
      <c r="D17" s="648">
        <v>1</v>
      </c>
      <c r="E17" s="648">
        <v>3</v>
      </c>
      <c r="F17" s="648">
        <v>0</v>
      </c>
      <c r="G17" s="649" t="s">
        <v>375</v>
      </c>
      <c r="H17" s="650">
        <f>8800*5*3</f>
        <v>132000</v>
      </c>
      <c r="I17" s="650">
        <v>0</v>
      </c>
      <c r="J17" s="651">
        <f>H17+I17</f>
        <v>132000</v>
      </c>
      <c r="K17" s="652">
        <f t="shared" si="1"/>
        <v>1</v>
      </c>
      <c r="L17" s="652">
        <f t="shared" si="2"/>
        <v>0</v>
      </c>
      <c r="M17" s="654"/>
      <c r="N17" s="653"/>
      <c r="O17" s="653"/>
      <c r="P17" s="654">
        <v>36</v>
      </c>
      <c r="Q17" s="655"/>
      <c r="R17" s="656"/>
      <c r="S17" s="650">
        <f>8800*5</f>
        <v>44000</v>
      </c>
      <c r="T17" s="650">
        <f t="shared" ref="T17:U17" si="12">8800*5</f>
        <v>44000</v>
      </c>
      <c r="U17" s="650">
        <f t="shared" si="12"/>
        <v>44000</v>
      </c>
      <c r="V17" s="650">
        <v>0</v>
      </c>
      <c r="W17" s="650">
        <v>0</v>
      </c>
      <c r="X17" s="650">
        <f t="shared" si="4"/>
        <v>132000</v>
      </c>
      <c r="Y17" s="637"/>
      <c r="Z17" s="638"/>
      <c r="AA17" s="637">
        <v>1</v>
      </c>
      <c r="AB17" s="638">
        <v>1</v>
      </c>
      <c r="AC17" s="637">
        <v>1</v>
      </c>
      <c r="AD17" s="638">
        <v>1</v>
      </c>
      <c r="AE17" s="637">
        <v>1</v>
      </c>
      <c r="AF17" s="638">
        <v>1</v>
      </c>
      <c r="AG17" s="637">
        <v>1</v>
      </c>
      <c r="AH17" s="638">
        <v>1</v>
      </c>
    </row>
    <row r="18" spans="1:34" ht="32.25" customHeight="1" x14ac:dyDescent="0.25">
      <c r="A18" s="399">
        <v>2</v>
      </c>
      <c r="B18" s="399">
        <v>1</v>
      </c>
      <c r="C18" s="399">
        <v>1</v>
      </c>
      <c r="D18" s="399">
        <v>0</v>
      </c>
      <c r="E18" s="399">
        <v>0</v>
      </c>
      <c r="F18" s="399">
        <v>0</v>
      </c>
      <c r="G18" s="400" t="s">
        <v>520</v>
      </c>
      <c r="H18" s="401">
        <f>SUM(H19:H21)</f>
        <v>185000</v>
      </c>
      <c r="I18" s="401">
        <f t="shared" ref="I18:O18" si="13">SUM(I19:I21)</f>
        <v>0</v>
      </c>
      <c r="J18" s="401">
        <f t="shared" si="13"/>
        <v>185000</v>
      </c>
      <c r="K18" s="401">
        <f t="shared" si="13"/>
        <v>3</v>
      </c>
      <c r="L18" s="401">
        <f t="shared" si="13"/>
        <v>0</v>
      </c>
      <c r="M18" s="401">
        <f t="shared" si="13"/>
        <v>0</v>
      </c>
      <c r="N18" s="401">
        <f t="shared" si="13"/>
        <v>129396</v>
      </c>
      <c r="O18" s="401">
        <f t="shared" si="13"/>
        <v>0</v>
      </c>
      <c r="P18" s="404">
        <v>36</v>
      </c>
      <c r="Q18" s="405"/>
      <c r="R18" s="406"/>
      <c r="S18" s="401">
        <f>SUM(S19:S21)</f>
        <v>0</v>
      </c>
      <c r="T18" s="401">
        <f>SUM(T19:T21)</f>
        <v>185000</v>
      </c>
      <c r="U18" s="401">
        <f t="shared" ref="U18" si="14">SUM(U19:U21)</f>
        <v>0</v>
      </c>
      <c r="V18" s="401">
        <f t="shared" ref="V18" si="15">SUM(V19:V21)</f>
        <v>0</v>
      </c>
      <c r="W18" s="401">
        <f t="shared" ref="W18" si="16">SUM(W19:W21)</f>
        <v>0</v>
      </c>
      <c r="X18" s="401">
        <f t="shared" si="4"/>
        <v>185000</v>
      </c>
      <c r="Y18" s="388">
        <v>1</v>
      </c>
      <c r="Z18" s="389">
        <v>1</v>
      </c>
      <c r="AA18" s="388">
        <v>1</v>
      </c>
      <c r="AB18" s="389">
        <v>1</v>
      </c>
      <c r="AC18" s="388">
        <v>1</v>
      </c>
      <c r="AD18" s="389">
        <v>1</v>
      </c>
      <c r="AE18" s="388">
        <v>1</v>
      </c>
      <c r="AF18" s="389">
        <v>1</v>
      </c>
      <c r="AG18" s="388">
        <v>1</v>
      </c>
      <c r="AH18" s="389">
        <v>1</v>
      </c>
    </row>
    <row r="19" spans="1:34" ht="24" x14ac:dyDescent="0.25">
      <c r="A19" s="407">
        <v>2</v>
      </c>
      <c r="B19" s="407">
        <v>1</v>
      </c>
      <c r="C19" s="407">
        <v>1</v>
      </c>
      <c r="D19" s="407">
        <v>1</v>
      </c>
      <c r="E19" s="407">
        <v>1</v>
      </c>
      <c r="F19" s="407">
        <v>0</v>
      </c>
      <c r="G19" s="408" t="s">
        <v>376</v>
      </c>
      <c r="H19" s="343">
        <f>1000*30*5</f>
        <v>150000</v>
      </c>
      <c r="I19" s="343">
        <v>0</v>
      </c>
      <c r="J19" s="409">
        <f>H19+I19</f>
        <v>150000</v>
      </c>
      <c r="K19" s="410">
        <f t="shared" si="1"/>
        <v>1</v>
      </c>
      <c r="L19" s="410">
        <f t="shared" si="2"/>
        <v>0</v>
      </c>
      <c r="M19" s="347" t="s">
        <v>131</v>
      </c>
      <c r="N19" s="411">
        <v>43132</v>
      </c>
      <c r="O19" s="411"/>
      <c r="P19" s="347">
        <v>9</v>
      </c>
      <c r="Q19" s="412"/>
      <c r="R19" s="413"/>
      <c r="T19" s="343">
        <f>H19</f>
        <v>150000</v>
      </c>
      <c r="U19" s="343">
        <v>0</v>
      </c>
      <c r="V19" s="343">
        <v>0</v>
      </c>
      <c r="W19" s="343">
        <v>0</v>
      </c>
      <c r="X19" s="414">
        <f>SUM(T19:W19)</f>
        <v>150000</v>
      </c>
      <c r="Y19" s="388">
        <v>1</v>
      </c>
      <c r="Z19" s="389">
        <v>1</v>
      </c>
      <c r="AA19" s="388">
        <v>1</v>
      </c>
      <c r="AB19" s="389">
        <v>1</v>
      </c>
      <c r="AC19" s="388">
        <v>1</v>
      </c>
      <c r="AD19" s="389">
        <v>1</v>
      </c>
      <c r="AE19" s="388">
        <v>1</v>
      </c>
      <c r="AF19" s="389">
        <v>1</v>
      </c>
      <c r="AG19" s="388">
        <v>1</v>
      </c>
      <c r="AH19" s="389">
        <v>1</v>
      </c>
    </row>
    <row r="20" spans="1:34" x14ac:dyDescent="0.25">
      <c r="A20" s="407">
        <v>2</v>
      </c>
      <c r="B20" s="407"/>
      <c r="C20" s="407"/>
      <c r="D20" s="407"/>
      <c r="E20" s="407"/>
      <c r="F20" s="407"/>
      <c r="G20" s="408" t="s">
        <v>370</v>
      </c>
      <c r="H20" s="343">
        <f>500*5*8</f>
        <v>20000</v>
      </c>
      <c r="I20" s="343"/>
      <c r="J20" s="409">
        <f>H20+I20</f>
        <v>20000</v>
      </c>
      <c r="K20" s="410">
        <f t="shared" si="1"/>
        <v>1</v>
      </c>
      <c r="L20" s="410">
        <f t="shared" si="2"/>
        <v>0</v>
      </c>
      <c r="M20" s="347" t="s">
        <v>178</v>
      </c>
      <c r="N20" s="411">
        <v>43132</v>
      </c>
      <c r="O20" s="411"/>
      <c r="P20" s="347">
        <v>9</v>
      </c>
      <c r="Q20" s="412"/>
      <c r="R20" s="413"/>
      <c r="T20" s="343">
        <f>H20</f>
        <v>20000</v>
      </c>
      <c r="U20" s="343">
        <v>0</v>
      </c>
      <c r="V20" s="343">
        <v>0</v>
      </c>
      <c r="W20" s="343">
        <v>0</v>
      </c>
      <c r="X20" s="414">
        <f>SUM(T20:W20)</f>
        <v>20000</v>
      </c>
      <c r="Y20" s="388"/>
      <c r="Z20" s="389"/>
      <c r="AA20" s="388"/>
      <c r="AB20" s="389"/>
      <c r="AC20" s="388"/>
      <c r="AD20" s="389"/>
      <c r="AE20" s="388"/>
      <c r="AF20" s="389"/>
      <c r="AG20" s="388"/>
      <c r="AH20" s="389"/>
    </row>
    <row r="21" spans="1:34" ht="27.75" customHeight="1" x14ac:dyDescent="0.25">
      <c r="A21" s="407">
        <v>2</v>
      </c>
      <c r="B21" s="407">
        <v>1</v>
      </c>
      <c r="C21" s="407">
        <v>1</v>
      </c>
      <c r="D21" s="407">
        <v>1</v>
      </c>
      <c r="E21" s="407">
        <v>1</v>
      </c>
      <c r="F21" s="407">
        <v>1</v>
      </c>
      <c r="G21" s="408" t="s">
        <v>371</v>
      </c>
      <c r="H21" s="343">
        <f>150*5*20</f>
        <v>15000</v>
      </c>
      <c r="I21" s="343">
        <v>0</v>
      </c>
      <c r="J21" s="343">
        <f>+H21+I21</f>
        <v>15000</v>
      </c>
      <c r="K21" s="410">
        <f t="shared" si="1"/>
        <v>1</v>
      </c>
      <c r="L21" s="410">
        <f t="shared" si="2"/>
        <v>0</v>
      </c>
      <c r="M21" s="347" t="s">
        <v>178</v>
      </c>
      <c r="N21" s="411">
        <v>43132</v>
      </c>
      <c r="O21" s="411"/>
      <c r="P21" s="412">
        <v>9</v>
      </c>
      <c r="Q21" s="412">
        <v>4</v>
      </c>
      <c r="R21" s="413">
        <v>74000</v>
      </c>
      <c r="T21" s="343">
        <f>H21</f>
        <v>15000</v>
      </c>
      <c r="U21" s="414">
        <v>0</v>
      </c>
      <c r="V21" s="414">
        <v>0</v>
      </c>
      <c r="W21" s="414">
        <v>0</v>
      </c>
      <c r="X21" s="414">
        <f>SUM(T21:W21)</f>
        <v>15000</v>
      </c>
      <c r="Y21" s="388">
        <v>1</v>
      </c>
      <c r="Z21" s="389">
        <v>1</v>
      </c>
      <c r="AA21" s="388">
        <v>1</v>
      </c>
      <c r="AB21" s="389">
        <v>1</v>
      </c>
      <c r="AC21" s="388">
        <v>1</v>
      </c>
      <c r="AD21" s="389">
        <v>1</v>
      </c>
      <c r="AE21" s="388">
        <v>1</v>
      </c>
      <c r="AF21" s="389">
        <v>1</v>
      </c>
      <c r="AG21" s="388">
        <v>1</v>
      </c>
      <c r="AH21" s="389">
        <v>1</v>
      </c>
    </row>
    <row r="22" spans="1:34" ht="32.25" customHeight="1" x14ac:dyDescent="0.25">
      <c r="A22" s="399">
        <v>2</v>
      </c>
      <c r="B22" s="399">
        <v>1</v>
      </c>
      <c r="C22" s="399">
        <v>1</v>
      </c>
      <c r="D22" s="399">
        <v>0</v>
      </c>
      <c r="E22" s="399">
        <v>0</v>
      </c>
      <c r="F22" s="399">
        <v>0</v>
      </c>
      <c r="G22" s="400" t="s">
        <v>519</v>
      </c>
      <c r="H22" s="401">
        <f>SUM(H23:H26)</f>
        <v>348000</v>
      </c>
      <c r="I22" s="401">
        <f t="shared" ref="I22:J22" si="17">SUM(I23:I26)</f>
        <v>0</v>
      </c>
      <c r="J22" s="401">
        <f t="shared" si="17"/>
        <v>348000</v>
      </c>
      <c r="K22" s="402">
        <f t="shared" si="1"/>
        <v>1</v>
      </c>
      <c r="L22" s="402">
        <f t="shared" si="2"/>
        <v>0</v>
      </c>
      <c r="M22" s="404"/>
      <c r="N22" s="403"/>
      <c r="O22" s="403"/>
      <c r="P22" s="404">
        <v>36</v>
      </c>
      <c r="Q22" s="405"/>
      <c r="R22" s="406"/>
      <c r="S22" s="401">
        <f t="shared" ref="S22" si="18">SUM(S23:S26)</f>
        <v>39000</v>
      </c>
      <c r="T22" s="401">
        <f t="shared" ref="T22" si="19">SUM(T23:T26)</f>
        <v>120000</v>
      </c>
      <c r="U22" s="401">
        <f t="shared" ref="U22" si="20">SUM(U23:U26)</f>
        <v>108000</v>
      </c>
      <c r="V22" s="401">
        <f t="shared" ref="V22" si="21">SUM(V23:V26)</f>
        <v>54000</v>
      </c>
      <c r="W22" s="401">
        <f t="shared" ref="W22" si="22">SUM(W23:W26)</f>
        <v>0</v>
      </c>
      <c r="X22" s="401">
        <f t="shared" ref="X22:X34" si="23">SUM(S22:W22)</f>
        <v>321000</v>
      </c>
      <c r="Y22" s="388">
        <v>1</v>
      </c>
      <c r="Z22" s="389">
        <v>1</v>
      </c>
      <c r="AA22" s="388">
        <v>1</v>
      </c>
      <c r="AB22" s="389">
        <v>1</v>
      </c>
      <c r="AC22" s="388">
        <v>1</v>
      </c>
      <c r="AD22" s="389">
        <v>1</v>
      </c>
      <c r="AE22" s="388">
        <v>1</v>
      </c>
      <c r="AF22" s="389">
        <v>1</v>
      </c>
      <c r="AG22" s="388">
        <v>1</v>
      </c>
      <c r="AH22" s="389">
        <v>1</v>
      </c>
    </row>
    <row r="23" spans="1:34" ht="24" x14ac:dyDescent="0.25">
      <c r="A23" s="407">
        <v>2</v>
      </c>
      <c r="B23" s="407">
        <v>1</v>
      </c>
      <c r="C23" s="407">
        <v>1</v>
      </c>
      <c r="D23" s="407">
        <v>1</v>
      </c>
      <c r="E23" s="407">
        <v>1</v>
      </c>
      <c r="F23" s="407">
        <v>0</v>
      </c>
      <c r="G23" s="408" t="s">
        <v>377</v>
      </c>
      <c r="H23" s="343">
        <f>20000</f>
        <v>20000</v>
      </c>
      <c r="I23" s="343">
        <v>0</v>
      </c>
      <c r="J23" s="409">
        <f>H23+I23</f>
        <v>20000</v>
      </c>
      <c r="K23" s="410">
        <f t="shared" si="1"/>
        <v>1</v>
      </c>
      <c r="L23" s="410">
        <f t="shared" si="2"/>
        <v>0</v>
      </c>
      <c r="M23" s="347" t="s">
        <v>131</v>
      </c>
      <c r="N23" s="411">
        <v>43009</v>
      </c>
      <c r="O23" s="411"/>
      <c r="P23" s="347">
        <v>12</v>
      </c>
      <c r="Q23" s="412"/>
      <c r="R23" s="413"/>
      <c r="S23" s="343">
        <f>J23*0.5</f>
        <v>10000</v>
      </c>
      <c r="T23" s="343">
        <f>+S23</f>
        <v>10000</v>
      </c>
      <c r="U23" s="343">
        <v>0</v>
      </c>
      <c r="V23" s="343">
        <v>0</v>
      </c>
      <c r="W23" s="343">
        <v>0</v>
      </c>
      <c r="X23" s="414">
        <f t="shared" si="23"/>
        <v>20000</v>
      </c>
      <c r="Y23" s="388">
        <v>1</v>
      </c>
      <c r="Z23" s="389">
        <v>1</v>
      </c>
      <c r="AA23" s="388">
        <v>1</v>
      </c>
      <c r="AB23" s="389">
        <v>1</v>
      </c>
      <c r="AC23" s="388">
        <v>1</v>
      </c>
      <c r="AD23" s="389">
        <v>1</v>
      </c>
      <c r="AE23" s="388">
        <v>1</v>
      </c>
      <c r="AF23" s="389">
        <v>1</v>
      </c>
      <c r="AG23" s="388">
        <v>1</v>
      </c>
      <c r="AH23" s="389">
        <v>1</v>
      </c>
    </row>
    <row r="24" spans="1:34" ht="17.25" customHeight="1" x14ac:dyDescent="0.25">
      <c r="A24" s="407">
        <v>2</v>
      </c>
      <c r="B24" s="407"/>
      <c r="C24" s="407"/>
      <c r="D24" s="407"/>
      <c r="E24" s="407"/>
      <c r="F24" s="407"/>
      <c r="G24" s="408" t="s">
        <v>370</v>
      </c>
      <c r="H24" s="343">
        <f>500*5*1</f>
        <v>2500</v>
      </c>
      <c r="I24" s="343">
        <v>0</v>
      </c>
      <c r="J24" s="409">
        <f t="shared" ref="J24" si="24">H24+I24</f>
        <v>2500</v>
      </c>
      <c r="K24" s="410">
        <f t="shared" si="1"/>
        <v>1</v>
      </c>
      <c r="L24" s="410">
        <f t="shared" si="2"/>
        <v>0</v>
      </c>
      <c r="M24" s="347" t="s">
        <v>178</v>
      </c>
      <c r="N24" s="411">
        <v>43009</v>
      </c>
      <c r="O24" s="411"/>
      <c r="P24" s="347">
        <v>12</v>
      </c>
      <c r="Q24" s="412"/>
      <c r="R24" s="413"/>
      <c r="S24" s="343">
        <f>J24*0.5</f>
        <v>1250</v>
      </c>
      <c r="T24" s="343">
        <f>+S24</f>
        <v>1250</v>
      </c>
      <c r="U24" s="343">
        <v>0</v>
      </c>
      <c r="V24" s="343">
        <v>0</v>
      </c>
      <c r="W24" s="343">
        <v>0</v>
      </c>
      <c r="X24" s="414">
        <f t="shared" si="23"/>
        <v>2500</v>
      </c>
      <c r="Y24" s="388"/>
      <c r="Z24" s="389"/>
      <c r="AA24" s="388"/>
      <c r="AB24" s="389"/>
      <c r="AC24" s="388"/>
      <c r="AD24" s="389"/>
      <c r="AE24" s="388"/>
      <c r="AF24" s="389"/>
      <c r="AG24" s="388"/>
      <c r="AH24" s="389"/>
    </row>
    <row r="25" spans="1:34" ht="24" x14ac:dyDescent="0.25">
      <c r="A25" s="407">
        <v>2</v>
      </c>
      <c r="B25" s="407">
        <v>1</v>
      </c>
      <c r="C25" s="407">
        <v>1</v>
      </c>
      <c r="D25" s="407">
        <v>1</v>
      </c>
      <c r="E25" s="407">
        <v>1</v>
      </c>
      <c r="F25" s="407">
        <v>1</v>
      </c>
      <c r="G25" s="408" t="s">
        <v>518</v>
      </c>
      <c r="H25" s="343">
        <f>1800*5*12*3</f>
        <v>324000</v>
      </c>
      <c r="I25" s="343">
        <v>0</v>
      </c>
      <c r="J25" s="343">
        <f>+H25+I25</f>
        <v>324000</v>
      </c>
      <c r="K25" s="410">
        <f t="shared" si="1"/>
        <v>1</v>
      </c>
      <c r="L25" s="410">
        <f t="shared" si="2"/>
        <v>0</v>
      </c>
      <c r="M25" s="347" t="s">
        <v>478</v>
      </c>
      <c r="N25" s="411">
        <v>43009</v>
      </c>
      <c r="O25" s="411"/>
      <c r="P25" s="412">
        <v>33</v>
      </c>
      <c r="Q25" s="412">
        <v>4</v>
      </c>
      <c r="R25" s="413">
        <v>74000</v>
      </c>
      <c r="S25" s="414">
        <f>1800*3*5</f>
        <v>27000</v>
      </c>
      <c r="T25" s="414">
        <f t="shared" ref="T25:U25" si="25">1800*12*5</f>
        <v>108000</v>
      </c>
      <c r="U25" s="414">
        <f t="shared" si="25"/>
        <v>108000</v>
      </c>
      <c r="V25" s="414">
        <f>1800*6*5</f>
        <v>54000</v>
      </c>
      <c r="W25" s="414">
        <v>0</v>
      </c>
      <c r="X25" s="414">
        <f t="shared" si="23"/>
        <v>297000</v>
      </c>
      <c r="Y25" s="388">
        <v>1</v>
      </c>
      <c r="Z25" s="389">
        <v>1</v>
      </c>
      <c r="AA25" s="388">
        <v>1</v>
      </c>
      <c r="AB25" s="389">
        <v>1</v>
      </c>
      <c r="AC25" s="388">
        <v>1</v>
      </c>
      <c r="AD25" s="389">
        <v>1</v>
      </c>
      <c r="AE25" s="388">
        <v>1</v>
      </c>
      <c r="AF25" s="389">
        <v>1</v>
      </c>
      <c r="AG25" s="388">
        <v>1</v>
      </c>
      <c r="AH25" s="389">
        <v>1</v>
      </c>
    </row>
    <row r="26" spans="1:34" ht="18.75" customHeight="1" x14ac:dyDescent="0.25">
      <c r="A26" s="407">
        <v>2</v>
      </c>
      <c r="B26" s="407">
        <v>1</v>
      </c>
      <c r="C26" s="407">
        <v>1</v>
      </c>
      <c r="D26" s="407">
        <v>1</v>
      </c>
      <c r="E26" s="407">
        <v>1</v>
      </c>
      <c r="F26" s="407">
        <v>2</v>
      </c>
      <c r="G26" s="408" t="s">
        <v>371</v>
      </c>
      <c r="H26" s="343">
        <f>15*5*20</f>
        <v>1500</v>
      </c>
      <c r="I26" s="343">
        <v>0</v>
      </c>
      <c r="J26" s="343">
        <f>+H26+I26</f>
        <v>1500</v>
      </c>
      <c r="K26" s="410">
        <f t="shared" si="1"/>
        <v>1</v>
      </c>
      <c r="L26" s="410">
        <f t="shared" si="2"/>
        <v>0</v>
      </c>
      <c r="M26" s="347" t="s">
        <v>178</v>
      </c>
      <c r="N26" s="411">
        <v>43009</v>
      </c>
      <c r="O26" s="411"/>
      <c r="P26" s="412">
        <v>12</v>
      </c>
      <c r="Q26" s="412">
        <v>2</v>
      </c>
      <c r="R26" s="413">
        <v>56000</v>
      </c>
      <c r="S26" s="414">
        <f>J26*0.5</f>
        <v>750</v>
      </c>
      <c r="T26" s="414">
        <f>+S26</f>
        <v>750</v>
      </c>
      <c r="U26" s="414">
        <v>0</v>
      </c>
      <c r="V26" s="414">
        <v>0</v>
      </c>
      <c r="W26" s="414">
        <v>0</v>
      </c>
      <c r="X26" s="414">
        <f t="shared" si="23"/>
        <v>1500</v>
      </c>
      <c r="Y26" s="388">
        <v>1</v>
      </c>
      <c r="Z26" s="389">
        <v>1</v>
      </c>
      <c r="AA26" s="388">
        <v>1</v>
      </c>
      <c r="AB26" s="389">
        <v>1</v>
      </c>
      <c r="AC26" s="388">
        <v>1</v>
      </c>
      <c r="AD26" s="389">
        <v>1</v>
      </c>
      <c r="AE26" s="388">
        <v>1</v>
      </c>
      <c r="AF26" s="389">
        <v>1</v>
      </c>
      <c r="AG26" s="388">
        <v>1</v>
      </c>
      <c r="AH26" s="389">
        <v>1</v>
      </c>
    </row>
    <row r="27" spans="1:34" ht="32.25" customHeight="1" x14ac:dyDescent="0.25">
      <c r="A27" s="399">
        <v>2</v>
      </c>
      <c r="B27" s="399">
        <v>1</v>
      </c>
      <c r="C27" s="399">
        <v>1</v>
      </c>
      <c r="D27" s="399">
        <v>0</v>
      </c>
      <c r="E27" s="399">
        <v>0</v>
      </c>
      <c r="F27" s="399">
        <v>0</v>
      </c>
      <c r="G27" s="400" t="s">
        <v>521</v>
      </c>
      <c r="H27" s="401">
        <f>SUM(H28:H34)</f>
        <v>533500</v>
      </c>
      <c r="I27" s="401">
        <f t="shared" ref="I27:J27" si="26">SUM(I28:I34)</f>
        <v>0</v>
      </c>
      <c r="J27" s="401">
        <f t="shared" si="26"/>
        <v>533500</v>
      </c>
      <c r="K27" s="401"/>
      <c r="L27" s="401"/>
      <c r="M27" s="404"/>
      <c r="N27" s="403"/>
      <c r="O27" s="403"/>
      <c r="P27" s="404">
        <v>36</v>
      </c>
      <c r="Q27" s="405"/>
      <c r="R27" s="406"/>
      <c r="S27" s="401">
        <f t="shared" ref="S27" si="27">SUM(S28:S34)</f>
        <v>49550</v>
      </c>
      <c r="T27" s="401">
        <f t="shared" ref="T27" si="28">SUM(T28:T34)</f>
        <v>186450</v>
      </c>
      <c r="U27" s="401">
        <f t="shared" ref="U27" si="29">SUM(U28:U34)</f>
        <v>170000</v>
      </c>
      <c r="V27" s="401">
        <f t="shared" ref="V27" si="30">SUM(V28:V34)</f>
        <v>116000</v>
      </c>
      <c r="W27" s="401">
        <f t="shared" ref="W27" si="31">SUM(W28:W34)</f>
        <v>0</v>
      </c>
      <c r="X27" s="401">
        <f t="shared" si="23"/>
        <v>522000</v>
      </c>
      <c r="Y27" s="388">
        <v>1</v>
      </c>
      <c r="Z27" s="389">
        <v>1</v>
      </c>
      <c r="AA27" s="388">
        <v>1</v>
      </c>
      <c r="AB27" s="389">
        <v>1</v>
      </c>
      <c r="AC27" s="388">
        <v>1</v>
      </c>
      <c r="AD27" s="389">
        <v>1</v>
      </c>
      <c r="AE27" s="388">
        <v>1</v>
      </c>
      <c r="AF27" s="389">
        <v>1</v>
      </c>
      <c r="AG27" s="388">
        <v>1</v>
      </c>
      <c r="AH27" s="389">
        <v>1</v>
      </c>
    </row>
    <row r="28" spans="1:34" x14ac:dyDescent="0.25">
      <c r="A28" s="407">
        <v>2</v>
      </c>
      <c r="B28" s="407">
        <v>1</v>
      </c>
      <c r="C28" s="407">
        <v>1</v>
      </c>
      <c r="D28" s="407">
        <v>1</v>
      </c>
      <c r="E28" s="407">
        <v>1</v>
      </c>
      <c r="F28" s="407">
        <v>0</v>
      </c>
      <c r="G28" s="408" t="s">
        <v>378</v>
      </c>
      <c r="H28" s="343">
        <f>20000</f>
        <v>20000</v>
      </c>
      <c r="I28" s="343">
        <v>0</v>
      </c>
      <c r="J28" s="409">
        <f>H28+I28</f>
        <v>20000</v>
      </c>
      <c r="K28" s="410">
        <f t="shared" si="1"/>
        <v>1</v>
      </c>
      <c r="L28" s="410">
        <f t="shared" si="2"/>
        <v>0</v>
      </c>
      <c r="M28" s="347" t="s">
        <v>131</v>
      </c>
      <c r="N28" s="411">
        <v>43009</v>
      </c>
      <c r="O28" s="411"/>
      <c r="P28" s="347">
        <v>12</v>
      </c>
      <c r="Q28" s="412"/>
      <c r="R28" s="413"/>
      <c r="S28" s="343">
        <f>J28*0.3</f>
        <v>6000</v>
      </c>
      <c r="T28" s="343">
        <f>+J28*0.7</f>
        <v>14000</v>
      </c>
      <c r="U28" s="343">
        <v>0</v>
      </c>
      <c r="V28" s="343">
        <v>0</v>
      </c>
      <c r="W28" s="343">
        <v>0</v>
      </c>
      <c r="X28" s="414">
        <f t="shared" si="23"/>
        <v>20000</v>
      </c>
      <c r="Y28" s="388">
        <v>1</v>
      </c>
      <c r="Z28" s="389">
        <v>1</v>
      </c>
      <c r="AA28" s="388">
        <v>1</v>
      </c>
      <c r="AB28" s="389">
        <v>1</v>
      </c>
      <c r="AC28" s="388">
        <v>1</v>
      </c>
      <c r="AD28" s="389">
        <v>1</v>
      </c>
      <c r="AE28" s="388">
        <v>1</v>
      </c>
      <c r="AF28" s="389">
        <v>1</v>
      </c>
      <c r="AG28" s="388">
        <v>1</v>
      </c>
      <c r="AH28" s="389">
        <v>1</v>
      </c>
    </row>
    <row r="29" spans="1:34" x14ac:dyDescent="0.25">
      <c r="A29" s="407">
        <v>2</v>
      </c>
      <c r="B29" s="407"/>
      <c r="C29" s="407"/>
      <c r="D29" s="407"/>
      <c r="E29" s="407"/>
      <c r="F29" s="407"/>
      <c r="G29" s="408" t="s">
        <v>370</v>
      </c>
      <c r="H29" s="343">
        <f>500*5*1</f>
        <v>2500</v>
      </c>
      <c r="I29" s="343"/>
      <c r="J29" s="409">
        <f>H29+I29</f>
        <v>2500</v>
      </c>
      <c r="K29" s="410">
        <f t="shared" si="1"/>
        <v>1</v>
      </c>
      <c r="L29" s="410">
        <f t="shared" si="2"/>
        <v>0</v>
      </c>
      <c r="M29" s="347" t="s">
        <v>178</v>
      </c>
      <c r="N29" s="411">
        <v>43009</v>
      </c>
      <c r="O29" s="411"/>
      <c r="P29" s="347">
        <v>12</v>
      </c>
      <c r="Q29" s="412"/>
      <c r="R29" s="413"/>
      <c r="S29" s="343">
        <f>J29*0.3</f>
        <v>750</v>
      </c>
      <c r="T29" s="343">
        <f>+J29*0.7</f>
        <v>1750</v>
      </c>
      <c r="U29" s="343">
        <v>0</v>
      </c>
      <c r="V29" s="343">
        <v>0</v>
      </c>
      <c r="W29" s="343">
        <v>0</v>
      </c>
      <c r="X29" s="414">
        <f t="shared" si="23"/>
        <v>2500</v>
      </c>
      <c r="Y29" s="388"/>
      <c r="Z29" s="389"/>
      <c r="AA29" s="388"/>
      <c r="AB29" s="389"/>
      <c r="AC29" s="388"/>
      <c r="AD29" s="389"/>
      <c r="AE29" s="388"/>
      <c r="AF29" s="389"/>
      <c r="AG29" s="388"/>
      <c r="AH29" s="389"/>
    </row>
    <row r="30" spans="1:34" ht="24" x14ac:dyDescent="0.25">
      <c r="A30" s="407">
        <v>2</v>
      </c>
      <c r="B30" s="407"/>
      <c r="C30" s="407"/>
      <c r="D30" s="407"/>
      <c r="E30" s="407"/>
      <c r="F30" s="407"/>
      <c r="G30" s="408" t="s">
        <v>371</v>
      </c>
      <c r="H30" s="343">
        <f>10*5*20</f>
        <v>1000</v>
      </c>
      <c r="I30" s="343">
        <v>0</v>
      </c>
      <c r="J30" s="343">
        <f>+H30+I30</f>
        <v>1000</v>
      </c>
      <c r="K30" s="410">
        <f t="shared" si="1"/>
        <v>1</v>
      </c>
      <c r="L30" s="410">
        <f t="shared" si="2"/>
        <v>0</v>
      </c>
      <c r="M30" s="347" t="s">
        <v>178</v>
      </c>
      <c r="N30" s="411">
        <v>43009</v>
      </c>
      <c r="O30" s="411"/>
      <c r="P30" s="347">
        <v>12</v>
      </c>
      <c r="Q30" s="412"/>
      <c r="R30" s="413"/>
      <c r="S30" s="343">
        <f>J30*0.3</f>
        <v>300</v>
      </c>
      <c r="T30" s="343">
        <f>+J30*0.7</f>
        <v>700</v>
      </c>
      <c r="U30" s="343">
        <v>0</v>
      </c>
      <c r="V30" s="343">
        <v>0</v>
      </c>
      <c r="W30" s="343">
        <v>0</v>
      </c>
      <c r="X30" s="414">
        <f t="shared" si="23"/>
        <v>1000</v>
      </c>
      <c r="Y30" s="388"/>
      <c r="Z30" s="389"/>
      <c r="AA30" s="388"/>
      <c r="AB30" s="389"/>
      <c r="AC30" s="388"/>
      <c r="AD30" s="389"/>
      <c r="AE30" s="388"/>
      <c r="AF30" s="389"/>
      <c r="AG30" s="388"/>
      <c r="AH30" s="389"/>
    </row>
    <row r="31" spans="1:34" ht="24" x14ac:dyDescent="0.25">
      <c r="A31" s="407">
        <v>2</v>
      </c>
      <c r="B31" s="407">
        <v>1</v>
      </c>
      <c r="C31" s="407">
        <v>1</v>
      </c>
      <c r="D31" s="407">
        <v>1</v>
      </c>
      <c r="E31" s="407">
        <v>1</v>
      </c>
      <c r="F31" s="407">
        <v>1</v>
      </c>
      <c r="G31" s="408" t="s">
        <v>379</v>
      </c>
      <c r="H31" s="343">
        <f>1000*5*12*3</f>
        <v>180000</v>
      </c>
      <c r="I31" s="343">
        <v>0</v>
      </c>
      <c r="J31" s="343">
        <f>+H31+I31</f>
        <v>180000</v>
      </c>
      <c r="K31" s="410">
        <f t="shared" si="1"/>
        <v>1</v>
      </c>
      <c r="L31" s="410">
        <f t="shared" si="2"/>
        <v>0</v>
      </c>
      <c r="M31" s="347" t="s">
        <v>131</v>
      </c>
      <c r="N31" s="411">
        <v>43009</v>
      </c>
      <c r="O31" s="411"/>
      <c r="P31" s="412">
        <v>33</v>
      </c>
      <c r="Q31" s="412">
        <v>4</v>
      </c>
      <c r="R31" s="413">
        <v>74000</v>
      </c>
      <c r="S31" s="343">
        <f>1000*5*3</f>
        <v>15000</v>
      </c>
      <c r="T31" s="343">
        <f t="shared" ref="T31:U31" si="32">1000*5*12</f>
        <v>60000</v>
      </c>
      <c r="U31" s="343">
        <f t="shared" si="32"/>
        <v>60000</v>
      </c>
      <c r="V31" s="343">
        <f>1000*5*6</f>
        <v>30000</v>
      </c>
      <c r="W31" s="414">
        <v>0</v>
      </c>
      <c r="X31" s="414">
        <f t="shared" si="23"/>
        <v>165000</v>
      </c>
      <c r="Y31" s="388">
        <v>1</v>
      </c>
      <c r="Z31" s="389">
        <v>1</v>
      </c>
      <c r="AA31" s="388">
        <v>1</v>
      </c>
      <c r="AB31" s="389">
        <v>1</v>
      </c>
      <c r="AC31" s="388">
        <v>1</v>
      </c>
      <c r="AD31" s="389">
        <v>1</v>
      </c>
      <c r="AE31" s="388">
        <v>1</v>
      </c>
      <c r="AF31" s="389">
        <v>1</v>
      </c>
      <c r="AG31" s="388">
        <v>1</v>
      </c>
      <c r="AH31" s="389">
        <v>1</v>
      </c>
    </row>
    <row r="32" spans="1:34" ht="24" x14ac:dyDescent="0.25">
      <c r="A32" s="407">
        <v>2</v>
      </c>
      <c r="B32" s="407">
        <v>1</v>
      </c>
      <c r="C32" s="407">
        <v>1</v>
      </c>
      <c r="D32" s="407">
        <v>1</v>
      </c>
      <c r="E32" s="407">
        <v>1</v>
      </c>
      <c r="F32" s="407">
        <v>1</v>
      </c>
      <c r="G32" s="408" t="s">
        <v>380</v>
      </c>
      <c r="H32" s="343">
        <f>800*5*12*3</f>
        <v>144000</v>
      </c>
      <c r="I32" s="343">
        <v>0</v>
      </c>
      <c r="J32" s="343">
        <f>+H32+I32</f>
        <v>144000</v>
      </c>
      <c r="K32" s="410">
        <f t="shared" si="1"/>
        <v>1</v>
      </c>
      <c r="L32" s="410">
        <f t="shared" si="2"/>
        <v>0</v>
      </c>
      <c r="M32" s="347" t="s">
        <v>131</v>
      </c>
      <c r="N32" s="411">
        <v>43009</v>
      </c>
      <c r="O32" s="411"/>
      <c r="P32" s="412">
        <v>33</v>
      </c>
      <c r="Q32" s="412">
        <v>4</v>
      </c>
      <c r="R32" s="413">
        <v>74000</v>
      </c>
      <c r="S32" s="343">
        <f>800*5*3</f>
        <v>12000</v>
      </c>
      <c r="T32" s="343">
        <f t="shared" ref="T32:U32" si="33">800*5*12</f>
        <v>48000</v>
      </c>
      <c r="U32" s="343">
        <f t="shared" si="33"/>
        <v>48000</v>
      </c>
      <c r="V32" s="343">
        <f>800*5*6</f>
        <v>24000</v>
      </c>
      <c r="W32" s="414">
        <v>0</v>
      </c>
      <c r="X32" s="414">
        <f t="shared" si="23"/>
        <v>132000</v>
      </c>
      <c r="Y32" s="388">
        <v>1</v>
      </c>
      <c r="Z32" s="389">
        <v>1</v>
      </c>
      <c r="AA32" s="388">
        <v>1</v>
      </c>
      <c r="AB32" s="389">
        <v>1</v>
      </c>
      <c r="AC32" s="388">
        <v>1</v>
      </c>
      <c r="AD32" s="389">
        <v>1</v>
      </c>
      <c r="AE32" s="388">
        <v>1</v>
      </c>
      <c r="AF32" s="389">
        <v>1</v>
      </c>
      <c r="AG32" s="388">
        <v>1</v>
      </c>
      <c r="AH32" s="389">
        <v>1</v>
      </c>
    </row>
    <row r="33" spans="1:34" ht="24" x14ac:dyDescent="0.25">
      <c r="A33" s="407">
        <v>2</v>
      </c>
      <c r="B33" s="407"/>
      <c r="C33" s="407"/>
      <c r="D33" s="407"/>
      <c r="E33" s="407"/>
      <c r="F33" s="407"/>
      <c r="G33" s="408" t="s">
        <v>381</v>
      </c>
      <c r="H33" s="343">
        <f>20*300*5</f>
        <v>30000</v>
      </c>
      <c r="I33" s="343">
        <v>0</v>
      </c>
      <c r="J33" s="343">
        <f>+H33+I33</f>
        <v>30000</v>
      </c>
      <c r="K33" s="410">
        <f t="shared" si="1"/>
        <v>1</v>
      </c>
      <c r="L33" s="410">
        <f t="shared" si="2"/>
        <v>0</v>
      </c>
      <c r="M33" s="347" t="s">
        <v>421</v>
      </c>
      <c r="N33" s="411">
        <v>43009</v>
      </c>
      <c r="O33" s="411"/>
      <c r="P33" s="412">
        <v>33</v>
      </c>
      <c r="Q33" s="412"/>
      <c r="R33" s="413"/>
      <c r="S33" s="343">
        <f>(20*100*5)*0.25</f>
        <v>2500</v>
      </c>
      <c r="T33" s="343">
        <f t="shared" ref="T33:U33" si="34">20*100*5</f>
        <v>10000</v>
      </c>
      <c r="U33" s="343">
        <f t="shared" si="34"/>
        <v>10000</v>
      </c>
      <c r="V33" s="343">
        <f>20*100*5</f>
        <v>10000</v>
      </c>
      <c r="W33" s="414">
        <v>0</v>
      </c>
      <c r="X33" s="414">
        <f t="shared" si="23"/>
        <v>32500</v>
      </c>
      <c r="Y33" s="388"/>
      <c r="Z33" s="389"/>
      <c r="AA33" s="388"/>
      <c r="AB33" s="389"/>
      <c r="AC33" s="388"/>
      <c r="AD33" s="389"/>
      <c r="AE33" s="388"/>
      <c r="AF33" s="389"/>
      <c r="AG33" s="388"/>
      <c r="AH33" s="389"/>
    </row>
    <row r="34" spans="1:34" ht="18.75" customHeight="1" x14ac:dyDescent="0.25">
      <c r="A34" s="407">
        <v>2</v>
      </c>
      <c r="B34" s="407">
        <v>1</v>
      </c>
      <c r="C34" s="407">
        <v>1</v>
      </c>
      <c r="D34" s="407">
        <v>1</v>
      </c>
      <c r="E34" s="407">
        <v>1</v>
      </c>
      <c r="F34" s="407">
        <v>2</v>
      </c>
      <c r="G34" s="408" t="s">
        <v>382</v>
      </c>
      <c r="H34" s="343">
        <f>2*100*5*52*3</f>
        <v>156000</v>
      </c>
      <c r="I34" s="343">
        <v>0</v>
      </c>
      <c r="J34" s="343">
        <f>+H34+I34</f>
        <v>156000</v>
      </c>
      <c r="K34" s="410">
        <f t="shared" si="1"/>
        <v>1</v>
      </c>
      <c r="L34" s="410">
        <f t="shared" si="2"/>
        <v>0</v>
      </c>
      <c r="M34" s="347" t="s">
        <v>178</v>
      </c>
      <c r="N34" s="411">
        <v>43009</v>
      </c>
      <c r="O34" s="411"/>
      <c r="P34" s="412">
        <v>33</v>
      </c>
      <c r="Q34" s="412">
        <v>2</v>
      </c>
      <c r="R34" s="413">
        <v>56000</v>
      </c>
      <c r="S34" s="343">
        <f>(2*100*5*52)*0.25</f>
        <v>13000</v>
      </c>
      <c r="T34" s="343">
        <f t="shared" ref="T34:U34" si="35">2*100*5*52</f>
        <v>52000</v>
      </c>
      <c r="U34" s="343">
        <f t="shared" si="35"/>
        <v>52000</v>
      </c>
      <c r="V34" s="343">
        <f>2*100*5*52</f>
        <v>52000</v>
      </c>
      <c r="W34" s="414">
        <v>0</v>
      </c>
      <c r="X34" s="414">
        <f t="shared" si="23"/>
        <v>169000</v>
      </c>
      <c r="Y34" s="388">
        <v>1</v>
      </c>
      <c r="Z34" s="389">
        <v>1</v>
      </c>
      <c r="AA34" s="388">
        <v>1</v>
      </c>
      <c r="AB34" s="389">
        <v>1</v>
      </c>
      <c r="AC34" s="388">
        <v>1</v>
      </c>
      <c r="AD34" s="389">
        <v>1</v>
      </c>
      <c r="AE34" s="388">
        <v>1</v>
      </c>
      <c r="AF34" s="389">
        <v>1</v>
      </c>
      <c r="AG34" s="388">
        <v>1</v>
      </c>
      <c r="AH34" s="389">
        <v>1</v>
      </c>
    </row>
    <row r="35" spans="1:34" x14ac:dyDescent="0.25">
      <c r="A35" s="415">
        <v>9</v>
      </c>
      <c r="B35" s="415">
        <v>0</v>
      </c>
      <c r="C35" s="415">
        <v>0</v>
      </c>
      <c r="D35" s="415">
        <v>0</v>
      </c>
      <c r="E35" s="415">
        <v>0</v>
      </c>
      <c r="F35" s="415"/>
      <c r="G35" s="365" t="s">
        <v>90</v>
      </c>
      <c r="H35" s="374"/>
      <c r="I35" s="374"/>
      <c r="J35" s="374"/>
      <c r="K35" s="375"/>
      <c r="L35" s="375"/>
      <c r="M35" s="662"/>
      <c r="N35" s="376"/>
      <c r="O35" s="376"/>
      <c r="P35" s="365"/>
      <c r="Q35" s="369"/>
      <c r="R35" s="370"/>
      <c r="S35" s="374"/>
      <c r="T35" s="374"/>
      <c r="U35" s="374"/>
      <c r="V35" s="374"/>
      <c r="W35" s="374"/>
      <c r="X35" s="374">
        <f t="shared" si="4"/>
        <v>0</v>
      </c>
      <c r="Y35" s="377"/>
      <c r="Z35" s="378"/>
      <c r="AA35" s="377"/>
      <c r="AB35" s="378"/>
      <c r="AC35" s="377"/>
      <c r="AD35" s="378"/>
      <c r="AE35" s="377"/>
      <c r="AF35" s="378"/>
      <c r="AG35" s="377"/>
      <c r="AH35" s="378"/>
    </row>
    <row r="36" spans="1:34" x14ac:dyDescent="0.25">
      <c r="A36" s="416"/>
      <c r="B36" s="416"/>
      <c r="C36" s="416"/>
      <c r="D36" s="416"/>
      <c r="E36" s="416"/>
      <c r="F36" s="416"/>
      <c r="G36" s="408"/>
      <c r="H36" s="343"/>
      <c r="I36" s="343"/>
      <c r="J36" s="343"/>
      <c r="K36" s="417"/>
      <c r="L36" s="417"/>
      <c r="M36" s="420"/>
      <c r="N36" s="418"/>
      <c r="O36" s="419"/>
      <c r="P36" s="420"/>
      <c r="Q36" s="421"/>
      <c r="R36" s="422"/>
      <c r="S36" s="422"/>
      <c r="T36" s="422"/>
      <c r="U36" s="422"/>
      <c r="V36" s="422"/>
      <c r="W36" s="422">
        <f>SUM(S35:W35)</f>
        <v>0</v>
      </c>
      <c r="X36" s="422"/>
      <c r="Y36" s="423"/>
      <c r="Z36" s="424"/>
      <c r="AA36" s="423"/>
      <c r="AB36" s="424"/>
      <c r="AC36" s="423"/>
      <c r="AD36" s="424"/>
      <c r="AE36" s="423"/>
      <c r="AF36" s="424"/>
      <c r="AG36" s="423"/>
      <c r="AH36" s="424"/>
    </row>
    <row r="37" spans="1:34" ht="32.25" customHeight="1" x14ac:dyDescent="0.25">
      <c r="A37" s="399"/>
      <c r="B37" s="399"/>
      <c r="C37" s="399"/>
      <c r="D37" s="399"/>
      <c r="E37" s="399"/>
      <c r="F37" s="399"/>
      <c r="G37" s="400" t="s">
        <v>522</v>
      </c>
      <c r="H37" s="401"/>
      <c r="I37" s="401"/>
      <c r="J37" s="401"/>
      <c r="K37" s="401"/>
      <c r="L37" s="401"/>
      <c r="M37" s="404"/>
      <c r="N37" s="403"/>
      <c r="O37" s="403"/>
      <c r="P37" s="404"/>
      <c r="Q37" s="405"/>
      <c r="R37" s="406"/>
      <c r="S37" s="401"/>
      <c r="T37" s="401"/>
      <c r="U37" s="401"/>
      <c r="V37" s="401"/>
      <c r="W37" s="401"/>
      <c r="X37" s="401"/>
      <c r="Y37" s="388"/>
      <c r="Z37" s="389"/>
      <c r="AA37" s="388"/>
      <c r="AB37" s="389"/>
      <c r="AC37" s="388"/>
      <c r="AD37" s="389"/>
      <c r="AE37" s="388"/>
      <c r="AF37" s="389"/>
      <c r="AG37" s="388"/>
      <c r="AH37" s="389"/>
    </row>
    <row r="38" spans="1:34" hidden="1" x14ac:dyDescent="0.25">
      <c r="A38" s="426"/>
      <c r="B38" s="426"/>
      <c r="C38" s="426"/>
      <c r="D38" s="426"/>
      <c r="E38" s="426"/>
      <c r="F38" s="426"/>
      <c r="G38" s="427"/>
      <c r="H38" s="428"/>
      <c r="I38" s="428"/>
      <c r="J38" s="428"/>
      <c r="K38" s="429"/>
      <c r="L38" s="429"/>
      <c r="M38" s="431"/>
      <c r="N38" s="430"/>
      <c r="O38" s="430"/>
      <c r="P38" s="431"/>
      <c r="Q38" s="432"/>
      <c r="R38" s="433"/>
      <c r="S38" s="433"/>
      <c r="T38" s="433"/>
      <c r="U38" s="433"/>
      <c r="V38" s="433"/>
      <c r="W38" s="433"/>
      <c r="X38" s="433"/>
      <c r="Y38" s="434"/>
      <c r="Z38" s="435"/>
      <c r="AA38" s="434"/>
      <c r="AB38" s="435"/>
      <c r="AC38" s="434"/>
      <c r="AD38" s="435"/>
      <c r="AE38" s="434"/>
      <c r="AF38" s="435"/>
      <c r="AG38" s="434"/>
      <c r="AH38" s="435"/>
    </row>
    <row r="39" spans="1:34" hidden="1" x14ac:dyDescent="0.25">
      <c r="A39" s="416"/>
      <c r="B39" s="416"/>
      <c r="C39" s="416"/>
      <c r="D39" s="416"/>
      <c r="E39" s="416"/>
      <c r="F39" s="416"/>
      <c r="G39" s="408"/>
      <c r="H39" s="343"/>
      <c r="I39" s="343"/>
      <c r="J39" s="343"/>
      <c r="K39" s="425"/>
      <c r="L39" s="425"/>
      <c r="M39" s="420"/>
      <c r="N39" s="418"/>
      <c r="O39" s="418"/>
      <c r="P39" s="420"/>
      <c r="Q39" s="412"/>
      <c r="R39" s="422"/>
      <c r="S39" s="422"/>
      <c r="T39" s="422"/>
      <c r="U39" s="422"/>
      <c r="V39" s="422"/>
      <c r="W39" s="422"/>
      <c r="X39" s="422"/>
      <c r="Y39" s="423"/>
      <c r="Z39" s="424"/>
      <c r="AA39" s="423"/>
      <c r="AB39" s="424"/>
      <c r="AC39" s="423"/>
      <c r="AD39" s="424"/>
      <c r="AE39" s="423"/>
      <c r="AF39" s="424"/>
      <c r="AG39" s="423"/>
      <c r="AH39" s="424"/>
    </row>
    <row r="40" spans="1:34" x14ac:dyDescent="0.25">
      <c r="A40" s="416"/>
      <c r="B40" s="416"/>
      <c r="C40" s="416"/>
      <c r="D40" s="416"/>
      <c r="E40" s="416"/>
      <c r="F40" s="416"/>
      <c r="G40" s="408" t="s">
        <v>523</v>
      </c>
      <c r="H40" s="343"/>
      <c r="I40" s="343"/>
      <c r="J40" s="343"/>
      <c r="K40" s="347"/>
      <c r="L40" s="347"/>
      <c r="M40" s="420"/>
      <c r="N40" s="420"/>
      <c r="O40" s="436"/>
      <c r="P40" s="431"/>
      <c r="Q40" s="412"/>
      <c r="R40" s="422"/>
      <c r="S40" s="422"/>
      <c r="T40" s="422"/>
      <c r="U40" s="422"/>
      <c r="V40" s="422"/>
      <c r="W40" s="422"/>
      <c r="X40" s="422"/>
      <c r="Y40" s="423"/>
      <c r="Z40" s="424"/>
      <c r="AA40" s="423"/>
      <c r="AB40" s="424"/>
      <c r="AC40" s="423"/>
      <c r="AD40" s="424"/>
      <c r="AE40" s="423"/>
      <c r="AF40" s="424"/>
      <c r="AG40" s="423"/>
      <c r="AH40" s="424"/>
    </row>
    <row r="41" spans="1:34" x14ac:dyDescent="0.25">
      <c r="A41" s="416"/>
      <c r="B41" s="416"/>
      <c r="C41" s="416"/>
      <c r="D41" s="416"/>
      <c r="E41" s="416"/>
      <c r="F41" s="416"/>
      <c r="G41" s="408"/>
      <c r="H41" s="343"/>
      <c r="I41" s="343"/>
      <c r="J41" s="343"/>
      <c r="K41" s="347"/>
      <c r="L41" s="347"/>
      <c r="M41" s="420"/>
      <c r="N41" s="420"/>
      <c r="O41" s="436"/>
      <c r="P41" s="431"/>
      <c r="Q41" s="412"/>
      <c r="R41" s="422"/>
      <c r="S41" s="422"/>
      <c r="T41" s="422"/>
      <c r="U41" s="422"/>
      <c r="V41" s="422"/>
      <c r="W41" s="422"/>
      <c r="X41" s="422"/>
      <c r="Y41" s="423"/>
      <c r="Z41" s="424"/>
      <c r="AA41" s="423"/>
      <c r="AB41" s="424"/>
      <c r="AC41" s="423"/>
      <c r="AD41" s="424"/>
      <c r="AE41" s="423"/>
      <c r="AF41" s="424"/>
      <c r="AG41" s="423"/>
      <c r="AH41" s="424"/>
    </row>
    <row r="42" spans="1:34" x14ac:dyDescent="0.25">
      <c r="A42" s="416"/>
      <c r="B42" s="416"/>
      <c r="C42" s="416"/>
      <c r="D42" s="416"/>
      <c r="E42" s="416"/>
      <c r="F42" s="416"/>
      <c r="G42" s="408"/>
      <c r="H42" s="343"/>
      <c r="I42" s="343"/>
      <c r="J42" s="343"/>
      <c r="K42" s="347"/>
      <c r="L42" s="347"/>
      <c r="M42" s="420"/>
      <c r="N42" s="420"/>
      <c r="O42" s="436"/>
      <c r="P42" s="431"/>
      <c r="Q42" s="412"/>
      <c r="R42" s="422"/>
      <c r="S42" s="422"/>
      <c r="T42" s="422"/>
      <c r="U42" s="422"/>
      <c r="V42" s="422"/>
      <c r="W42" s="422"/>
      <c r="X42" s="422"/>
      <c r="Y42" s="423"/>
      <c r="Z42" s="424"/>
      <c r="AA42" s="423"/>
      <c r="AB42" s="424"/>
      <c r="AC42" s="423"/>
      <c r="AD42" s="424"/>
      <c r="AE42" s="423"/>
      <c r="AF42" s="424"/>
      <c r="AG42" s="423"/>
      <c r="AH42" s="424"/>
    </row>
    <row r="43" spans="1:34" x14ac:dyDescent="0.25">
      <c r="A43" s="416"/>
      <c r="B43" s="416"/>
      <c r="C43" s="416"/>
      <c r="D43" s="416"/>
      <c r="E43" s="416"/>
      <c r="F43" s="416"/>
      <c r="G43" s="408"/>
      <c r="H43" s="343"/>
      <c r="I43" s="343"/>
      <c r="J43" s="343"/>
      <c r="K43" s="347"/>
      <c r="L43" s="347"/>
      <c r="M43" s="420"/>
      <c r="N43" s="420"/>
      <c r="O43" s="436"/>
      <c r="P43" s="431"/>
      <c r="Q43" s="412"/>
      <c r="R43" s="422"/>
      <c r="S43" s="422"/>
      <c r="T43" s="422"/>
      <c r="U43" s="422"/>
      <c r="V43" s="422"/>
      <c r="W43" s="422"/>
      <c r="X43" s="422"/>
      <c r="Y43" s="423"/>
      <c r="Z43" s="424"/>
      <c r="AA43" s="423"/>
      <c r="AB43" s="424"/>
      <c r="AC43" s="423"/>
      <c r="AD43" s="424"/>
      <c r="AE43" s="423"/>
      <c r="AF43" s="424"/>
      <c r="AG43" s="423"/>
      <c r="AH43" s="424"/>
    </row>
    <row r="44" spans="1:34" x14ac:dyDescent="0.25">
      <c r="A44" s="416"/>
      <c r="B44" s="416"/>
      <c r="C44" s="416"/>
      <c r="D44" s="416"/>
      <c r="E44" s="416"/>
      <c r="F44" s="416"/>
      <c r="G44" s="408"/>
      <c r="H44" s="343"/>
      <c r="I44" s="343"/>
      <c r="J44" s="343"/>
      <c r="K44" s="347"/>
      <c r="L44" s="347"/>
      <c r="M44" s="420"/>
      <c r="N44" s="420"/>
      <c r="O44" s="436"/>
      <c r="P44" s="431"/>
      <c r="Q44" s="412"/>
      <c r="R44" s="422"/>
      <c r="S44" s="422"/>
      <c r="T44" s="422"/>
      <c r="U44" s="422"/>
      <c r="V44" s="422"/>
      <c r="W44" s="422"/>
      <c r="X44" s="422"/>
      <c r="Y44" s="423"/>
      <c r="Z44" s="424"/>
      <c r="AA44" s="423"/>
      <c r="AB44" s="424"/>
      <c r="AC44" s="423"/>
      <c r="AD44" s="424"/>
      <c r="AE44" s="423"/>
      <c r="AF44" s="424"/>
      <c r="AG44" s="423"/>
      <c r="AH44" s="424"/>
    </row>
    <row r="45" spans="1:34" x14ac:dyDescent="0.25">
      <c r="A45" s="416"/>
      <c r="B45" s="416"/>
      <c r="C45" s="416"/>
      <c r="D45" s="416"/>
      <c r="E45" s="416"/>
      <c r="F45" s="416"/>
      <c r="G45" s="408"/>
      <c r="H45" s="343"/>
      <c r="I45" s="343"/>
      <c r="J45" s="343"/>
      <c r="K45" s="347"/>
      <c r="L45" s="347"/>
      <c r="M45" s="420"/>
      <c r="N45" s="420"/>
      <c r="O45" s="436"/>
      <c r="P45" s="431"/>
      <c r="Q45" s="412"/>
      <c r="R45" s="422"/>
      <c r="S45" s="422"/>
      <c r="T45" s="422"/>
      <c r="U45" s="422"/>
      <c r="V45" s="422"/>
      <c r="W45" s="422"/>
      <c r="X45" s="422"/>
      <c r="Y45" s="423"/>
      <c r="Z45" s="424"/>
      <c r="AA45" s="423"/>
      <c r="AB45" s="424"/>
      <c r="AC45" s="423"/>
      <c r="AD45" s="424"/>
      <c r="AE45" s="423"/>
      <c r="AF45" s="424"/>
      <c r="AG45" s="423"/>
      <c r="AH45" s="424"/>
    </row>
  </sheetData>
  <mergeCells count="4">
    <mergeCell ref="H4:L4"/>
    <mergeCell ref="M4:R4"/>
    <mergeCell ref="S4:W4"/>
    <mergeCell ref="Y4:AH4"/>
  </mergeCells>
  <conditionalFormatting sqref="Y7:AH30">
    <cfRule type="cellIs" dxfId="7" priority="9" operator="equal">
      <formula>1</formula>
    </cfRule>
    <cfRule type="cellIs" dxfId="6" priority="10" operator="equal">
      <formula>1</formula>
    </cfRule>
  </conditionalFormatting>
  <conditionalFormatting sqref="Y32:AH34">
    <cfRule type="cellIs" dxfId="5" priority="5" operator="equal">
      <formula>1</formula>
    </cfRule>
    <cfRule type="cellIs" dxfId="4" priority="6" operator="equal">
      <formula>1</formula>
    </cfRule>
  </conditionalFormatting>
  <conditionalFormatting sqref="Y31:AH31">
    <cfRule type="cellIs" dxfId="3" priority="3" operator="equal">
      <formula>1</formula>
    </cfRule>
    <cfRule type="cellIs" dxfId="2" priority="4" operator="equal">
      <formula>1</formula>
    </cfRule>
  </conditionalFormatting>
  <conditionalFormatting sqref="Y37:AH37">
    <cfRule type="cellIs" dxfId="1" priority="1" operator="equal">
      <formula>1</formula>
    </cfRule>
    <cfRule type="cellIs" dxfId="0" priority="2" operator="equal">
      <formula>1</formula>
    </cfRule>
  </conditionalFormatting>
  <printOptions horizontalCentered="1"/>
  <pageMargins left="0.25" right="0.25" top="0.75" bottom="0.75" header="0.3" footer="0.3"/>
  <pageSetup paperSize="5" fitToWidth="2" fitToHeight="0" orientation="landscape" r:id="rId1"/>
  <headerFooter>
    <oddHeader>&amp;C&amp;F - &amp;A</oddHeader>
  </headerFooter>
  <colBreaks count="1" manualBreakCount="1">
    <brk id="16" max="42" man="1"/>
  </colBreaks>
  <ignoredErrors>
    <ignoredError sqref="H7"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C23F973F5AEDE4DA4ACD056439647C3" ma:contentTypeVersion="20" ma:contentTypeDescription="A content type to manage public (operations) IDB documents" ma:contentTypeScope="" ma:versionID="6edcd23fd7948c8d830d8936ba0b6429">
  <xsd:schema xmlns:xsd="http://www.w3.org/2001/XMLSchema" xmlns:xs="http://www.w3.org/2001/XMLSchema" xmlns:p="http://schemas.microsoft.com/office/2006/metadata/properties" xmlns:ns2="cdc7663a-08f0-4737-9e8c-148ce897a09c" targetNamespace="http://schemas.microsoft.com/office/2006/metadata/properties" ma:root="true" ma:fieldsID="52f75a97534f73305059e4ad7324dd1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Hoffman, Nathalie Alexandra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41</Value>
      <Value>5</Value>
      <Value>4</Value>
      <Value>8</Value>
      <Value>43</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AR-L1255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R0000138550</Record_x0020_Number>
    <_dlc_DocId xmlns="cdc7663a-08f0-4737-9e8c-148ce897a09c">EZSHARE-891259931-40</_dlc_DocId>
    <_dlc_DocIdUrl xmlns="cdc7663a-08f0-4737-9e8c-148ce897a09c">
      <Url>https://idbg.sharepoint.com/teams/EZ-AR-LON/AR-L1255/_layouts/15/DocIdRedir.aspx?ID=EZSHARE-891259931-40</Url>
      <Description>EZSHARE-891259931-40</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973BA805-BB5C-4CC4-A719-BFD9BA3765C4}"/>
</file>

<file path=customXml/itemProps2.xml><?xml version="1.0" encoding="utf-8"?>
<ds:datastoreItem xmlns:ds="http://schemas.openxmlformats.org/officeDocument/2006/customXml" ds:itemID="{D0957E48-3902-4AA3-B2EA-05BC12BE2EDC}"/>
</file>

<file path=customXml/itemProps3.xml><?xml version="1.0" encoding="utf-8"?>
<ds:datastoreItem xmlns:ds="http://schemas.openxmlformats.org/officeDocument/2006/customXml" ds:itemID="{2937564C-54AD-4E68-88FF-09427567E3B2}">
  <ds:schemaRefs>
    <ds:schemaRef ds:uri="http://schemas.microsoft.com/sharepoint/events"/>
  </ds:schemaRefs>
</ds:datastoreItem>
</file>

<file path=customXml/itemProps4.xml><?xml version="1.0" encoding="utf-8"?>
<ds:datastoreItem xmlns:ds="http://schemas.openxmlformats.org/officeDocument/2006/customXml" ds:itemID="{87DA55D8-C2DA-489D-8AA2-9A5A83973D02}">
  <ds:schemaRefs>
    <ds:schemaRef ds:uri="http://schemas.microsoft.com/sharepoint/v3/contenttype/forms"/>
  </ds:schemaRefs>
</ds:datastoreItem>
</file>

<file path=customXml/itemProps5.xml><?xml version="1.0" encoding="utf-8"?>
<ds:datastoreItem xmlns:ds="http://schemas.openxmlformats.org/officeDocument/2006/customXml" ds:itemID="{334EAC14-3D80-4D98-9B41-F00BEE88A3DF}">
  <ds:schemaRefs>
    <ds:schemaRef ds:uri="http://schemas.microsoft.com/sharepoint/v3/contenttype/forms/url"/>
  </ds:schemaRefs>
</ds:datastoreItem>
</file>

<file path=customXml/itemProps6.xml><?xml version="1.0" encoding="utf-8"?>
<ds:datastoreItem xmlns:ds="http://schemas.openxmlformats.org/officeDocument/2006/customXml" ds:itemID="{9C71562B-6932-4654-959B-E2F01AC945AA}">
  <ds:schemaRefs>
    <ds:schemaRef ds:uri="http://schemas.microsoft.com/office/2006/documentManagement/types"/>
    <ds:schemaRef ds:uri="http://purl.org/dc/elements/1.1/"/>
    <ds:schemaRef ds:uri="http://purl.org/dc/dcmitype/"/>
    <ds:schemaRef ds:uri="http://www.w3.org/XML/1998/namespace"/>
    <ds:schemaRef ds:uri="http://purl.org/dc/terms/"/>
    <ds:schemaRef ds:uri="cdc7663a-08f0-4737-9e8c-148ce897a09c"/>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13</vt:i4>
      </vt:variant>
    </vt:vector>
  </HeadingPairs>
  <TitlesOfParts>
    <vt:vector size="32" baseType="lpstr">
      <vt:lpstr>Resumen</vt:lpstr>
      <vt:lpstr>Presupuesto Detallado</vt:lpstr>
      <vt:lpstr>PEP</vt:lpstr>
      <vt:lpstr>POA 18 Meses</vt:lpstr>
      <vt:lpstr>Matriz de Resultados</vt:lpstr>
      <vt:lpstr>Desembolsos</vt:lpstr>
      <vt:lpstr>3.2 ultimo</vt:lpstr>
      <vt:lpstr>3.2</vt:lpstr>
      <vt:lpstr>3.2.3 RP</vt:lpstr>
      <vt:lpstr>3.1 nuevo</vt:lpstr>
      <vt:lpstr>3.1 viejo</vt:lpstr>
      <vt:lpstr>2.2</vt:lpstr>
      <vt:lpstr>1.1.2</vt:lpstr>
      <vt:lpstr>1.1.1</vt:lpstr>
      <vt:lpstr>1.2</vt:lpstr>
      <vt:lpstr>1.3 ENV</vt:lpstr>
      <vt:lpstr>Metodos-$</vt:lpstr>
      <vt:lpstr>Resp</vt:lpstr>
      <vt:lpstr>Plan Financiero</vt:lpstr>
      <vt:lpstr>'Matriz de Resultados'!_ftnref1</vt:lpstr>
      <vt:lpstr>'Matriz de Resultados'!_ftnref2</vt:lpstr>
      <vt:lpstr>'Matriz de Resultados'!_ftnref3</vt:lpstr>
      <vt:lpstr>'3.1 nuevo'!Print_Area</vt:lpstr>
      <vt:lpstr>'3.2.3 RP'!Print_Area</vt:lpstr>
      <vt:lpstr>'Matriz de Resultados'!Print_Area</vt:lpstr>
      <vt:lpstr>PEP!Print_Area</vt:lpstr>
      <vt:lpstr>'Plan Financiero'!Print_Area</vt:lpstr>
      <vt:lpstr>'POA 18 Meses'!Print_Area</vt:lpstr>
      <vt:lpstr>Resumen!Print_Area</vt:lpstr>
      <vt:lpstr>'3.2.3 RP'!Print_Titles</vt:lpstr>
      <vt:lpstr>PEP!Print_Titles</vt:lpstr>
      <vt:lpstr>'POA 18 Meses'!Print_Titles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Miguel Garberi</dc:creator>
  <cp:keywords/>
  <cp:lastModifiedBy>Hoffman, Nathalie Alexandra</cp:lastModifiedBy>
  <cp:lastPrinted>2017-05-09T11:57:18Z</cp:lastPrinted>
  <dcterms:created xsi:type="dcterms:W3CDTF">2015-04-20T18:32:13Z</dcterms:created>
  <dcterms:modified xsi:type="dcterms:W3CDTF">2017-06-12T18:48:02Z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43;#CITIZEN SAFETY|954fe912-dcd8-47cc-a622-637d228b7304</vt:lpwstr>
  </property>
  <property fmtid="{D5CDD505-2E9C-101B-9397-08002B2CF9AE}" pid="7" name="Country">
    <vt:lpwstr>5;#Argentina|eb1b705c-195f-4c3b-9661-b201f2fee3c5</vt:lpwstr>
  </property>
  <property fmtid="{D5CDD505-2E9C-101B-9397-08002B2CF9AE}" pid="8" name="Fund IDB">
    <vt:lpwstr>4;#ORC|c028a4b2-ad8b-4cf4-9cac-a2ae6a778e23</vt:lpwstr>
  </property>
  <property fmtid="{D5CDD505-2E9C-101B-9397-08002B2CF9AE}" pid="10" name="Sector IDB">
    <vt:lpwstr>41;#SOCIAL INVESTMENT|3f908695-d5b5-49f6-941f-76876b39564f</vt:lpwstr>
  </property>
  <property fmtid="{D5CDD505-2E9C-101B-9397-08002B2CF9AE}" pid="11" name="Function Operations IDB">
    <vt:lpwstr>8;#Monitoring and Reporting|df3c2aa1-d63e-41aa-b1f5-bb15dee691ca</vt:lpwstr>
  </property>
  <property fmtid="{D5CDD505-2E9C-101B-9397-08002B2CF9AE}" pid="12" name="_dlc_DocIdItemGuid">
    <vt:lpwstr>8c848b4d-ea1a-45b8-ae0a-2eae1caa8a27</vt:lpwstr>
  </property>
  <property fmtid="{D5CDD505-2E9C-101B-9397-08002B2CF9AE}" pid="13" name="Disclosure Activity">
    <vt:lpwstr>Loan Proposal</vt:lpwstr>
  </property>
  <property fmtid="{D5CDD505-2E9C-101B-9397-08002B2CF9AE}" pid="14" name="ContentTypeId">
    <vt:lpwstr>0x0101001A458A224826124E8B45B1D613300CFC009C23F973F5AEDE4DA4ACD056439647C3</vt:lpwstr>
  </property>
</Properties>
</file>