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drawings/drawing1.xml" ContentType="application/vnd.openxmlformats-officedocument.drawing+xml"/>
  <Override PartName="/xl/worksheets/sheet2.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330"/>
  <workbookPr defaultThemeVersion="124226"/>
  <mc:AlternateContent xmlns:mc="http://schemas.openxmlformats.org/markup-compatibility/2006">
    <mc:Choice Requires="x15">
      <x15ac:absPath xmlns:x15ac="http://schemas.microsoft.com/office/spreadsheetml/2010/11/ac" url="C:\Users\danielado\OneDrive - Inter-American Development Bank Group\HUD\Jason\BR-L1344 - Cascavel\Plano de Aquisições\"/>
    </mc:Choice>
  </mc:AlternateContent>
  <xr:revisionPtr revIDLastSave="1" documentId="11_8EAA7056B865C559692E3ACAE6EEE70860E0B12C" xr6:coauthVersionLast="33" xr6:coauthVersionMax="33" xr10:uidLastSave="{C7B63A71-A867-4C5E-9491-DE23813265A3}"/>
  <bookViews>
    <workbookView xWindow="10128" yWindow="-48" windowWidth="10320" windowHeight="8172" tabRatio="852" xr2:uid="{00000000-000D-0000-FFFF-FFFF00000000}"/>
  </bookViews>
  <sheets>
    <sheet name="PA maio-jun18 public" sheetId="27" r:id="rId1"/>
    <sheet name="PA maio-jun18 completo" sheetId="26" r:id="rId2"/>
    <sheet name="Fol Com PA maio-jun18" sheetId="23" r:id="rId3"/>
  </sheets>
  <externalReferences>
    <externalReference r:id="rId4"/>
    <externalReference r:id="rId5"/>
    <externalReference r:id="rId6"/>
    <externalReference r:id="rId7"/>
    <externalReference r:id="rId8"/>
  </externalReferences>
  <definedNames>
    <definedName name="aa" localSheetId="1">#REF!</definedName>
    <definedName name="aa" localSheetId="0">#REF!</definedName>
    <definedName name="aa">#REF!</definedName>
    <definedName name="AÇO" localSheetId="1">'[1]Conc 20'!#REF!</definedName>
    <definedName name="AÇO" localSheetId="0">'[1]Conc 20'!#REF!</definedName>
    <definedName name="AÇO">'[1]Conc 20'!#REF!</definedName>
    <definedName name="Área_impressão_IM" localSheetId="1">#REF!</definedName>
    <definedName name="Área_impressão_IM" localSheetId="0">#REF!</definedName>
    <definedName name="Área_impressão_IM">#REF!</definedName>
    <definedName name="BDI" localSheetId="1">#REF!</definedName>
    <definedName name="BDI" localSheetId="0">#REF!</definedName>
    <definedName name="BDI">#REF!</definedName>
    <definedName name="capacitacao">'[2]Detalhes Plano de Aquisições'!$E$120:$E$128</definedName>
    <definedName name="_xlnm.Database" localSheetId="1">#REF!</definedName>
    <definedName name="_xlnm.Database" localSheetId="0">#REF!</definedName>
    <definedName name="_xlnm.Database">#REF!</definedName>
    <definedName name="DDADOS_VOL5_0" localSheetId="1">#REF!</definedName>
    <definedName name="DDADOS_VOL5_0" localSheetId="0">#REF!</definedName>
    <definedName name="DDADOS_VOL5_0">#REF!</definedName>
    <definedName name="DES" localSheetId="1">#REF!</definedName>
    <definedName name="DES" localSheetId="0">#REF!</definedName>
    <definedName name="DES">#REF!</definedName>
    <definedName name="Detalhes_do_Demonstrativo_MDE" localSheetId="1">'[3]Anexo X - ENSINO'!#REF!</definedName>
    <definedName name="Detalhes_do_Demonstrativo_MDE" localSheetId="0">'[3]Anexo X - ENSINO'!#REF!</definedName>
    <definedName name="Detalhes_do_Demonstrativo_MDE">'[3]Anexo X - ENSINO'!#REF!</definedName>
    <definedName name="Ganhos_e_perdas_de_receita" localSheetId="1">#REF!</definedName>
    <definedName name="Ganhos_e_perdas_de_receita" localSheetId="0">#REF!</definedName>
    <definedName name="Ganhos_e_perdas_de_receita">#REF!</definedName>
    <definedName name="Ganhos_e_Perdas_de_Receita_99" localSheetId="1">#REF!</definedName>
    <definedName name="Ganhos_e_Perdas_de_Receita_99" localSheetId="0">#REF!</definedName>
    <definedName name="Ganhos_e_Perdas_de_Receita_99">#REF!</definedName>
    <definedName name="HTML_CodePage" hidden="1">1252</definedName>
    <definedName name="HTML_Description" hidden="1">""</definedName>
    <definedName name="HTML_Email" hidden="1">""</definedName>
    <definedName name="HTML_Header" hidden="1">"Tabela"</definedName>
    <definedName name="HTML_LastUpdate" hidden="1">"16/03/98"</definedName>
    <definedName name="HTML_LineAfter" hidden="1">FALSE</definedName>
    <definedName name="HTML_LineBefore" hidden="1">FALSE</definedName>
    <definedName name="HTML_Name" hidden="1">"Rede Integrada"</definedName>
    <definedName name="HTML_OBDlg2" hidden="1">TRUE</definedName>
    <definedName name="HTML_OBDlg4" hidden="1">TRUE</definedName>
    <definedName name="HTML_OS" hidden="1">0</definedName>
    <definedName name="HTML_PathFile" hidden="1">"C:\internetemp\balpep1.htm"</definedName>
    <definedName name="HTML_Title" hidden="1">"Balpep11"</definedName>
    <definedName name="inf">'[4]Orçamento Global'!$D$38</definedName>
    <definedName name="MOE" localSheetId="1">#REF!</definedName>
    <definedName name="MOE" localSheetId="0">#REF!</definedName>
    <definedName name="MOE">#REF!</definedName>
    <definedName name="MOH" localSheetId="1">#REF!</definedName>
    <definedName name="MOH" localSheetId="0">#REF!</definedName>
    <definedName name="MOH">#REF!</definedName>
    <definedName name="Planilha_1ÁreaTotal" localSheetId="1">#REF!,#REF!</definedName>
    <definedName name="Planilha_1ÁreaTotal" localSheetId="0">#REF!,#REF!</definedName>
    <definedName name="Planilha_1ÁreaTotal">#REF!,#REF!</definedName>
    <definedName name="Planilha_1CabGráfico" localSheetId="1">#REF!</definedName>
    <definedName name="Planilha_1CabGráfico" localSheetId="0">#REF!</definedName>
    <definedName name="Planilha_1CabGráfico">#REF!</definedName>
    <definedName name="Planilha_1TítCols" localSheetId="1">#REF!,#REF!</definedName>
    <definedName name="Planilha_1TítCols" localSheetId="0">#REF!,#REF!</definedName>
    <definedName name="Planilha_1TítCols">#REF!,#REF!</definedName>
    <definedName name="Planilha_1TítLins" localSheetId="1">#REF!</definedName>
    <definedName name="Planilha_1TítLins" localSheetId="0">#REF!</definedName>
    <definedName name="Planilha_1TítLins">#REF!</definedName>
    <definedName name="Planilha_2ÁreaTotal" localSheetId="1">#REF!,#REF!</definedName>
    <definedName name="Planilha_2ÁreaTotal" localSheetId="0">#REF!,#REF!</definedName>
    <definedName name="Planilha_2ÁreaTotal">#REF!,#REF!</definedName>
    <definedName name="Planilha_2CabGráfico" localSheetId="1">#REF!</definedName>
    <definedName name="Planilha_2CabGráfico" localSheetId="0">#REF!</definedName>
    <definedName name="Planilha_2CabGráfico">#REF!</definedName>
    <definedName name="Planilha_2TítCols" localSheetId="1">#REF!,#REF!</definedName>
    <definedName name="Planilha_2TítCols" localSheetId="0">#REF!,#REF!</definedName>
    <definedName name="Planilha_2TítCols">#REF!,#REF!</definedName>
    <definedName name="Planilha_2TítLins" localSheetId="1">#REF!</definedName>
    <definedName name="Planilha_2TítLins" localSheetId="0">#REF!</definedName>
    <definedName name="Planilha_2TítLins">#REF!</definedName>
    <definedName name="Planilha_3ÁreaTotal" localSheetId="1">#REF!,#REF!</definedName>
    <definedName name="Planilha_3ÁreaTotal" localSheetId="0">#REF!,#REF!</definedName>
    <definedName name="Planilha_3ÁreaTotal">#REF!,#REF!</definedName>
    <definedName name="Planilha_3CabGráfico" localSheetId="1">#REF!</definedName>
    <definedName name="Planilha_3CabGráfico" localSheetId="0">#REF!</definedName>
    <definedName name="Planilha_3CabGráfico">#REF!</definedName>
    <definedName name="Planilha_3TítCols" localSheetId="1">#REF!,#REF!</definedName>
    <definedName name="Planilha_3TítCols" localSheetId="0">#REF!,#REF!</definedName>
    <definedName name="Planilha_3TítCols">#REF!,#REF!</definedName>
    <definedName name="Planilha_3TítLins" localSheetId="1">#REF!</definedName>
    <definedName name="Planilha_3TítLins" localSheetId="0">#REF!</definedName>
    <definedName name="Planilha_3TítLins">#REF!</definedName>
    <definedName name="Planilha_4ÁreaTotal" localSheetId="1">#REF!,#REF!</definedName>
    <definedName name="Planilha_4ÁreaTotal" localSheetId="0">#REF!,#REF!</definedName>
    <definedName name="Planilha_4ÁreaTotal">#REF!,#REF!</definedName>
    <definedName name="Planilha_4TítCols" localSheetId="1">#REF!,#REF!</definedName>
    <definedName name="Planilha_4TítCols" localSheetId="0">#REF!,#REF!</definedName>
    <definedName name="Planilha_4TítCols">#REF!,#REF!</definedName>
    <definedName name="_xlnm.Print_Area" localSheetId="1">'PA maio-jun18 completo'!$A$1:$Q$183</definedName>
    <definedName name="_xlnm.Print_Area" localSheetId="0">'PA maio-jun18 public'!$A$1:$R$132</definedName>
    <definedName name="Tabela_1___Déficit_da_Previdência_Social__RGPS" localSheetId="1">#REF!</definedName>
    <definedName name="Tabela_1___Déficit_da_Previdência_Social__RGPS" localSheetId="0">#REF!</definedName>
    <definedName name="Tabela_1___Déficit_da_Previdência_Social__RGPS">#REF!</definedName>
    <definedName name="Tabela_10___Resultado_Primário_do_Governo_Central_em_1999" localSheetId="1">#REF!</definedName>
    <definedName name="Tabela_10___Resultado_Primário_do_Governo_Central_em_1999" localSheetId="0">#REF!</definedName>
    <definedName name="Tabela_10___Resultado_Primário_do_Governo_Central_em_1999">#REF!</definedName>
    <definedName name="Tabela_2___Contribuições_Previdenciárias" localSheetId="1">#REF!</definedName>
    <definedName name="Tabela_2___Contribuições_Previdenciárias" localSheetId="0">#REF!</definedName>
    <definedName name="Tabela_2___Contribuições_Previdenciárias">#REF!</definedName>
    <definedName name="Tabela_3___Benefícios__previsto_x_realizado" localSheetId="1">#REF!</definedName>
    <definedName name="Tabela_3___Benefícios__previsto_x_realizado" localSheetId="0">#REF!</definedName>
    <definedName name="Tabela_3___Benefícios__previsto_x_realizado">#REF!</definedName>
    <definedName name="Tabela_4___Receitas_Administradas_pela_SRF__previsto_x_realizado" localSheetId="1">#REF!</definedName>
    <definedName name="Tabela_4___Receitas_Administradas_pela_SRF__previsto_x_realizado" localSheetId="0">#REF!</definedName>
    <definedName name="Tabela_4___Receitas_Administradas_pela_SRF__previsto_x_realizado">#REF!</definedName>
    <definedName name="Tabela_5___Receitas_Administradas_em_Agosto" localSheetId="1">#REF!</definedName>
    <definedName name="Tabela_5___Receitas_Administradas_em_Agosto" localSheetId="0">#REF!</definedName>
    <definedName name="Tabela_5___Receitas_Administradas_em_Agosto">#REF!</definedName>
    <definedName name="Tabela_6___Receitas_Diretamente_Arrecadadas" localSheetId="1">#REF!</definedName>
    <definedName name="Tabela_6___Receitas_Diretamente_Arrecadadas" localSheetId="0">#REF!</definedName>
    <definedName name="Tabela_6___Receitas_Diretamente_Arrecadadas">#REF!</definedName>
    <definedName name="Tabela_7___Déficit_da_Previdência_Social_em_1999" localSheetId="1">#REF!</definedName>
    <definedName name="Tabela_7___Déficit_da_Previdência_Social_em_1999" localSheetId="0">#REF!</definedName>
    <definedName name="Tabela_7___Déficit_da_Previdência_Social_em_1999">#REF!</definedName>
    <definedName name="Tabela_8___Receitas_Administradas__revisão_da_previsão" localSheetId="1">#REF!</definedName>
    <definedName name="Tabela_8___Receitas_Administradas__revisão_da_previsão" localSheetId="0">#REF!</definedName>
    <definedName name="Tabela_8___Receitas_Administradas__revisão_da_previsão">#REF!</definedName>
    <definedName name="Tabela_9___Resultado_Primário_de_1999" localSheetId="1">#REF!</definedName>
    <definedName name="Tabela_9___Resultado_Primário_de_1999" localSheetId="0">#REF!</definedName>
    <definedName name="Tabela_9___Resultado_Primário_de_1999">#REF!</definedName>
    <definedName name="total" localSheetId="1">'[5]Orçamento sem preço'!#REF!</definedName>
    <definedName name="total" localSheetId="0">'[5]Orçamento sem preço'!#REF!</definedName>
    <definedName name="total">'[5]Orçamento sem preço'!#REF!</definedName>
  </definedNames>
  <calcPr calcId="179017"/>
</workbook>
</file>

<file path=xl/calcChain.xml><?xml version="1.0" encoding="utf-8"?>
<calcChain xmlns="http://schemas.openxmlformats.org/spreadsheetml/2006/main">
  <c r="H59" i="27" l="1"/>
  <c r="H59" i="26"/>
  <c r="G108" i="27"/>
  <c r="G109" i="27"/>
  <c r="H146" i="27"/>
  <c r="H145" i="27"/>
  <c r="H144" i="27"/>
  <c r="H143" i="27"/>
  <c r="H142" i="27"/>
  <c r="H141" i="27"/>
  <c r="H140" i="27"/>
  <c r="H138" i="27"/>
  <c r="H137" i="27"/>
  <c r="H136" i="27"/>
  <c r="H130" i="27"/>
  <c r="H129" i="27"/>
  <c r="H128" i="27"/>
  <c r="H127" i="27"/>
  <c r="H126" i="27"/>
  <c r="H125" i="27"/>
  <c r="H123" i="27"/>
  <c r="H122" i="27"/>
  <c r="H121" i="27"/>
  <c r="H119" i="27"/>
  <c r="H118" i="27"/>
  <c r="H117" i="27"/>
  <c r="H116" i="27"/>
  <c r="H115" i="27"/>
  <c r="G107" i="27"/>
  <c r="G106" i="27"/>
  <c r="G105" i="27"/>
  <c r="H99" i="27"/>
  <c r="H98" i="27"/>
  <c r="H97" i="27"/>
  <c r="H96" i="27"/>
  <c r="H95" i="27"/>
  <c r="H94" i="27"/>
  <c r="H93" i="27"/>
  <c r="H92" i="27"/>
  <c r="H86" i="27"/>
  <c r="H85" i="27"/>
  <c r="H84" i="27"/>
  <c r="H83" i="27"/>
  <c r="H81" i="27"/>
  <c r="H80" i="27"/>
  <c r="H79" i="27"/>
  <c r="H73" i="27"/>
  <c r="H72" i="27"/>
  <c r="H71" i="27"/>
  <c r="H70" i="27"/>
  <c r="H69" i="27"/>
  <c r="H68" i="27"/>
  <c r="H67" i="27"/>
  <c r="H66" i="27"/>
  <c r="H65" i="27"/>
  <c r="H64" i="27"/>
  <c r="J34" i="27"/>
  <c r="I34" i="27"/>
  <c r="J17" i="27"/>
  <c r="H95" i="26"/>
  <c r="H87" i="27" l="1"/>
  <c r="G110" i="27"/>
  <c r="H74" i="27"/>
  <c r="H131" i="27"/>
  <c r="H100" i="27"/>
  <c r="H147" i="27"/>
  <c r="A9" i="23"/>
  <c r="A8" i="23"/>
  <c r="H142" i="26"/>
  <c r="H137" i="26"/>
  <c r="H138" i="26"/>
  <c r="H141" i="26"/>
  <c r="H127" i="26"/>
  <c r="J34" i="26"/>
  <c r="I34" i="26"/>
  <c r="H64" i="26"/>
  <c r="H72" i="26"/>
  <c r="H70" i="26"/>
  <c r="H73" i="26"/>
  <c r="H129" i="26"/>
  <c r="H122" i="26"/>
  <c r="H116" i="26"/>
  <c r="H79" i="26"/>
  <c r="J17" i="26"/>
  <c r="G109" i="26"/>
  <c r="H146" i="26"/>
  <c r="G108" i="26"/>
  <c r="H145" i="26"/>
  <c r="H144" i="26"/>
  <c r="H143" i="26"/>
  <c r="H140" i="26"/>
  <c r="H136" i="26"/>
  <c r="H130" i="26"/>
  <c r="H128" i="26"/>
  <c r="H126" i="26"/>
  <c r="H125" i="26"/>
  <c r="H123" i="26"/>
  <c r="H121" i="26"/>
  <c r="H119" i="26"/>
  <c r="H118" i="26"/>
  <c r="H117" i="26"/>
  <c r="H115" i="26"/>
  <c r="G107" i="26"/>
  <c r="G106" i="26"/>
  <c r="G105" i="26"/>
  <c r="H99" i="26"/>
  <c r="H98" i="26"/>
  <c r="H97" i="26"/>
  <c r="H96" i="26"/>
  <c r="H94" i="26"/>
  <c r="H93" i="26"/>
  <c r="H92" i="26"/>
  <c r="H86" i="26"/>
  <c r="H85" i="26"/>
  <c r="H84" i="26"/>
  <c r="H83" i="26"/>
  <c r="H81" i="26"/>
  <c r="H80" i="26"/>
  <c r="H71" i="26"/>
  <c r="H69" i="26"/>
  <c r="H68" i="26"/>
  <c r="H67" i="26"/>
  <c r="H66" i="26"/>
  <c r="H65" i="26"/>
  <c r="H131" i="26"/>
  <c r="H87" i="26" l="1"/>
  <c r="G110" i="26"/>
  <c r="H74" i="26"/>
  <c r="H100" i="26"/>
  <c r="H147" i="26" l="1"/>
</calcChain>
</file>

<file path=xl/sharedStrings.xml><?xml version="1.0" encoding="utf-8"?>
<sst xmlns="http://schemas.openxmlformats.org/spreadsheetml/2006/main" count="1677" uniqueCount="332">
  <si>
    <t>Datas Estimadas</t>
  </si>
  <si>
    <t>Comentários</t>
  </si>
  <si>
    <t>1. Obras</t>
  </si>
  <si>
    <t>Objeto</t>
  </si>
  <si>
    <t>Aquisição de equipamento - sistema de tomografia florestal</t>
  </si>
  <si>
    <t>UCP</t>
  </si>
  <si>
    <t>Aquisição de equipamentos para atualização da telefônia digital</t>
  </si>
  <si>
    <t>Aquisição de equipamentos semaforicos</t>
  </si>
  <si>
    <t>SQC</t>
  </si>
  <si>
    <t>Pregão Eletrônico</t>
  </si>
  <si>
    <t>Tomada de Preços</t>
  </si>
  <si>
    <t>Dispensa por Justificativa</t>
  </si>
  <si>
    <t>Aquisição de equipamentos para o Centro de Convivência do Floresta</t>
  </si>
  <si>
    <t>Aquisição de equipamentos para o Centro de Convivência do Santa Felicidade</t>
  </si>
  <si>
    <t xml:space="preserve">Aquisição de equipamentos para o Centro de Convivência do Cascavel Velho </t>
  </si>
  <si>
    <t>BRASIL</t>
  </si>
  <si>
    <t xml:space="preserve">PLANO DE AQUISIÇÕES (PA) - 18 MESES </t>
  </si>
  <si>
    <t>Status</t>
  </si>
  <si>
    <t>100</t>
  </si>
  <si>
    <t>0</t>
  </si>
  <si>
    <t>2.2.1</t>
  </si>
  <si>
    <r>
      <t>CONTRATO DE EMPRÉSTIMO Nº 2999/</t>
    </r>
    <r>
      <rPr>
        <b/>
        <sz val="11"/>
        <color indexed="8"/>
        <rFont val="Calibri"/>
        <family val="2"/>
      </rPr>
      <t xml:space="preserve"> OC-BR</t>
    </r>
  </si>
  <si>
    <t>1.1.1.1</t>
  </si>
  <si>
    <t>1.1.2</t>
  </si>
  <si>
    <t>1.1.3</t>
  </si>
  <si>
    <t>1.1.5</t>
  </si>
  <si>
    <t>1.4</t>
  </si>
  <si>
    <t>1.1.1.2</t>
  </si>
  <si>
    <t>1.1.4</t>
  </si>
  <si>
    <t>2.3.2</t>
  </si>
  <si>
    <t>2.1.2</t>
  </si>
  <si>
    <t>2.4.2</t>
  </si>
  <si>
    <t>2.2.2</t>
  </si>
  <si>
    <t>Contratação de empresa para ministrar curso de  Patologias das Construções e gerenciamento de resíduos na construção civil</t>
  </si>
  <si>
    <t>PROGRAMA DE DESENVOLVIMENTO INTEGRADO DE CASCAVEL, PR</t>
  </si>
  <si>
    <t>Contrato de Empréstimo: 2999/OC-BR</t>
  </si>
  <si>
    <t>Atualizado por: Unidade de Coordenação do Programa - UCP</t>
  </si>
  <si>
    <t>*: Campos Obrigatórios</t>
  </si>
  <si>
    <t>OBRAS</t>
  </si>
  <si>
    <t>Unidade Executora*</t>
  </si>
  <si>
    <t>Objeto*</t>
  </si>
  <si>
    <t>Descrição Adicional</t>
  </si>
  <si>
    <r>
      <t xml:space="preserve">Método 
</t>
    </r>
    <r>
      <rPr>
        <i/>
        <sz val="12"/>
        <color indexed="9"/>
        <rFont val="Times New Roman"/>
        <family val="1"/>
      </rPr>
      <t>(Selecionar uma das Opções)</t>
    </r>
    <r>
      <rPr>
        <sz val="12"/>
        <color indexed="9"/>
        <rFont val="Times New Roman"/>
        <family val="1"/>
      </rPr>
      <t>*</t>
    </r>
  </si>
  <si>
    <t>Quantidade de Lotes</t>
  </si>
  <si>
    <t>Número do Processo</t>
  </si>
  <si>
    <t>Montante Estimado *</t>
  </si>
  <si>
    <t>Categoria de Investimento</t>
  </si>
  <si>
    <t>Método de Revisão (Selecionar uma das opções)*</t>
  </si>
  <si>
    <t>Datas Estimadas*</t>
  </si>
  <si>
    <t>Comentários - para Sistema Nacional incluir método de Seleção</t>
  </si>
  <si>
    <t>Número PRISM</t>
  </si>
  <si>
    <t>Montante Estimado em US$  mil</t>
  </si>
  <si>
    <t>Montante Estimado % BID</t>
  </si>
  <si>
    <t>Montante Estimado % Contrapartida</t>
  </si>
  <si>
    <t>Publicação do Anúncio/Convite</t>
  </si>
  <si>
    <t>Assinatura do Contrato</t>
  </si>
  <si>
    <t>Execução de obras na Av. Brasil, calçadão, ciclovia</t>
  </si>
  <si>
    <t>Licitação Pública Nacional (LPN)</t>
  </si>
  <si>
    <t>[indicar]</t>
  </si>
  <si>
    <t>Ex-Ante</t>
  </si>
  <si>
    <t>set-14</t>
  </si>
  <si>
    <t>Contrato em Execução</t>
  </si>
  <si>
    <t>Execução de obras na Av. Tancredo Neves</t>
  </si>
  <si>
    <t>Sistema Nacional (SN)</t>
  </si>
  <si>
    <t>Sistema Nacional</t>
  </si>
  <si>
    <t>Concorrência Pública Nacional</t>
  </si>
  <si>
    <t>Previsto</t>
  </si>
  <si>
    <t>Ex-Post</t>
  </si>
  <si>
    <t>Licitação Pública Internacional (LPI)</t>
  </si>
  <si>
    <t>1.2.1 /1.2.2</t>
  </si>
  <si>
    <t>Execução do viaduto na BR 277.</t>
  </si>
  <si>
    <t>Abertura de via - Rua Kenedy/Recife, Rua Ipanema e
alargamento de via - Av.Jacarezinho.</t>
  </si>
  <si>
    <t>1.2.4/1.2.5/1.2.6</t>
  </si>
  <si>
    <t>Execução de calçadas nos prédios públicos</t>
  </si>
  <si>
    <t>Implantação do Centro de Convivência do Cascavel Velho (fase 2)</t>
  </si>
  <si>
    <t>Execução da readequação da rede de distribuição de energia elétrica, substituição da rede aérea para subterrânea, no Calçadão da Av.Brasil, entre as Ruas Sete de Setembro e Barão do Cerro Azul e na travessa Pe Champagnat</t>
  </si>
  <si>
    <t>Total</t>
  </si>
  <si>
    <t>BENS</t>
  </si>
  <si>
    <t>Unidade Executora</t>
  </si>
  <si>
    <t xml:space="preserve">Montante Estimado </t>
  </si>
  <si>
    <t>Método de Revisão (Selecionar uma das opções)</t>
  </si>
  <si>
    <t>Comentários - para Sistema Nacional incluir Método de Seleção</t>
  </si>
  <si>
    <t>Montante Estimado em US$ mil</t>
  </si>
  <si>
    <t>Contratação Direta (CD)</t>
  </si>
  <si>
    <t>Aquisição de equipamentos para o Centro de Convivência do Morumbi</t>
  </si>
  <si>
    <t>SERVIÇOS QUE NÃO SÃO DE CONSULTORIA</t>
  </si>
  <si>
    <t>Implantação de rede de fibra óptica, manutenção e expansão da rede.</t>
  </si>
  <si>
    <t>Serviço de cartografia digital para diagnóstico das áreas verdes do município</t>
  </si>
  <si>
    <t>out-15</t>
  </si>
  <si>
    <t>Implantação de aplicativos para ampliação do Geoportal</t>
  </si>
  <si>
    <t>Serviços e Aquisição de ortofoto para o perímetro urbano do Município de Cascavel e sede dos Distritos.</t>
  </si>
  <si>
    <t>mai-15</t>
  </si>
  <si>
    <t>CONSULTORIAS FIRMAS</t>
  </si>
  <si>
    <t>Publicação  Manifestação de Interesse</t>
  </si>
  <si>
    <t xml:space="preserve"> Apoio ao Gerenciamento do Programa e Supervisão das obras e monitoramento do programa.</t>
  </si>
  <si>
    <t>Seleção Baseada na Qualidade e Custo (SBQC)</t>
  </si>
  <si>
    <t>Processo em Curso</t>
  </si>
  <si>
    <t>Projeto executivo para implantação de rede de fibra óptica</t>
  </si>
  <si>
    <t>Seleção Baseada nas Qualificações do Consultor (SQC)</t>
  </si>
  <si>
    <t>CONSULTORIAS INDIVIDUAIS</t>
  </si>
  <si>
    <t>Quantidade Estimada de Consultores</t>
  </si>
  <si>
    <t>Não Objeção aos  TDR da Atividade</t>
  </si>
  <si>
    <t>Assinatura Contrato</t>
  </si>
  <si>
    <t>Curso na área de paisagismo.</t>
  </si>
  <si>
    <t xml:space="preserve">Comparação de Qualificações (3 CV) </t>
  </si>
  <si>
    <t>CAPACITAÇÃO</t>
  </si>
  <si>
    <t xml:space="preserve"> Publicação  Manifestação de Interesse ou do Anúncio</t>
  </si>
  <si>
    <t>Comparação de Preços (CP)</t>
  </si>
  <si>
    <t>Curso na área de legislação</t>
  </si>
  <si>
    <t>Curso na área de avaliação de árvores urbanas, manejo e estabilidade</t>
  </si>
  <si>
    <t>Curso na área de capacitação de monitores/guias para os parques ambientais.</t>
  </si>
  <si>
    <t>Curso gestão e regulação dos serviços de transporte e em processos de integração temporal.</t>
  </si>
  <si>
    <t>Curso 1) MOC 10175 – MICROSOFT SHAREPOINT 2010,  2) MOC 6419, 6421 e 6425 WINDOWS SERVER, 3) MCTS: MICROSOFT EXCHANGE SERVER 2010, CONFIGURING.</t>
  </si>
  <si>
    <t>Curso em capacitação em rede de Fibra Óptica</t>
  </si>
  <si>
    <t>Curso de Power Civil Bentley</t>
  </si>
  <si>
    <t>abr-15</t>
  </si>
  <si>
    <t>SUBPROJETOS</t>
  </si>
  <si>
    <t>Objeto da Transferência</t>
  </si>
  <si>
    <t>Quantidade Estimada de Subprojetos</t>
  </si>
  <si>
    <t>Assinatura do Contrato/ Convênio por Adjudicação dos Subprojetos</t>
  </si>
  <si>
    <t>Data de 
Transferência</t>
  </si>
  <si>
    <t>Método  de Revisão</t>
  </si>
  <si>
    <t>Nova Licitação</t>
  </si>
  <si>
    <t>Processo Cancelado</t>
  </si>
  <si>
    <t>Declaração de Aquisição Deserta</t>
  </si>
  <si>
    <t>Recusa de Propostas</t>
  </si>
  <si>
    <t>Contrato Concluído</t>
  </si>
  <si>
    <t xml:space="preserve">Métodos </t>
  </si>
  <si>
    <t>Consultoria Firmas</t>
  </si>
  <si>
    <t>Seleção Baseada na Qualidade (SBQ)</t>
  </si>
  <si>
    <t>Seleção Baseada no Menor Custo (SBMC) </t>
  </si>
  <si>
    <t>Seleção Baseada em Orçamento Fixo (SBOF)</t>
  </si>
  <si>
    <t>Bens, Obras e Serviços</t>
  </si>
  <si>
    <t>Licitação Limitada Internacional  (LLI)</t>
  </si>
  <si>
    <t>Licitação Pública Internacional com Pré-qualificação</t>
  </si>
  <si>
    <t>Licitação Pública Internacional em 2 Etapas </t>
  </si>
  <si>
    <t>Licitação Pública Internacional por Lotes </t>
  </si>
  <si>
    <t>Licitação Pública Internacional sem Pré-qualificação</t>
  </si>
  <si>
    <t>Consultorias Individuais</t>
  </si>
  <si>
    <t>FOLHA DE COMENTÁRIOS</t>
  </si>
  <si>
    <t>ATIVIDADE</t>
  </si>
  <si>
    <t>COMENTÁRIO</t>
  </si>
  <si>
    <t>2. Bens</t>
  </si>
  <si>
    <t>3. Serviços que Não São de consultoria</t>
  </si>
  <si>
    <t>4. Consultorias Firmas</t>
  </si>
  <si>
    <t>5. Consultorias Individuais</t>
  </si>
  <si>
    <t>6. Capacitação</t>
  </si>
  <si>
    <t>7. Subprojetos</t>
  </si>
  <si>
    <t>Taxa Câmbio - R$</t>
  </si>
  <si>
    <t>_</t>
  </si>
  <si>
    <t>BR-B2772</t>
  </si>
  <si>
    <t>LPN 02/2014</t>
  </si>
  <si>
    <t>LPN 01/2014</t>
  </si>
  <si>
    <t>BR-B2533</t>
  </si>
  <si>
    <t>SBQC 01/2014</t>
  </si>
  <si>
    <t>TP 54/2014</t>
  </si>
  <si>
    <t>Dispensa 70/2012</t>
  </si>
  <si>
    <t>CP 01/2015</t>
  </si>
  <si>
    <t xml:space="preserve">Capacitação da equipe de gerenciamento dos Centros de Convivência do Programa </t>
  </si>
  <si>
    <t>Curso sobre excel, MS PROJECT 2010 e Gerenciamento de projetos.</t>
  </si>
  <si>
    <t xml:space="preserve">Curso de orçamento de projetos </t>
  </si>
  <si>
    <t xml:space="preserve"> PLANO DE AQUISIÇÕES (PA) - 18 MESES</t>
  </si>
  <si>
    <t>PROGRAMA DE DESENVOLVIMENTO INTEGRADO DE CASCAVEL - PR</t>
  </si>
  <si>
    <t>Terminal Leste (desapropriação)</t>
  </si>
  <si>
    <t>1.1.7</t>
  </si>
  <si>
    <t>Terminal Sudoeste (desapropriação)</t>
  </si>
  <si>
    <t>1.1.9</t>
  </si>
  <si>
    <t>Rua Jequitiba - desapropriação</t>
  </si>
  <si>
    <t>1.2.7</t>
  </si>
  <si>
    <t>Rua Jose de Sá Cavalcante - desapropriação</t>
  </si>
  <si>
    <t>1.2.8</t>
  </si>
  <si>
    <t>Rua Visconde Guarapuava - desapropriação</t>
  </si>
  <si>
    <t>1.2.9</t>
  </si>
  <si>
    <t>DECRETO MUNICIPAL Nº 10.820/2012 E PROCESSO Nº 45208/2014 DE 21/08/2012, DESTINADO AO PROLONGAMENTO DA RUA VISCONTE DE GUARAPUAVA Empenhos nº. 8697 (R$400.000,00),nº 8698 (R$235.000,00), nº. 8699 (340.000,00) e nº. (R$470.000,00). 
CBR 1732/15 - Of. 140 (22/05/2015 - Cotação R$ 3,0653 = US$471.405,7351)</t>
  </si>
  <si>
    <t>45208/2014</t>
  </si>
  <si>
    <t>Rua Ipanema - desapropriação</t>
  </si>
  <si>
    <t>1.2.11</t>
  </si>
  <si>
    <t>Rua kenedy/Recife - Desapropriação</t>
  </si>
  <si>
    <t>1.2.12</t>
  </si>
  <si>
    <t>Viaduto BR 277 - desapropriação</t>
  </si>
  <si>
    <t>1.4.2</t>
  </si>
  <si>
    <t>Parque Morumbi - Desapropriação</t>
  </si>
  <si>
    <t>2.2.4</t>
  </si>
  <si>
    <t>Engº Civil para apoio à Fiscalização das obras</t>
  </si>
  <si>
    <t>Engº Civil para apoio na elaboração de orçamento das obras</t>
  </si>
  <si>
    <t>Engº Civil para apoio ao Planejamento</t>
  </si>
  <si>
    <t>Serviço de Levantamento Aerofotogrametrico, perfilamento a laser, Restituição das Edificações, Geocodificação, Cruzamentos dos dados Edificações com Banco de dados CTM e Imageamento Georreferenciado das Fachadas</t>
  </si>
  <si>
    <t>Elaboração da Rede Geodésica Municipal de Cascavel</t>
  </si>
  <si>
    <t>Apoio ao Gerenciamento e Supervisão das atividades do PDI/BID.</t>
  </si>
  <si>
    <t>Desapropriação para Viaduto 277
* Inexigibilidade 69-2015
NE 10162/15 - R$499.612,00
NE 10163/15 - R$565.530,00
NE 10164/15 - R$196.948,00
NE 10166/15 - R$10.990,00
* Inexigibilidade 71-2015
NE 10376/15 - R$145.376,03</t>
  </si>
  <si>
    <t>CBR 4007/2015 de 13/11/2015</t>
  </si>
  <si>
    <t>BR11113
CBR 4045/15 (17/11/15)</t>
  </si>
  <si>
    <t>CBR-2892/15 (25/08/2015;
CBR 3625/2015 (19/10/2015)
Contrato nº 213/2015 de 06/11/2015 - CI nº01/2015
NE 12616/2015</t>
  </si>
  <si>
    <t>BR11112
CBR 4038/15 (17/11/15)</t>
  </si>
  <si>
    <t>CBR-2561/15 (29/07/15);
CBR 3283/2015 (24/09/2015);
CBR-4001/15 (13/11/15)
Contrato nº 250/2015 de 04/12/2015 - CP nº01/2015.
NE 13833/15.
PRISM BR</t>
  </si>
  <si>
    <t>BR</t>
  </si>
  <si>
    <t>1º Termo Aditivo Ct 32/2015 - LPN 02/14</t>
  </si>
  <si>
    <t>-</t>
  </si>
  <si>
    <t>Execução de obras - Terminal Leste</t>
  </si>
  <si>
    <t>Execução de obras - Terminal Oeste</t>
  </si>
  <si>
    <t>Execução de obras - Terminal Nordeste</t>
  </si>
  <si>
    <t>Execução de obras - Terminal Sudoeste</t>
  </si>
  <si>
    <t>Execução de obras - 4 Terminais</t>
  </si>
  <si>
    <t>Execução de calçadas nos prédios públicos - Fase 1</t>
  </si>
  <si>
    <t>Execução de calçadas nos prédios públicos - Fase 2</t>
  </si>
  <si>
    <t>Serviço de imagem de satélite de toda área do município corrigida e ortorretificada.</t>
  </si>
  <si>
    <t>UPGRADE GPS GTR² para  RTK com capacitação</t>
  </si>
  <si>
    <t>Execução de abertura de via - Rua Jequitibá e Rua José de Sá Cavalcante.</t>
  </si>
  <si>
    <t>Aquisição de software Bentley Power Civil (Bentley Map) com ferramentas select e treinamento para utilização</t>
  </si>
  <si>
    <t>2º Termo Aditivo Ct 32/2015 - LPN 02/14</t>
  </si>
  <si>
    <t>3º Termo Aditivo Ct 32/2015 - LPN 02/14</t>
  </si>
  <si>
    <t>4º Termo Aditivo Ct 32/2015 - LPN 02/14</t>
  </si>
  <si>
    <t xml:space="preserve">1º Aditivo
1ª Readequação da Planilha de Orçamento </t>
  </si>
  <si>
    <t xml:space="preserve">3º Aditivo
2ª Readequação da Planilha de Orçamento </t>
  </si>
  <si>
    <t xml:space="preserve">2º Aditivo
Reajuste 7,46% </t>
  </si>
  <si>
    <t>4º Aditivo
Reajuste 7,46% ref. ao 3º T.Ad.</t>
  </si>
  <si>
    <t>LPN 01/2015</t>
  </si>
  <si>
    <t>BR-B3232</t>
  </si>
  <si>
    <t>Concorrência Pública Nacional  nº 01/2016</t>
  </si>
  <si>
    <t>19/2015</t>
  </si>
  <si>
    <t>Concorrência Pública Nacional
nº 19/2015</t>
  </si>
  <si>
    <t>Serviço de cartografia digital Faz parte do pedido de substituição para o DMLAC - SEMA</t>
  </si>
  <si>
    <t>SDP 01/15</t>
  </si>
  <si>
    <t>Curso na área de legislação - ver se de fato será trocado para fiscalização</t>
  </si>
  <si>
    <t>Curso na área de avaliação de árvores urbanas, manejo e estabilidade foi incluido na substituição para o DMLAC</t>
  </si>
  <si>
    <t xml:space="preserve">Ofício 430/15 de 09/11/2015
CBR 4007/2015 de 13/11/2015 </t>
  </si>
  <si>
    <t>Protocolo nº 56539/10/2012
Termo de Concordância</t>
  </si>
  <si>
    <t>Protocolo  nº 16491/04/2013 Termo de Concordância</t>
  </si>
  <si>
    <t>Terminal Leste
Desapropriação Quadra nº 68 no Loteamento São Cristovão
Propriedade do Sr. Selvino Bigolin
• Lote nº 07 Avaliado em R$ 230.000,00
• Lote nº 08 Avaliado em R$ 190.000,00
• Lote nº 09 Avaliado em R$ 280.000,00
• Lote nº 07 Avaliado em R$ 180.000,00
Totalizando R$ 880.000,00, permutados pelo Lote nº 08, Quadra nº 403 no valor de R$ 800.000,00. Saldo remanescente de 80.000,00 a pagar por processo de inexigibilidade nº 51/2015. Empenho 8093/2015;
Desapropriação Quadra nº 68 no Loteamento São Cristovão
Propriedade do Sr. Carlos Antonio Studzinski
• Lote nº 11 Avaliado em R$ 190.000,00
• Lote nº 12 Avaliado em R$ 310.000,00
• Lote nº 13 Avaliado em R$ 200.000,00
• Lote nº 14 Avaliado em R$ 300.000,00
Totalizando R$ 1.000.000,00, permutados pelo Lote Único da Quadra 03 do Loteamento Jardim as Nações.
 DECRETO MUNICIPAL Nº 11.253 de 18/04/2013
 DECRETO MUNICIPAL 11.788 de 29/04/2014
 PROCESSO Nº 16491/04/2013
Destinados a implantação do Terminal de Transbordo Leste.</t>
  </si>
  <si>
    <t>Protocolo nº 42434/08/2012 Termo de Concordância 2015.</t>
  </si>
  <si>
    <t>Execução de obrasde Reurbanização na Av. Barão do Rio Branco</t>
  </si>
  <si>
    <t>Execução do Departamento Municipal de Licenciamento Ambiental - DMLAC e/ou Instituto de Licenciamento Ambiental</t>
  </si>
  <si>
    <t>Aquisição de equipamentos - DMLAC e/ou Instituto de Licenciamento Ambiental</t>
  </si>
  <si>
    <t>1º Termo Aditivo Ct 35/2016 - LPN 01/15</t>
  </si>
  <si>
    <t>Projeto para Implantação do Parque Ambiental e Centro de Convivência no Bairro Floresta.</t>
  </si>
  <si>
    <t>Projeto para Implantação do Parque Ambiental e Centro de Convivência no Bairro Santa Felicidade.</t>
  </si>
  <si>
    <t>Projeto para Implantação do Parque Ambiental no Bairro Santa Cruz.</t>
  </si>
  <si>
    <t>2.4.2 e 2.3.3</t>
  </si>
  <si>
    <t>2.6.2 e 2.4.3</t>
  </si>
  <si>
    <t>2.5.2</t>
  </si>
  <si>
    <t>2.6.1 e 2.4.1</t>
  </si>
  <si>
    <t>2.5.1</t>
  </si>
  <si>
    <t>2.4.1 e 2.3.1</t>
  </si>
  <si>
    <t>CI 01-16</t>
  </si>
  <si>
    <t>CBR-2892/15 (25/08/2015;
CBR 3625/2015 (19/10/2015);
CBR-4045/15 (17/11/15)
Contrato nº 221/2015 de 12/11/2015 - CI nº03/2015.
NE 12772/15 e 1º Aditivo NE4896/16</t>
  </si>
  <si>
    <t>Inexigbilidade 67/2016</t>
  </si>
  <si>
    <t>Inex 67/16</t>
  </si>
  <si>
    <t>CP 01/2016</t>
  </si>
  <si>
    <t>CP 02/2016</t>
  </si>
  <si>
    <t>CP 04/2016</t>
  </si>
  <si>
    <t>CP 03/2016</t>
  </si>
  <si>
    <t>LPN 02/2016</t>
  </si>
  <si>
    <t>LPN 01/2016</t>
  </si>
  <si>
    <t>BR-B3463</t>
  </si>
  <si>
    <t>BR-B3472</t>
  </si>
  <si>
    <t>Implantação do Parque Linear no Bairro Santa Cruz.</t>
  </si>
  <si>
    <t>Implantação do Parque Linear e Centro de Convivência Intergeracional no Bairro Morumbi.</t>
  </si>
  <si>
    <t xml:space="preserve">Implantação do Parque Linear e Centro de Convivência Intergeracional  no Bairro Floresta. </t>
  </si>
  <si>
    <t xml:space="preserve">Implantação do Parque Linear e Centro de Convivência Intergeracional  no Bairro Santa Felicidade. </t>
  </si>
  <si>
    <t>5º TA Rerratificação da Planilha Orçamentária (14/10/2016) - (3ª Readequação da Planilha de Orçamento)</t>
  </si>
  <si>
    <t>6º TA Reequilírio Econômico-Financeiro Material Pétreo do Ct 32/2015 - LPN 02/14</t>
  </si>
  <si>
    <t>BR-B3525</t>
  </si>
  <si>
    <t xml:space="preserve">7º Apostilamento
Reajuste 5,87% </t>
  </si>
  <si>
    <t>7º  TA -Termo Apostilamento Ct 32/2015 - LPN 02/14</t>
  </si>
  <si>
    <t>BR-B3588</t>
  </si>
  <si>
    <t>BR-B3589</t>
  </si>
  <si>
    <t xml:space="preserve">Desapropriação para Viaduto 277
* Inexigibilidade 
NE 2696/17 - R$43.606,00,00
DESAPROPRIAÇÃO DE IMÓVEl - NELI TERESINHA ZONIN, CPF 431.680.609-25, REFERENTE DESAPROPRIAÇÃO AMIGÁVEL DO LOTE  Nº 01 DA QUADRA Nº 24 DO LOTEAMENTO JARDIM NOVA ITÁLIA, COM AREA DE 436,06 M² CONFORME MATRÍCULA 38.333 DO 3º REGISTRO DE IMÓVEIS DA COMARCA DE CASCAVEL-PR,CONFORME DECRETO Nº13.223 DE 21 DEZEMBRO DE 2016,PROCESSO ADMINISTRATIVO Nº 43878/2016 DE 31/08/2016, </t>
  </si>
  <si>
    <t>PROCESSO ADMINISTRATIVO Nº 43878/2016 DE 31/08/2016</t>
  </si>
  <si>
    <t>2º Termo Aditivo Ct 35/2016 - LPN 01/15 - prazo 03 meses</t>
  </si>
  <si>
    <t>3º Termo Aditivo Ct 35/2016 - LPN 01/15 - prazo 02 meses</t>
  </si>
  <si>
    <t>a) 1º Termo Aditivo (09/11/2016) - 1º Redimensionamento do Ct 40/2016
b) 2º Termo Aditivo (15/03/20176) - Prorrogação prazo de execução por 03 meses a partir de 23/03/17</t>
  </si>
  <si>
    <t>CD 01/2016</t>
  </si>
  <si>
    <t>SQC 02/2016</t>
  </si>
  <si>
    <t>SQC 01/2016</t>
  </si>
  <si>
    <t>CI 01/15</t>
  </si>
  <si>
    <t>CI 03/15</t>
  </si>
  <si>
    <t>8º TA - Termo Aditivo de Prazo 04 (quatro) meses de  execução a partir de 06 de abril de 2017 e de vigência a partir de 06 de junho de 2017 (04/04/2017)</t>
  </si>
  <si>
    <t>8º Aditivo - prazo</t>
  </si>
  <si>
    <t>4º Aditivo de 18/05/17 - Aumento de 02 meses a partir de 21/05/2017 (execução) e de 17/07/2017  (vigência).</t>
  </si>
  <si>
    <t>MASCOR IMÓVEIS, INSCRITA NO CNPJ-MF SOB N°
04.093.718/0001-20 REFERENTE DESAPROPRIAÇÃO AMIGAVEL DE PARTE DO LOTE N° 01 ,QUADRA 02,
LOTEAMENTO JARDIM VENEZA, COM AREA DE 536,85 M2</t>
  </si>
  <si>
    <t>PROCESSO ADMINISTRATIVO Nº 42434/08/2012</t>
  </si>
  <si>
    <t xml:space="preserve">Parque e CCI Morumbi
Desapropriações: 
• Chácara nº 65
 Propriedade do Sr. Álvaro Rossi (espólio)  NE 10609/15
Autos sob nº 0027946-38.2012.8.16.0021
•  Chácara nº 161
Propriedade de K2 Agropastoril LTDA Me - Inexigibilidade 84/15 - NE 12760/2015            </t>
  </si>
  <si>
    <t xml:space="preserve">5º Aditivo Meta Física de 19/07/2017 </t>
  </si>
  <si>
    <t>Abertura de via - Rua Ipanema</t>
  </si>
  <si>
    <t xml:space="preserve">Abertura de via - Rua Kenedy/Recife </t>
  </si>
  <si>
    <t>1.20</t>
  </si>
  <si>
    <t>1.2.6</t>
  </si>
  <si>
    <t>1.2.4/1.2.5</t>
  </si>
  <si>
    <t>Atualização Nº: 08</t>
  </si>
  <si>
    <t>9º TA - Termo Aditivo de ReRa - Redimensionmanto de Planilha (02/08/2017) do Ct 32/2015 - CBR 2728/17 de 09/08/2017</t>
  </si>
  <si>
    <t>9º Aditivo - prazo</t>
  </si>
  <si>
    <t>10º TA - Termo Aditivo (03/10/2017- Prorrogação prazo de vigência por 01 (um) mês a partir de 06/10/2017 e Supressão (5ª Readequação da Planilha de Orçamento)  do Ct 32/2015 - CBR xxx/17 de xx/0x/2017</t>
  </si>
  <si>
    <t>10º Aditivo - prazo e supressão</t>
  </si>
  <si>
    <t>LPN 01/2016
Ct 177/2016
e
1º Aditivo- 18/04/2017 - Prazo de 90 dias execução a contar de 19/04/17 e vigência a contar de 18/06/17.
2º Aditivo - (03/08/2017) - Redimensionamento de R$178.198,10 e Prorrogação prazo de execução por 30 dias a partir de 03/08/17 e o de vigência por 30 dias a partir de 16/09/17 do Ct 177/2016
3º Aditivo - (13/10/2017) - Prorrogação prazo de vigência por 30 dias a partir de 16/10/17 e supressão de R$734,15 do Ct 177/2016.</t>
  </si>
  <si>
    <t>CI nº 1080/2017 - SESOP (17/10/2017) - Anulação Saldo de Empenhos, referente ao 9º e 10º (aditivos de supressões) e saldo de empenhos de reajustes aplicados ao contrato.</t>
  </si>
  <si>
    <t>CI nº 1080/2017 - SESOP (17/10/2017) - Anulação Saldo de Empenhos,</t>
  </si>
  <si>
    <t>EX-post</t>
  </si>
  <si>
    <t>LPN 05/2017</t>
  </si>
  <si>
    <t>LPN 02/2017</t>
  </si>
  <si>
    <t>LPN 01/2017</t>
  </si>
  <si>
    <t>LPN 04/2016</t>
  </si>
  <si>
    <t>LPN 04/2017</t>
  </si>
  <si>
    <t>LPN 03/2017</t>
  </si>
  <si>
    <t>Avaliação do Programa - Linha Base</t>
  </si>
  <si>
    <t>Avaliação do Programa - Final</t>
  </si>
  <si>
    <t>LPI 01/16
Dataprom - Equipamentos de Informática Industrial Ltda - CNPJ 80.590.045/0001-00 
Contrato nº102/2016 de 11/08/2016 (12 meses conclusão e 14 meses vigência) - CBR-4492/2016 de 10/11/16 - PRISM BR-B3472
1º Termo Aditivo (01/02/2017) - Apostilamento - Alteração Dotação Orçamentária do Ct 40/2016.
2º Termo Aditivo (07/08/2017) - Prorrogação prazo de 12 meses de execução iniciando em  11/08/17 a 10/08/18 e 14 meses de vigência iniciando em 11/10/17 a 10/12/18, do Ct 40/2016
3º Termo Aditivo (13/12/2017) - Redimensonamento - ReRatificação Planilha R$1.979.795,76</t>
  </si>
  <si>
    <t>3.1 Implantação de rede de fibra óptica, manutenção e expansão da rede.</t>
  </si>
  <si>
    <t>Houve a exclusão pois o investimento/aquisição/contratação não será mais executado no PDI, pois era decorrente da execução do item 3.1 que foi excluído.</t>
  </si>
  <si>
    <t>2.5 Aquisição de equipamentos para atualização da telefônia digital</t>
  </si>
  <si>
    <t>4.4 Avaliação do Programa - Final</t>
  </si>
  <si>
    <t>Houve a inclusão deste investimento/aquisição/contratação para realizar a avaliação final do PDI, em virtude do id 4.3 ter contemplado a Avaliação do Programa - Linha Base.</t>
  </si>
  <si>
    <t>5.5 Engº Civil para apoio à Fiscalização das obras</t>
  </si>
  <si>
    <t>Houve a exclusão pois o investimento/aquisição/contratação não será mais executado no PDI, em virtude das obras já estarem sendo executadas, bem como do término do PDI.</t>
  </si>
  <si>
    <t>EXECUÇÃO DE OBRAS - REURBANIZAÇÃO DA AVENIDA PRESIDENTE TANCREDO NEVES - LPN 05/17
Consórcio ECEC-DIARC - CNPJ 29.299.383/0001-22 (ECEC - Empresa Cascavelense de Engenharia e Construções Ltda (61,04% e Diarc Engenahria e Pré-Fabricados Ltda (38,96%))
Contrato nº 306/2017 de 27/12/2017 OS emitida em 04/01/2018 -  300 dias de execução (30/10/2018) a partir da OS  e  360 dias de vigência</t>
  </si>
  <si>
    <t>Remanescente/Término - Execução de obras na Av. Brasil, calçadão, ciclovia</t>
  </si>
  <si>
    <t>1,21 Remanescente/Término - Execução de obras na Av. Brasil, calçadão, ciclovia</t>
  </si>
  <si>
    <t>1,22 Avenida Brasil/ Barão do Rio Branco / Tancredo Neves (Tachões/sinalização)</t>
  </si>
  <si>
    <t>6.8 Curso na área de capacitação de monitores/guias para os parques ambientais.</t>
  </si>
  <si>
    <t>6.11 Curso em capacitação em rede de Fibra Óptica</t>
  </si>
  <si>
    <t>6.9 Curso gestão e regulação dos serviços de transporte e em processos de integração temporal.</t>
  </si>
  <si>
    <t>Houve a exclusão pois a contratação não será mais executada no PDI, em virtude do prazo do Programa estar exíguo e ser insuficente para o término da instalação do sistema e consequente realização/aplicação do curso, que não foi encaminhado pelo órgão, que teriam os servidores capacitados,  as especificações necessárias à contratação.</t>
  </si>
  <si>
    <t>LPN 01/2018</t>
  </si>
  <si>
    <t>LPN
01/2018</t>
  </si>
  <si>
    <t>Incluído para finalizar a Execução de obras na Av. Brasil, calçadão, ciclovia, pois esse serviço foi glosado na contratação do item 1.1, em virtude da necessidade de funcionamento do Terminal Leste que não pode ser desativado à época</t>
  </si>
  <si>
    <t>Incluído para finalizar as obras de Execução de obras na Av. Brasil/ Barão do Rio Branco / Tancredo Neves, conforme CBR 1613/2018</t>
  </si>
  <si>
    <t xml:space="preserve">Houve a exclusão pois o investimento/aquisição/contratação não será mais executado no PDI, em virtude do prazo necessário à execução e o exaurimento do prazo contratual com o BID se dar antes desse, bem como não haver mais viabilidade econômica. </t>
  </si>
  <si>
    <t xml:space="preserve">Houve a exclusão pois a contratação não será mais executada no PDI, em virtude da inexecução/exclusão  (já cientificado e aceito pelo BID)  de 03 parques previstos no programa. </t>
  </si>
  <si>
    <t>1.23 Av. Itelo Weber</t>
  </si>
  <si>
    <t>Incluído conforme CBR 1911/2018 de 11/06/2018</t>
  </si>
  <si>
    <t>Atualizado em: 25/06/2018</t>
  </si>
  <si>
    <t>Execução de sinalização horizontal para faixas exclusivas de ônibus</t>
  </si>
  <si>
    <t>Revitalização Avenida Itelo Weber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</si>
</sst>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_);_(* \(#,##0.00\);_(* &quot;-&quot;??_);_(@_)"/>
    <numFmt numFmtId="164" formatCode="_([$€-2]* #,##0.00_);_([$€-2]* \(#,##0.00\);_([$€-2]* &quot;-&quot;??_)"/>
    <numFmt numFmtId="165" formatCode="0.0%"/>
    <numFmt numFmtId="166" formatCode="0.00000"/>
    <numFmt numFmtId="167" formatCode="#,##0.0_);\(#,##0.0\)"/>
    <numFmt numFmtId="168" formatCode="0_)"/>
    <numFmt numFmtId="169" formatCode="0.00_)"/>
    <numFmt numFmtId="170" formatCode="d\.mmm"/>
    <numFmt numFmtId="171" formatCode="0.00000000"/>
    <numFmt numFmtId="172" formatCode="0.0000000000"/>
    <numFmt numFmtId="173" formatCode="#,##0.000000"/>
    <numFmt numFmtId="174" formatCode="&quot;$&quot;#,##0.00000_);\(&quot;$&quot;#,##0.00000\)"/>
    <numFmt numFmtId="175" formatCode="0.0_)"/>
    <numFmt numFmtId="176" formatCode="&quot;R&quot;\ #,##0;&quot;R&quot;\ \-#,##0"/>
    <numFmt numFmtId="177" formatCode="&quot;Cr$&quot;\ #,##0.00_);\(&quot;Cr$&quot;\ #,##0.00\)"/>
    <numFmt numFmtId="178" formatCode="[$-416]mmm\-yy;@"/>
    <numFmt numFmtId="179" formatCode="0.0"/>
    <numFmt numFmtId="180" formatCode="#,##0.000"/>
  </numFmts>
  <fonts count="41">
    <font>
      <sz val="10"/>
      <name val="Arial"/>
    </font>
    <font>
      <sz val="11"/>
      <color indexed="8"/>
      <name val="Calibri"/>
      <family val="2"/>
    </font>
    <font>
      <sz val="10"/>
      <name val="Arial"/>
      <family val="2"/>
    </font>
    <font>
      <b/>
      <sz val="10"/>
      <name val="Arial"/>
      <family val="2"/>
    </font>
    <font>
      <sz val="9"/>
      <name val="Arial"/>
      <family val="2"/>
    </font>
    <font>
      <sz val="12"/>
      <name val="Helv"/>
    </font>
    <font>
      <sz val="12"/>
      <color indexed="8"/>
      <name val="Arial"/>
      <family val="2"/>
    </font>
    <font>
      <sz val="14"/>
      <color indexed="8"/>
      <name val="Arial"/>
      <family val="2"/>
    </font>
    <font>
      <sz val="10"/>
      <color indexed="24"/>
      <name val="Arial"/>
      <family val="2"/>
    </font>
    <font>
      <sz val="10"/>
      <name val="MS Sans Serif"/>
      <family val="2"/>
    </font>
    <font>
      <sz val="8"/>
      <name val="CG Times (E1)"/>
    </font>
    <font>
      <sz val="10"/>
      <name val="Helv"/>
    </font>
    <font>
      <sz val="8"/>
      <name val="Arial"/>
      <family val="2"/>
    </font>
    <font>
      <b/>
      <sz val="12"/>
      <name val="Arial"/>
      <family val="2"/>
    </font>
    <font>
      <shadow/>
      <sz val="8"/>
      <color indexed="12"/>
      <name val="Times New Roman"/>
      <family val="1"/>
    </font>
    <font>
      <sz val="7"/>
      <name val="Small Fonts"/>
      <family val="2"/>
    </font>
    <font>
      <b/>
      <i/>
      <sz val="16"/>
      <name val="Helv"/>
    </font>
    <font>
      <sz val="12"/>
      <name val="Arial"/>
      <family val="2"/>
    </font>
    <font>
      <b/>
      <i/>
      <sz val="10"/>
      <name val="Arial"/>
      <family val="2"/>
    </font>
    <font>
      <b/>
      <sz val="12"/>
      <name val="Univers (WN)"/>
    </font>
    <font>
      <sz val="10"/>
      <name val="Univers (E1)"/>
    </font>
    <font>
      <b/>
      <sz val="11"/>
      <color indexed="8"/>
      <name val="Calibri"/>
      <family val="2"/>
    </font>
    <font>
      <b/>
      <sz val="12"/>
      <name val="Times New Roman"/>
      <family val="1"/>
    </font>
    <font>
      <sz val="12"/>
      <name val="Times New Roman"/>
      <family val="1"/>
    </font>
    <font>
      <b/>
      <sz val="12"/>
      <color indexed="8"/>
      <name val="Times New Roman"/>
      <family val="1"/>
    </font>
    <font>
      <b/>
      <sz val="12"/>
      <color indexed="9"/>
      <name val="Times New Roman"/>
      <family val="1"/>
    </font>
    <font>
      <sz val="12"/>
      <color indexed="9"/>
      <name val="Times New Roman"/>
      <family val="1"/>
    </font>
    <font>
      <i/>
      <sz val="12"/>
      <color indexed="9"/>
      <name val="Times New Roman"/>
      <family val="1"/>
    </font>
    <font>
      <sz val="10"/>
      <name val="Times New Roman"/>
      <family val="1"/>
    </font>
    <font>
      <b/>
      <sz val="11"/>
      <color theme="1"/>
      <name val="Calibri"/>
      <family val="2"/>
      <scheme val="minor"/>
    </font>
    <font>
      <sz val="12"/>
      <color theme="1"/>
      <name val="Times New Roman"/>
      <family val="1"/>
    </font>
    <font>
      <b/>
      <sz val="12"/>
      <color rgb="FF000000"/>
      <name val="Times New Roman"/>
      <family val="1"/>
    </font>
    <font>
      <b/>
      <sz val="12"/>
      <color theme="1"/>
      <name val="Times New Roman"/>
      <family val="1"/>
    </font>
    <font>
      <b/>
      <sz val="12"/>
      <color rgb="FFFF0000"/>
      <name val="Times New Roman"/>
      <family val="1"/>
    </font>
    <font>
      <sz val="12"/>
      <color rgb="FFFF0000"/>
      <name val="Times New Roman"/>
      <family val="1"/>
    </font>
    <font>
      <sz val="12"/>
      <color theme="0"/>
      <name val="Times New Roman"/>
      <family val="1"/>
    </font>
    <font>
      <b/>
      <sz val="12"/>
      <color theme="0"/>
      <name val="Times New Roman"/>
      <family val="1"/>
    </font>
    <font>
      <sz val="12"/>
      <color rgb="FF0070C0"/>
      <name val="Times New Roman"/>
      <family val="1"/>
    </font>
    <font>
      <sz val="12"/>
      <color rgb="FF00B050"/>
      <name val="Times New Roman"/>
      <family val="1"/>
    </font>
    <font>
      <sz val="12"/>
      <color theme="3" tint="0.39997558519241921"/>
      <name val="Times New Roman"/>
      <family val="1"/>
    </font>
    <font>
      <sz val="12"/>
      <color rgb="FF000000"/>
      <name val="Arial"/>
      <family val="2"/>
    </font>
  </fonts>
  <fills count="10">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8"/>
        <bgColor indexed="64"/>
      </patternFill>
    </fill>
    <fill>
      <patternFill patternType="gray0625"/>
    </fill>
    <fill>
      <patternFill patternType="solid">
        <fgColor indexed="48"/>
        <bgColor indexed="64"/>
      </patternFill>
    </fill>
    <fill>
      <patternFill patternType="solid">
        <fgColor rgb="FFFFFF00"/>
        <bgColor indexed="64"/>
      </patternFill>
    </fill>
    <fill>
      <patternFill patternType="solid">
        <fgColor rgb="FF3366FF"/>
        <bgColor indexed="64"/>
      </patternFill>
    </fill>
    <fill>
      <patternFill patternType="solid">
        <fgColor rgb="FF0070C0"/>
        <bgColor indexed="64"/>
      </patternFill>
    </fill>
  </fills>
  <borders count="63">
    <border>
      <left/>
      <right/>
      <top/>
      <bottom/>
      <diagonal/>
    </border>
    <border>
      <left/>
      <right/>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double">
        <color indexed="64"/>
      </top>
      <bottom style="hair">
        <color indexed="64"/>
      </bottom>
      <diagonal/>
    </border>
    <border>
      <left/>
      <right/>
      <top style="thin">
        <color indexed="64"/>
      </top>
      <bottom style="double">
        <color indexed="64"/>
      </bottom>
      <diagonal/>
    </border>
    <border>
      <left/>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s>
  <cellStyleXfs count="70">
    <xf numFmtId="0" fontId="0" fillId="0" borderId="0"/>
    <xf numFmtId="177" fontId="2" fillId="0" borderId="0">
      <alignment horizontal="center" vertical="top"/>
    </xf>
    <xf numFmtId="0" fontId="5" fillId="0" borderId="1" applyBorder="0"/>
    <xf numFmtId="3" fontId="6" fillId="0" borderId="0" applyNumberFormat="0" applyFill="0" applyBorder="0" applyAlignment="0" applyProtection="0"/>
    <xf numFmtId="3" fontId="7" fillId="0" borderId="0" applyNumberFormat="0" applyFill="0" applyBorder="0" applyAlignment="0" applyProtection="0"/>
    <xf numFmtId="175" fontId="2" fillId="0" borderId="0" applyNumberFormat="0" applyFill="0" applyBorder="0" applyAlignment="0"/>
    <xf numFmtId="3" fontId="8" fillId="0" borderId="0" applyFont="0" applyFill="0" applyBorder="0" applyAlignment="0" applyProtection="0"/>
    <xf numFmtId="171" fontId="2" fillId="0" borderId="0" applyFont="0" applyFill="0" applyBorder="0" applyAlignment="0" applyProtection="0"/>
    <xf numFmtId="172" fontId="2" fillId="0" borderId="0" applyFont="0" applyFill="0" applyBorder="0" applyAlignment="0" applyProtection="0"/>
    <xf numFmtId="15" fontId="9" fillId="0" borderId="0" applyFont="0" applyFill="0" applyBorder="0" applyAlignment="0" applyProtection="0">
      <alignment horizontal="left"/>
    </xf>
    <xf numFmtId="0" fontId="2" fillId="0" borderId="0" applyFont="0" applyFill="0" applyBorder="0" applyProtection="0">
      <alignment horizontal="left"/>
    </xf>
    <xf numFmtId="167" fontId="10" fillId="0" borderId="0" applyFont="0" applyFill="0" applyBorder="0" applyAlignment="0" applyProtection="0">
      <protection locked="0"/>
    </xf>
    <xf numFmtId="39" fontId="11" fillId="0" borderId="0" applyFont="0" applyFill="0" applyBorder="0" applyAlignment="0" applyProtection="0"/>
    <xf numFmtId="174" fontId="2" fillId="0" borderId="0" applyFont="0" applyFill="0" applyBorder="0" applyAlignment="0"/>
    <xf numFmtId="164" fontId="2" fillId="0" borderId="0" applyFont="0" applyFill="0" applyBorder="0" applyAlignment="0" applyProtection="0"/>
    <xf numFmtId="0" fontId="1" fillId="0" borderId="0"/>
    <xf numFmtId="38" fontId="12" fillId="2" borderId="0" applyNumberFormat="0" applyBorder="0" applyAlignment="0" applyProtection="0"/>
    <xf numFmtId="0" fontId="13" fillId="0" borderId="2" applyNumberFormat="0" applyAlignment="0" applyProtection="0">
      <alignment horizontal="left" vertical="center"/>
    </xf>
    <xf numFmtId="0" fontId="13" fillId="0" borderId="3">
      <alignment horizontal="left" vertical="center"/>
    </xf>
    <xf numFmtId="165" fontId="14" fillId="0" borderId="4" applyFill="0" applyBorder="0" applyAlignment="0">
      <alignment horizontal="center"/>
      <protection locked="0"/>
    </xf>
    <xf numFmtId="10" fontId="12" fillId="3" borderId="5" applyNumberFormat="0" applyBorder="0" applyAlignment="0" applyProtection="0"/>
    <xf numFmtId="167" fontId="14" fillId="0" borderId="0" applyFill="0" applyBorder="0" applyAlignment="0">
      <protection locked="0"/>
    </xf>
    <xf numFmtId="174" fontId="2" fillId="0" borderId="0" applyFill="0" applyBorder="0" applyAlignment="0" applyProtection="0">
      <protection locked="0"/>
    </xf>
    <xf numFmtId="173" fontId="2" fillId="0" borderId="0" applyFont="0" applyFill="0" applyBorder="0" applyAlignment="0" applyProtection="0"/>
    <xf numFmtId="168"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17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7" fontId="15" fillId="0" borderId="0"/>
    <xf numFmtId="169" fontId="16" fillId="0" borderId="0"/>
    <xf numFmtId="175" fontId="2" fillId="0" borderId="0" applyFill="0" applyBorder="0" applyAlignment="0"/>
    <xf numFmtId="0" fontId="2" fillId="0" borderId="0"/>
    <xf numFmtId="0" fontId="2" fillId="0" borderId="0"/>
    <xf numFmtId="9" fontId="2" fillId="0" borderId="4" applyNumberFormat="0" applyBorder="0">
      <alignment horizontal="center" vertical="center"/>
    </xf>
    <xf numFmtId="0" fontId="3" fillId="4" borderId="5" applyNumberFormat="0" applyFont="0" applyBorder="0" applyAlignment="0" applyProtection="0">
      <alignment horizontal="center"/>
    </xf>
    <xf numFmtId="176" fontId="2" fillId="0" borderId="6" applyFont="0" applyFill="0" applyBorder="0" applyAlignment="0" applyProtection="0">
      <alignment horizontal="right"/>
    </xf>
    <xf numFmtId="0" fontId="2" fillId="0" borderId="0" applyFont="0" applyFill="0" applyBorder="0" applyAlignment="0" applyProtection="0"/>
    <xf numFmtId="0" fontId="2" fillId="0" borderId="0" applyFont="0" applyFill="0" applyBorder="0" applyAlignment="0" applyProtection="0"/>
    <xf numFmtId="10" fontId="2" fillId="0" borderId="0" applyFont="0" applyFill="0" applyBorder="0" applyAlignment="0" applyProtection="0"/>
    <xf numFmtId="0" fontId="2" fillId="0" borderId="0" applyFont="0" applyFill="0" applyBorder="0" applyAlignment="0" applyProtection="0"/>
    <xf numFmtId="22" fontId="2" fillId="0" borderId="0" applyFont="0" applyFill="0" applyBorder="0" applyAlignment="0" applyProtection="0"/>
    <xf numFmtId="3" fontId="4" fillId="0" borderId="0" applyFill="0" applyBorder="0" applyAlignment="0" applyProtection="0"/>
    <xf numFmtId="3" fontId="17" fillId="0" borderId="0" applyFill="0" applyBorder="0" applyAlignment="0" applyProtection="0"/>
    <xf numFmtId="3" fontId="4" fillId="0" borderId="0" applyFill="0" applyBorder="0" applyAlignment="0" applyProtection="0"/>
    <xf numFmtId="38" fontId="9" fillId="5" borderId="0" applyNumberFormat="0" applyFont="0" applyBorder="0" applyAlignment="0" applyProtection="0"/>
    <xf numFmtId="43" fontId="18" fillId="0" borderId="7"/>
    <xf numFmtId="38" fontId="19" fillId="0" borderId="0" applyFill="0" applyBorder="0" applyAlignment="0" applyProtection="0"/>
    <xf numFmtId="0" fontId="2" fillId="0" borderId="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8" fontId="10" fillId="0" borderId="0" applyFont="0" applyFill="0" applyBorder="0" applyAlignment="0" applyProtection="0">
      <alignment horizontal="left"/>
    </xf>
    <xf numFmtId="38" fontId="9" fillId="0" borderId="8" applyNumberFormat="0" applyFont="0" applyFill="0" applyAlignment="0" applyProtection="0"/>
    <xf numFmtId="10" fontId="20" fillId="0" borderId="9" applyNumberFormat="0" applyFont="0" applyFill="0" applyAlignment="0" applyProtection="0"/>
    <xf numFmtId="0" fontId="2" fillId="0" borderId="3"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586">
    <xf numFmtId="0" fontId="0" fillId="0" borderId="0" xfId="0"/>
    <xf numFmtId="0" fontId="0" fillId="0" borderId="0" xfId="0" applyAlignment="1">
      <alignment horizontal="center" vertical="center"/>
    </xf>
    <xf numFmtId="0" fontId="30" fillId="0" borderId="0" xfId="0" applyFont="1"/>
    <xf numFmtId="0" fontId="30" fillId="0" borderId="0" xfId="0" applyFont="1" applyAlignment="1">
      <alignment horizontal="justify" vertical="center"/>
    </xf>
    <xf numFmtId="4" fontId="30" fillId="0" borderId="0" xfId="0" applyNumberFormat="1" applyFont="1"/>
    <xf numFmtId="10" fontId="30" fillId="0" borderId="0" xfId="0" applyNumberFormat="1" applyFont="1"/>
    <xf numFmtId="0" fontId="22" fillId="0" borderId="0" xfId="0" applyFont="1" applyAlignment="1">
      <alignment horizontal="left"/>
    </xf>
    <xf numFmtId="0" fontId="31" fillId="0" borderId="0" xfId="0" applyFont="1" applyAlignment="1">
      <alignment horizontal="left" vertical="center"/>
    </xf>
    <xf numFmtId="0" fontId="32" fillId="0" borderId="0" xfId="0" applyFont="1"/>
    <xf numFmtId="0" fontId="22" fillId="0" borderId="0" xfId="15" applyFont="1" applyAlignment="1">
      <alignment horizontal="left" vertical="center"/>
    </xf>
    <xf numFmtId="0" fontId="24" fillId="0" borderId="0" xfId="15" applyFont="1"/>
    <xf numFmtId="0" fontId="33" fillId="0" borderId="0" xfId="0" applyFont="1" applyAlignment="1">
      <alignment horizontal="left" vertical="center"/>
    </xf>
    <xf numFmtId="0" fontId="22" fillId="0" borderId="0" xfId="35" applyFont="1" applyFill="1" applyBorder="1" applyAlignment="1">
      <alignment horizontal="left" vertical="center" wrapText="1"/>
    </xf>
    <xf numFmtId="0" fontId="23" fillId="0" borderId="0" xfId="35" applyFont="1"/>
    <xf numFmtId="0" fontId="23" fillId="0" borderId="5" xfId="35" applyFont="1" applyFill="1" applyBorder="1" applyAlignment="1">
      <alignment vertical="center" wrapText="1"/>
    </xf>
    <xf numFmtId="0" fontId="23" fillId="0" borderId="15" xfId="35" applyFont="1" applyFill="1" applyBorder="1" applyAlignment="1">
      <alignment horizontal="center" vertical="center" wrapText="1"/>
    </xf>
    <xf numFmtId="4" fontId="23" fillId="0" borderId="5" xfId="35" applyNumberFormat="1" applyFont="1" applyFill="1" applyBorder="1" applyAlignment="1">
      <alignment horizontal="center" vertical="center" wrapText="1"/>
    </xf>
    <xf numFmtId="0" fontId="23" fillId="0" borderId="5" xfId="35" applyFont="1" applyFill="1" applyBorder="1" applyAlignment="1">
      <alignment horizontal="center" vertical="center" wrapText="1"/>
    </xf>
    <xf numFmtId="0" fontId="23" fillId="0" borderId="0" xfId="35" applyFont="1" applyBorder="1"/>
    <xf numFmtId="0" fontId="30" fillId="0" borderId="5" xfId="0" applyFont="1" applyBorder="1"/>
    <xf numFmtId="0" fontId="30" fillId="0" borderId="0" xfId="0" applyFont="1" applyFill="1"/>
    <xf numFmtId="0" fontId="23" fillId="0" borderId="10" xfId="35" applyFont="1" applyFill="1" applyBorder="1" applyAlignment="1">
      <alignment vertical="center" wrapText="1"/>
    </xf>
    <xf numFmtId="1" fontId="23" fillId="0" borderId="5" xfId="35" applyNumberFormat="1" applyFont="1" applyFill="1" applyBorder="1" applyAlignment="1">
      <alignment horizontal="center" vertical="center" wrapText="1"/>
    </xf>
    <xf numFmtId="0" fontId="34" fillId="0" borderId="5" xfId="35" applyFont="1" applyFill="1" applyBorder="1" applyAlignment="1">
      <alignment horizontal="center" vertical="center" wrapText="1"/>
    </xf>
    <xf numFmtId="0" fontId="23" fillId="0" borderId="0" xfId="35" applyFont="1" applyFill="1" applyBorder="1" applyAlignment="1">
      <alignment vertical="center" wrapText="1"/>
    </xf>
    <xf numFmtId="4" fontId="23" fillId="0" borderId="0" xfId="35" applyNumberFormat="1" applyFont="1" applyFill="1" applyBorder="1" applyAlignment="1">
      <alignment vertical="center" wrapText="1"/>
    </xf>
    <xf numFmtId="10" fontId="23" fillId="0" borderId="0" xfId="35" applyNumberFormat="1" applyFont="1" applyFill="1" applyBorder="1" applyAlignment="1">
      <alignment vertical="center" wrapText="1"/>
    </xf>
    <xf numFmtId="0" fontId="23" fillId="0" borderId="11" xfId="35" applyFont="1" applyFill="1" applyBorder="1" applyAlignment="1">
      <alignment horizontal="center" vertical="center" wrapText="1"/>
    </xf>
    <xf numFmtId="0" fontId="30" fillId="0" borderId="0" xfId="0" applyFont="1" applyFill="1" applyBorder="1"/>
    <xf numFmtId="0" fontId="23" fillId="0" borderId="5" xfId="36" applyFont="1" applyFill="1" applyBorder="1" applyAlignment="1">
      <alignment vertical="center" wrapText="1"/>
    </xf>
    <xf numFmtId="0" fontId="23" fillId="0" borderId="5" xfId="0" applyFont="1" applyBorder="1"/>
    <xf numFmtId="0" fontId="23" fillId="0" borderId="0" xfId="0" applyFont="1" applyBorder="1" applyAlignment="1">
      <alignment vertical="center"/>
    </xf>
    <xf numFmtId="0" fontId="22" fillId="0" borderId="0" xfId="0" applyFont="1" applyAlignment="1"/>
    <xf numFmtId="0" fontId="23" fillId="0" borderId="0" xfId="0" applyFont="1" applyAlignment="1">
      <alignment horizontal="left" vertical="center"/>
    </xf>
    <xf numFmtId="0" fontId="30" fillId="0" borderId="0" xfId="0" applyFont="1" applyAlignment="1">
      <alignment horizontal="left"/>
    </xf>
    <xf numFmtId="4" fontId="30" fillId="0" borderId="0" xfId="0" applyNumberFormat="1" applyFont="1" applyAlignment="1">
      <alignment horizontal="left"/>
    </xf>
    <xf numFmtId="10" fontId="30" fillId="0" borderId="0" xfId="0" applyNumberFormat="1" applyFont="1" applyAlignment="1">
      <alignment horizontal="left"/>
    </xf>
    <xf numFmtId="0" fontId="22" fillId="0" borderId="0" xfId="35" applyFont="1" applyFill="1" applyBorder="1" applyAlignment="1">
      <alignment vertical="center" wrapText="1"/>
    </xf>
    <xf numFmtId="0" fontId="30" fillId="0" borderId="27" xfId="0" applyFont="1" applyBorder="1" applyAlignment="1">
      <alignment horizontal="justify" vertical="center" wrapText="1"/>
    </xf>
    <xf numFmtId="0" fontId="22" fillId="0" borderId="0" xfId="0" applyFont="1" applyAlignment="1">
      <alignment vertical="center"/>
    </xf>
    <xf numFmtId="4" fontId="23" fillId="0" borderId="0" xfId="35" applyNumberFormat="1" applyFont="1" applyFill="1" applyBorder="1" applyAlignment="1">
      <alignment horizontal="center" vertical="center" wrapText="1"/>
    </xf>
    <xf numFmtId="0" fontId="32" fillId="0" borderId="13" xfId="0" applyFont="1" applyBorder="1" applyAlignment="1">
      <alignment horizontal="justify" vertical="center" wrapText="1"/>
    </xf>
    <xf numFmtId="0" fontId="30" fillId="0" borderId="13" xfId="0" applyFont="1" applyBorder="1" applyAlignment="1">
      <alignment horizontal="justify" vertical="center" wrapText="1"/>
    </xf>
    <xf numFmtId="0" fontId="30" fillId="0" borderId="37" xfId="0" applyFont="1" applyBorder="1" applyAlignment="1">
      <alignment horizontal="justify" vertical="center" wrapText="1"/>
    </xf>
    <xf numFmtId="0" fontId="30" fillId="0" borderId="30" xfId="0" applyFont="1" applyBorder="1" applyAlignment="1">
      <alignment horizontal="justify" vertical="center" wrapText="1"/>
    </xf>
    <xf numFmtId="0" fontId="30" fillId="0" borderId="33" xfId="0" applyFont="1" applyBorder="1" applyAlignment="1">
      <alignment horizontal="justify" vertical="center" wrapText="1"/>
    </xf>
    <xf numFmtId="0" fontId="30" fillId="0" borderId="31" xfId="0" applyFont="1" applyBorder="1" applyAlignment="1">
      <alignment horizontal="justify" vertical="center" wrapText="1"/>
    </xf>
    <xf numFmtId="0" fontId="30" fillId="0" borderId="32" xfId="0" applyFont="1" applyBorder="1" applyAlignment="1">
      <alignment horizontal="justify" vertical="center" wrapText="1"/>
    </xf>
    <xf numFmtId="0" fontId="32" fillId="0" borderId="30" xfId="0" applyFont="1" applyBorder="1" applyAlignment="1">
      <alignment horizontal="justify" vertical="center" wrapText="1"/>
    </xf>
    <xf numFmtId="0" fontId="32" fillId="0" borderId="0" xfId="0" applyFont="1" applyAlignment="1">
      <alignment horizontal="right"/>
    </xf>
    <xf numFmtId="4" fontId="22" fillId="0" borderId="0" xfId="35" applyNumberFormat="1" applyFont="1" applyFill="1" applyBorder="1" applyAlignment="1">
      <alignment horizontal="center" vertical="center" wrapText="1"/>
    </xf>
    <xf numFmtId="1" fontId="23" fillId="0" borderId="5" xfId="0" applyNumberFormat="1" applyFont="1" applyBorder="1" applyAlignment="1">
      <alignment horizontal="center" vertical="center"/>
    </xf>
    <xf numFmtId="0" fontId="23" fillId="0" borderId="5" xfId="0" applyFont="1" applyBorder="1" applyAlignment="1">
      <alignment horizontal="center" vertical="center"/>
    </xf>
    <xf numFmtId="4" fontId="23" fillId="0" borderId="5" xfId="0" applyNumberFormat="1" applyFont="1" applyFill="1" applyBorder="1" applyAlignment="1">
      <alignment horizontal="center" vertical="center"/>
    </xf>
    <xf numFmtId="1" fontId="23" fillId="0" borderId="5" xfId="0" applyNumberFormat="1" applyFont="1" applyFill="1" applyBorder="1" applyAlignment="1">
      <alignment horizontal="center" vertical="center"/>
    </xf>
    <xf numFmtId="0" fontId="23" fillId="0" borderId="5" xfId="0" applyFont="1" applyFill="1" applyBorder="1" applyAlignment="1">
      <alignment horizontal="center" vertical="center"/>
    </xf>
    <xf numFmtId="4" fontId="23" fillId="0" borderId="10" xfId="35" applyNumberFormat="1" applyFont="1" applyFill="1" applyBorder="1" applyAlignment="1">
      <alignment horizontal="center" vertical="center" wrapText="1"/>
    </xf>
    <xf numFmtId="1" fontId="23" fillId="0" borderId="10" xfId="0" applyNumberFormat="1" applyFont="1" applyBorder="1" applyAlignment="1">
      <alignment horizontal="center" vertical="center"/>
    </xf>
    <xf numFmtId="0" fontId="23" fillId="0" borderId="10" xfId="0" applyFont="1" applyBorder="1" applyAlignment="1">
      <alignment horizontal="center" vertical="center"/>
    </xf>
    <xf numFmtId="0" fontId="23" fillId="0" borderId="10" xfId="35" applyFont="1" applyFill="1" applyBorder="1" applyAlignment="1">
      <alignment horizontal="center" vertical="center" wrapText="1"/>
    </xf>
    <xf numFmtId="0" fontId="26" fillId="6" borderId="11" xfId="35" applyFont="1" applyFill="1" applyBorder="1" applyAlignment="1">
      <alignment horizontal="center" vertical="center" wrapText="1"/>
    </xf>
    <xf numFmtId="4" fontId="26" fillId="6" borderId="11" xfId="35" applyNumberFormat="1" applyFont="1" applyFill="1" applyBorder="1" applyAlignment="1">
      <alignment horizontal="center" vertical="center" wrapText="1"/>
    </xf>
    <xf numFmtId="10" fontId="26" fillId="6" borderId="11" xfId="35" applyNumberFormat="1" applyFont="1" applyFill="1" applyBorder="1" applyAlignment="1">
      <alignment horizontal="center" vertical="center" wrapText="1"/>
    </xf>
    <xf numFmtId="0" fontId="35" fillId="8" borderId="37" xfId="0" applyFont="1" applyFill="1" applyBorder="1"/>
    <xf numFmtId="0" fontId="30" fillId="0" borderId="29" xfId="0" applyFont="1" applyFill="1" applyBorder="1"/>
    <xf numFmtId="0" fontId="30" fillId="0" borderId="27" xfId="0" applyFont="1" applyFill="1" applyBorder="1"/>
    <xf numFmtId="0" fontId="30" fillId="0" borderId="41" xfId="0" applyFont="1" applyFill="1" applyBorder="1"/>
    <xf numFmtId="0" fontId="35" fillId="8" borderId="13" xfId="0" applyFont="1" applyFill="1" applyBorder="1"/>
    <xf numFmtId="0" fontId="23" fillId="0" borderId="5" xfId="0" applyFont="1" applyBorder="1" applyAlignment="1">
      <alignment vertical="center" wrapText="1"/>
    </xf>
    <xf numFmtId="0" fontId="36" fillId="8" borderId="37" xfId="0" applyFont="1" applyFill="1" applyBorder="1"/>
    <xf numFmtId="0" fontId="30" fillId="0" borderId="29" xfId="0" applyFont="1" applyFill="1" applyBorder="1" applyAlignment="1">
      <alignment horizontal="right"/>
    </xf>
    <xf numFmtId="0" fontId="36" fillId="8" borderId="37" xfId="0" applyFont="1" applyFill="1" applyBorder="1" applyAlignment="1">
      <alignment horizontal="right"/>
    </xf>
    <xf numFmtId="0" fontId="35" fillId="8" borderId="37" xfId="0" applyFont="1" applyFill="1" applyBorder="1" applyAlignment="1">
      <alignment horizontal="right"/>
    </xf>
    <xf numFmtId="0" fontId="30" fillId="0" borderId="42" xfId="0" applyFont="1" applyFill="1" applyBorder="1"/>
    <xf numFmtId="0" fontId="30" fillId="0" borderId="23" xfId="0" applyFont="1" applyFill="1" applyBorder="1" applyAlignment="1">
      <alignment horizontal="center" vertical="center"/>
    </xf>
    <xf numFmtId="0" fontId="30" fillId="0" borderId="23" xfId="0" applyFont="1" applyBorder="1" applyAlignment="1">
      <alignment horizontal="center" vertical="center"/>
    </xf>
    <xf numFmtId="4" fontId="23" fillId="0" borderId="10" xfId="0" applyNumberFormat="1" applyFont="1" applyFill="1" applyBorder="1" applyAlignment="1">
      <alignment horizontal="center" vertical="center"/>
    </xf>
    <xf numFmtId="1" fontId="23" fillId="0" borderId="10" xfId="0" applyNumberFormat="1" applyFont="1" applyFill="1" applyBorder="1" applyAlignment="1">
      <alignment horizontal="center" vertical="center"/>
    </xf>
    <xf numFmtId="0" fontId="23" fillId="0" borderId="10" xfId="0" applyFont="1" applyFill="1" applyBorder="1" applyAlignment="1">
      <alignment horizontal="center" vertical="center"/>
    </xf>
    <xf numFmtId="0" fontId="30" fillId="0" borderId="27" xfId="0" applyFont="1" applyFill="1" applyBorder="1" applyAlignment="1">
      <alignment horizontal="right"/>
    </xf>
    <xf numFmtId="0" fontId="23" fillId="0" borderId="19" xfId="35" applyFont="1" applyFill="1" applyBorder="1" applyAlignment="1">
      <alignment horizontal="center" vertical="center" wrapText="1"/>
    </xf>
    <xf numFmtId="0" fontId="23" fillId="0" borderId="17" xfId="35" applyFont="1" applyFill="1" applyBorder="1" applyAlignment="1">
      <alignment horizontal="center" vertical="center" wrapText="1"/>
    </xf>
    <xf numFmtId="0" fontId="23" fillId="0" borderId="21" xfId="35" applyFont="1" applyFill="1" applyBorder="1" applyAlignment="1">
      <alignment horizontal="center" vertical="center" wrapText="1"/>
    </xf>
    <xf numFmtId="2" fontId="23" fillId="0" borderId="10" xfId="35" applyNumberFormat="1" applyFont="1" applyFill="1" applyBorder="1" applyAlignment="1">
      <alignment horizontal="center" vertical="center" wrapText="1"/>
    </xf>
    <xf numFmtId="0" fontId="23" fillId="0" borderId="20" xfId="35" applyFont="1" applyFill="1" applyBorder="1" applyAlignment="1">
      <alignment horizontal="center" vertical="center" wrapText="1"/>
    </xf>
    <xf numFmtId="179" fontId="23" fillId="0" borderId="15" xfId="35" applyNumberFormat="1" applyFont="1" applyFill="1" applyBorder="1" applyAlignment="1">
      <alignment horizontal="center" vertical="center"/>
    </xf>
    <xf numFmtId="0" fontId="23" fillId="0" borderId="5" xfId="35" applyNumberFormat="1" applyFont="1" applyFill="1" applyBorder="1" applyAlignment="1">
      <alignment horizontal="center" vertical="center"/>
    </xf>
    <xf numFmtId="0" fontId="23" fillId="0" borderId="5" xfId="35" applyFont="1" applyFill="1" applyBorder="1" applyAlignment="1">
      <alignment horizontal="center" vertical="center"/>
    </xf>
    <xf numFmtId="0" fontId="23" fillId="0" borderId="17" xfId="35" applyFont="1" applyFill="1" applyBorder="1" applyAlignment="1">
      <alignment horizontal="center" vertical="center"/>
    </xf>
    <xf numFmtId="0" fontId="34" fillId="0" borderId="5" xfId="35" applyFont="1" applyFill="1" applyBorder="1" applyAlignment="1">
      <alignment horizontal="center" vertical="center"/>
    </xf>
    <xf numFmtId="0" fontId="28" fillId="0" borderId="15" xfId="35" applyFont="1" applyFill="1" applyBorder="1" applyAlignment="1">
      <alignment horizontal="center" vertical="center" wrapText="1"/>
    </xf>
    <xf numFmtId="0" fontId="22" fillId="0" borderId="0" xfId="0" applyFont="1" applyAlignment="1">
      <alignment horizontal="right" vertical="center"/>
    </xf>
    <xf numFmtId="0" fontId="37" fillId="0" borderId="23" xfId="0" applyFont="1" applyFill="1" applyBorder="1" applyAlignment="1">
      <alignment horizontal="center" vertical="center"/>
    </xf>
    <xf numFmtId="0" fontId="37" fillId="0" borderId="5" xfId="0" applyFont="1" applyBorder="1" applyAlignment="1">
      <alignment vertical="center" wrapText="1"/>
    </xf>
    <xf numFmtId="0" fontId="37" fillId="0" borderId="5" xfId="35" applyFont="1" applyFill="1" applyBorder="1" applyAlignment="1">
      <alignment vertical="center" wrapText="1"/>
    </xf>
    <xf numFmtId="0" fontId="37" fillId="0" borderId="5" xfId="0" applyFont="1" applyBorder="1" applyAlignment="1">
      <alignment horizontal="center" vertical="center"/>
    </xf>
    <xf numFmtId="0" fontId="37" fillId="0" borderId="17" xfId="35" applyFont="1" applyFill="1" applyBorder="1" applyAlignment="1">
      <alignment horizontal="center" vertical="center" wrapText="1"/>
    </xf>
    <xf numFmtId="1" fontId="37" fillId="0" borderId="5" xfId="0" applyNumberFormat="1" applyFont="1" applyFill="1" applyBorder="1" applyAlignment="1">
      <alignment horizontal="center" vertical="center"/>
    </xf>
    <xf numFmtId="0" fontId="37" fillId="0" borderId="5" xfId="0" applyFont="1" applyFill="1" applyBorder="1" applyAlignment="1">
      <alignment horizontal="center" vertical="center"/>
    </xf>
    <xf numFmtId="0" fontId="38" fillId="0" borderId="18" xfId="0" applyFont="1" applyFill="1" applyBorder="1" applyAlignment="1">
      <alignment horizontal="center" vertical="center"/>
    </xf>
    <xf numFmtId="0" fontId="38" fillId="0" borderId="10" xfId="35" applyFont="1" applyFill="1" applyBorder="1" applyAlignment="1">
      <alignment horizontal="center" vertical="center" wrapText="1"/>
    </xf>
    <xf numFmtId="0" fontId="38" fillId="0" borderId="10" xfId="0" applyFont="1" applyBorder="1" applyAlignment="1">
      <alignment vertical="center" wrapText="1"/>
    </xf>
    <xf numFmtId="0" fontId="38" fillId="0" borderId="10" xfId="35" applyFont="1" applyFill="1" applyBorder="1" applyAlignment="1">
      <alignment vertical="center" wrapText="1"/>
    </xf>
    <xf numFmtId="4" fontId="38" fillId="0" borderId="10" xfId="0" applyNumberFormat="1" applyFont="1" applyFill="1" applyBorder="1" applyAlignment="1">
      <alignment horizontal="center" vertical="center"/>
    </xf>
    <xf numFmtId="1" fontId="38" fillId="0" borderId="10" xfId="0" applyNumberFormat="1" applyFont="1" applyBorder="1" applyAlignment="1">
      <alignment horizontal="center" vertical="center"/>
    </xf>
    <xf numFmtId="0" fontId="38" fillId="0" borderId="10" xfId="0" applyFont="1" applyBorder="1" applyAlignment="1">
      <alignment horizontal="center" vertical="center"/>
    </xf>
    <xf numFmtId="0" fontId="38" fillId="0" borderId="19" xfId="35" applyFont="1" applyFill="1" applyBorder="1" applyAlignment="1">
      <alignment horizontal="center" vertical="center" wrapText="1"/>
    </xf>
    <xf numFmtId="0" fontId="37" fillId="0" borderId="35" xfId="0" applyFont="1" applyFill="1" applyBorder="1" applyAlignment="1">
      <alignment horizontal="center" vertical="center"/>
    </xf>
    <xf numFmtId="0" fontId="34" fillId="0" borderId="0" xfId="0" applyFont="1"/>
    <xf numFmtId="0" fontId="38" fillId="0" borderId="5" xfId="35" applyFont="1" applyFill="1" applyBorder="1" applyAlignment="1">
      <alignment horizontal="center" vertical="center" wrapText="1"/>
    </xf>
    <xf numFmtId="0" fontId="38" fillId="0" borderId="5" xfId="35" applyFont="1" applyFill="1" applyBorder="1" applyAlignment="1">
      <alignment vertical="center" wrapText="1"/>
    </xf>
    <xf numFmtId="0" fontId="38" fillId="0" borderId="5" xfId="35" applyFont="1" applyFill="1" applyBorder="1" applyAlignment="1">
      <alignment horizontal="center" vertical="center"/>
    </xf>
    <xf numFmtId="2" fontId="38" fillId="0" borderId="23" xfId="0" applyNumberFormat="1" applyFont="1" applyFill="1" applyBorder="1" applyAlignment="1">
      <alignment horizontal="center" vertical="center"/>
    </xf>
    <xf numFmtId="0" fontId="38" fillId="0" borderId="23" xfId="0" applyFont="1" applyFill="1" applyBorder="1" applyAlignment="1">
      <alignment horizontal="center" vertical="center"/>
    </xf>
    <xf numFmtId="4" fontId="38" fillId="0" borderId="5" xfId="35" applyNumberFormat="1" applyFont="1" applyFill="1" applyBorder="1" applyAlignment="1">
      <alignment horizontal="center" vertical="center" wrapText="1"/>
    </xf>
    <xf numFmtId="1" fontId="38" fillId="0" borderId="5" xfId="0" applyNumberFormat="1" applyFont="1" applyFill="1" applyBorder="1" applyAlignment="1">
      <alignment horizontal="center" vertical="center"/>
    </xf>
    <xf numFmtId="178" fontId="38" fillId="0" borderId="5" xfId="0" applyNumberFormat="1" applyFont="1" applyFill="1" applyBorder="1" applyAlignment="1">
      <alignment horizontal="center" vertical="center"/>
    </xf>
    <xf numFmtId="0" fontId="38" fillId="0" borderId="17" xfId="35" applyFont="1" applyFill="1" applyBorder="1" applyAlignment="1">
      <alignment horizontal="center" vertical="center" wrapText="1"/>
    </xf>
    <xf numFmtId="4" fontId="37" fillId="0" borderId="5" xfId="35" applyNumberFormat="1" applyFont="1" applyFill="1" applyBorder="1" applyAlignment="1">
      <alignment horizontal="center" vertical="center" wrapText="1"/>
    </xf>
    <xf numFmtId="1" fontId="38" fillId="0" borderId="5" xfId="35" applyNumberFormat="1" applyFont="1" applyFill="1" applyBorder="1" applyAlignment="1">
      <alignment horizontal="center" vertical="center" wrapText="1"/>
    </xf>
    <xf numFmtId="4" fontId="34" fillId="0" borderId="5" xfId="35" applyNumberFormat="1" applyFont="1" applyFill="1" applyBorder="1" applyAlignment="1">
      <alignment horizontal="center" vertical="center" wrapText="1"/>
    </xf>
    <xf numFmtId="4" fontId="34" fillId="0" borderId="5" xfId="0" applyNumberFormat="1" applyFont="1" applyFill="1" applyBorder="1" applyAlignment="1">
      <alignment horizontal="center" vertical="center"/>
    </xf>
    <xf numFmtId="1" fontId="34" fillId="0" borderId="5" xfId="0" applyNumberFormat="1" applyFont="1" applyBorder="1" applyAlignment="1">
      <alignment horizontal="center" vertical="center"/>
    </xf>
    <xf numFmtId="0" fontId="23" fillId="0" borderId="5" xfId="35" applyFont="1" applyFill="1" applyBorder="1" applyAlignment="1">
      <alignment horizontal="left" vertical="center" wrapText="1"/>
    </xf>
    <xf numFmtId="0" fontId="34" fillId="0" borderId="23" xfId="0" applyFont="1" applyFill="1" applyBorder="1" applyAlignment="1">
      <alignment horizontal="center" vertical="center"/>
    </xf>
    <xf numFmtId="0" fontId="34" fillId="0" borderId="5" xfId="35" applyFont="1" applyFill="1" applyBorder="1" applyAlignment="1">
      <alignment vertical="center" wrapText="1"/>
    </xf>
    <xf numFmtId="0" fontId="34" fillId="0" borderId="5" xfId="0" applyFont="1" applyBorder="1" applyAlignment="1">
      <alignment horizontal="center" vertical="center"/>
    </xf>
    <xf numFmtId="0" fontId="34" fillId="0" borderId="17" xfId="35" applyFont="1" applyFill="1" applyBorder="1" applyAlignment="1">
      <alignment horizontal="center" vertical="center" wrapText="1"/>
    </xf>
    <xf numFmtId="4" fontId="38" fillId="0" borderId="5" xfId="0" applyNumberFormat="1" applyFont="1" applyFill="1" applyBorder="1" applyAlignment="1">
      <alignment horizontal="center" vertical="center"/>
    </xf>
    <xf numFmtId="1" fontId="38" fillId="0" borderId="5" xfId="0" applyNumberFormat="1" applyFont="1" applyBorder="1" applyAlignment="1">
      <alignment horizontal="center" vertical="center"/>
    </xf>
    <xf numFmtId="0" fontId="38" fillId="0" borderId="5" xfId="0" applyFont="1" applyBorder="1" applyAlignment="1">
      <alignment horizontal="center" vertical="center"/>
    </xf>
    <xf numFmtId="178" fontId="38" fillId="0" borderId="5" xfId="0" applyNumberFormat="1" applyFont="1" applyBorder="1" applyAlignment="1">
      <alignment horizontal="center" vertical="center"/>
    </xf>
    <xf numFmtId="1" fontId="34" fillId="0" borderId="5" xfId="35" applyNumberFormat="1" applyFont="1" applyFill="1" applyBorder="1" applyAlignment="1">
      <alignment horizontal="center" vertical="center" wrapText="1"/>
    </xf>
    <xf numFmtId="179" fontId="23" fillId="0" borderId="5" xfId="35" applyNumberFormat="1" applyFont="1" applyFill="1" applyBorder="1" applyAlignment="1">
      <alignment horizontal="center" vertical="center"/>
    </xf>
    <xf numFmtId="2" fontId="34" fillId="0" borderId="10" xfId="35" applyNumberFormat="1" applyFont="1" applyFill="1" applyBorder="1" applyAlignment="1">
      <alignment horizontal="center" vertical="center" wrapText="1"/>
    </xf>
    <xf numFmtId="4" fontId="34" fillId="0" borderId="10" xfId="0" applyNumberFormat="1" applyFont="1" applyFill="1" applyBorder="1" applyAlignment="1">
      <alignment horizontal="center" vertical="center"/>
    </xf>
    <xf numFmtId="0" fontId="23" fillId="0" borderId="23" xfId="0" applyFont="1" applyFill="1" applyBorder="1" applyAlignment="1">
      <alignment horizontal="center" vertical="center"/>
    </xf>
    <xf numFmtId="0" fontId="23" fillId="0" borderId="23" xfId="0" applyFont="1" applyBorder="1" applyAlignment="1">
      <alignment horizontal="center" vertical="center"/>
    </xf>
    <xf numFmtId="0" fontId="38" fillId="0" borderId="5" xfId="35" applyFont="1" applyFill="1" applyBorder="1" applyAlignment="1">
      <alignment horizontal="left" vertical="center" wrapText="1"/>
    </xf>
    <xf numFmtId="0" fontId="38" fillId="0" borderId="38" xfId="0" applyFont="1" applyFill="1" applyBorder="1" applyAlignment="1">
      <alignment horizontal="center" vertical="center"/>
    </xf>
    <xf numFmtId="0" fontId="38" fillId="0" borderId="3" xfId="0" applyFont="1" applyFill="1" applyBorder="1" applyAlignment="1">
      <alignment horizontal="center" vertical="center"/>
    </xf>
    <xf numFmtId="0" fontId="34" fillId="0" borderId="38" xfId="0" applyFont="1" applyFill="1" applyBorder="1" applyAlignment="1">
      <alignment horizontal="center" vertical="center"/>
    </xf>
    <xf numFmtId="0" fontId="34" fillId="0" borderId="18" xfId="0" applyFont="1" applyFill="1" applyBorder="1" applyAlignment="1">
      <alignment horizontal="center" vertical="center"/>
    </xf>
    <xf numFmtId="0" fontId="34" fillId="7" borderId="10" xfId="35" applyFont="1" applyFill="1" applyBorder="1" applyAlignment="1">
      <alignment horizontal="center" vertical="center" wrapText="1"/>
    </xf>
    <xf numFmtId="0" fontId="28" fillId="0" borderId="10" xfId="35" applyFont="1" applyFill="1" applyBorder="1" applyAlignment="1">
      <alignment horizontal="center" vertical="center" wrapText="1"/>
    </xf>
    <xf numFmtId="0" fontId="23" fillId="0" borderId="5" xfId="35" applyNumberFormat="1" applyFont="1" applyFill="1" applyBorder="1" applyAlignment="1">
      <alignment horizontal="center" vertical="center" wrapText="1"/>
    </xf>
    <xf numFmtId="0" fontId="30" fillId="0" borderId="5" xfId="0" applyFont="1" applyFill="1" applyBorder="1" applyAlignment="1">
      <alignment horizontal="center" vertical="center"/>
    </xf>
    <xf numFmtId="0" fontId="38" fillId="0" borderId="5" xfId="0" applyFont="1" applyFill="1" applyBorder="1" applyAlignment="1">
      <alignment horizontal="center" vertical="center"/>
    </xf>
    <xf numFmtId="0" fontId="30" fillId="0" borderId="0" xfId="0" applyFont="1" applyBorder="1"/>
    <xf numFmtId="0" fontId="23" fillId="0" borderId="10" xfId="35" applyFont="1" applyFill="1" applyBorder="1" applyAlignment="1">
      <alignment horizontal="left" vertical="center" wrapText="1"/>
    </xf>
    <xf numFmtId="0" fontId="23" fillId="0" borderId="15" xfId="35" applyFont="1" applyFill="1" applyBorder="1" applyAlignment="1">
      <alignment horizontal="left" vertical="center" wrapText="1"/>
    </xf>
    <xf numFmtId="0" fontId="38" fillId="0" borderId="23" xfId="0" applyFont="1" applyBorder="1" applyAlignment="1">
      <alignment horizontal="center" vertical="center"/>
    </xf>
    <xf numFmtId="0" fontId="38" fillId="0" borderId="10" xfId="0" applyFont="1" applyFill="1" applyBorder="1" applyAlignment="1">
      <alignment vertical="center" wrapText="1"/>
    </xf>
    <xf numFmtId="4" fontId="37" fillId="0" borderId="5" xfId="0" applyNumberFormat="1" applyFont="1" applyFill="1" applyBorder="1" applyAlignment="1">
      <alignment horizontal="center" vertical="center"/>
    </xf>
    <xf numFmtId="0" fontId="38" fillId="0" borderId="5" xfId="0" applyFont="1" applyBorder="1" applyAlignment="1">
      <alignment vertical="center" wrapText="1"/>
    </xf>
    <xf numFmtId="0" fontId="23" fillId="0" borderId="11" xfId="35" applyFont="1" applyFill="1" applyBorder="1" applyAlignment="1">
      <alignment horizontal="left" vertical="center" wrapText="1"/>
    </xf>
    <xf numFmtId="0" fontId="23" fillId="0" borderId="10" xfId="35" applyFont="1" applyFill="1" applyBorder="1" applyAlignment="1">
      <alignment horizontal="center" vertical="center"/>
    </xf>
    <xf numFmtId="0" fontId="23" fillId="0" borderId="5" xfId="35" applyFont="1" applyFill="1" applyBorder="1" applyAlignment="1">
      <alignment horizontal="right" vertical="center"/>
    </xf>
    <xf numFmtId="0" fontId="38" fillId="0" borderId="5" xfId="35" applyFont="1" applyFill="1" applyBorder="1" applyAlignment="1">
      <alignment horizontal="right" vertical="center"/>
    </xf>
    <xf numFmtId="2" fontId="38" fillId="0" borderId="5" xfId="35" applyNumberFormat="1" applyFont="1" applyFill="1" applyBorder="1" applyAlignment="1">
      <alignment horizontal="center" vertical="center"/>
    </xf>
    <xf numFmtId="179" fontId="38" fillId="0" borderId="5" xfId="35" applyNumberFormat="1" applyFont="1" applyFill="1" applyBorder="1" applyAlignment="1">
      <alignment horizontal="center" vertical="center"/>
    </xf>
    <xf numFmtId="0" fontId="38" fillId="0" borderId="17" xfId="35" applyFont="1" applyFill="1" applyBorder="1" applyAlignment="1">
      <alignment horizontal="center" vertical="center"/>
    </xf>
    <xf numFmtId="2" fontId="34" fillId="0" borderId="5" xfId="35" applyNumberFormat="1" applyFont="1" applyFill="1" applyBorder="1" applyAlignment="1">
      <alignment horizontal="center" vertical="center"/>
    </xf>
    <xf numFmtId="0" fontId="23" fillId="0" borderId="18" xfId="0" applyFont="1" applyFill="1" applyBorder="1" applyAlignment="1">
      <alignment horizontal="center" vertical="center"/>
    </xf>
    <xf numFmtId="2" fontId="23" fillId="0" borderId="23" xfId="0" applyNumberFormat="1" applyFont="1" applyFill="1" applyBorder="1" applyAlignment="1">
      <alignment horizontal="center" vertical="center"/>
    </xf>
    <xf numFmtId="17" fontId="23" fillId="0" borderId="5" xfId="35" applyNumberFormat="1" applyFont="1" applyFill="1" applyBorder="1" applyAlignment="1">
      <alignment horizontal="center" vertical="center"/>
    </xf>
    <xf numFmtId="0" fontId="22" fillId="0" borderId="0" xfId="15" applyFont="1" applyFill="1" applyAlignment="1">
      <alignment horizontal="left" vertical="center"/>
    </xf>
    <xf numFmtId="0" fontId="30" fillId="0" borderId="18" xfId="0" applyFont="1" applyFill="1" applyBorder="1" applyAlignment="1">
      <alignment horizontal="center" vertical="center"/>
    </xf>
    <xf numFmtId="0" fontId="34" fillId="0" borderId="10" xfId="35" applyFont="1" applyFill="1" applyBorder="1" applyAlignment="1">
      <alignment horizontal="center" vertical="center" wrapText="1"/>
    </xf>
    <xf numFmtId="0" fontId="34" fillId="0" borderId="19" xfId="35" applyFont="1" applyFill="1" applyBorder="1" applyAlignment="1">
      <alignment horizontal="center" vertical="center" wrapText="1"/>
    </xf>
    <xf numFmtId="0" fontId="30" fillId="0" borderId="24" xfId="0" applyFont="1" applyFill="1" applyBorder="1" applyAlignment="1">
      <alignment horizontal="center" vertical="center"/>
    </xf>
    <xf numFmtId="0" fontId="29" fillId="0" borderId="0" xfId="0" applyFont="1" applyAlignment="1">
      <alignment horizontal="center" vertical="center"/>
    </xf>
    <xf numFmtId="0" fontId="38" fillId="0" borderId="41" xfId="0" applyFont="1" applyFill="1" applyBorder="1" applyAlignment="1">
      <alignment horizontal="center" vertical="center"/>
    </xf>
    <xf numFmtId="0" fontId="38" fillId="0" borderId="43" xfId="35" applyFont="1" applyFill="1" applyBorder="1" applyAlignment="1">
      <alignment horizontal="center" vertical="center" wrapText="1"/>
    </xf>
    <xf numFmtId="0" fontId="38" fillId="0" borderId="43" xfId="35" applyFont="1" applyFill="1" applyBorder="1" applyAlignment="1">
      <alignment vertical="center" wrapText="1"/>
    </xf>
    <xf numFmtId="0" fontId="38" fillId="0" borderId="5" xfId="35" applyNumberFormat="1" applyFont="1" applyFill="1" applyBorder="1" applyAlignment="1">
      <alignment horizontal="center" vertical="center" wrapText="1"/>
    </xf>
    <xf numFmtId="0" fontId="38" fillId="0" borderId="44" xfId="35" applyFont="1" applyFill="1" applyBorder="1" applyAlignment="1">
      <alignment horizontal="center" vertical="center" wrapText="1"/>
    </xf>
    <xf numFmtId="0" fontId="38" fillId="0" borderId="0" xfId="35" applyFont="1"/>
    <xf numFmtId="0" fontId="38" fillId="0" borderId="0" xfId="0" applyFont="1"/>
    <xf numFmtId="17" fontId="38" fillId="0" borderId="5" xfId="35" applyNumberFormat="1" applyFont="1" applyFill="1" applyBorder="1" applyAlignment="1">
      <alignment horizontal="center" vertical="center" wrapText="1"/>
    </xf>
    <xf numFmtId="4" fontId="38" fillId="0" borderId="11" xfId="0" applyNumberFormat="1" applyFont="1" applyFill="1" applyBorder="1" applyAlignment="1">
      <alignment horizontal="center" vertical="center"/>
    </xf>
    <xf numFmtId="1" fontId="38" fillId="0" borderId="43" xfId="0" applyNumberFormat="1" applyFont="1" applyBorder="1" applyAlignment="1">
      <alignment horizontal="center" vertical="center"/>
    </xf>
    <xf numFmtId="0" fontId="38" fillId="0" borderId="43" xfId="35" applyNumberFormat="1" applyFont="1" applyFill="1" applyBorder="1" applyAlignment="1">
      <alignment horizontal="center" vertical="center" wrapText="1"/>
    </xf>
    <xf numFmtId="178" fontId="38" fillId="0" borderId="43" xfId="0" applyNumberFormat="1" applyFont="1" applyBorder="1" applyAlignment="1">
      <alignment horizontal="center" vertical="center"/>
    </xf>
    <xf numFmtId="17" fontId="38" fillId="0" borderId="43" xfId="35" applyNumberFormat="1" applyFont="1" applyFill="1" applyBorder="1" applyAlignment="1">
      <alignment horizontal="center" vertical="center" wrapText="1"/>
    </xf>
    <xf numFmtId="4" fontId="22" fillId="7" borderId="0" xfId="35" applyNumberFormat="1" applyFont="1" applyFill="1" applyBorder="1" applyAlignment="1">
      <alignment horizontal="center" vertical="center" wrapText="1"/>
    </xf>
    <xf numFmtId="0" fontId="37" fillId="0" borderId="5" xfId="35" applyFont="1" applyFill="1" applyBorder="1" applyAlignment="1">
      <alignment horizontal="center" vertical="center" wrapText="1"/>
    </xf>
    <xf numFmtId="0" fontId="34" fillId="0" borderId="10" xfId="35" applyFont="1" applyFill="1" applyBorder="1" applyAlignment="1">
      <alignment horizontal="center" vertical="center" wrapText="1"/>
    </xf>
    <xf numFmtId="2" fontId="38" fillId="0" borderId="5" xfId="0" applyNumberFormat="1" applyFont="1" applyFill="1" applyBorder="1" applyAlignment="1">
      <alignment horizontal="center" vertical="center"/>
    </xf>
    <xf numFmtId="0" fontId="37" fillId="0" borderId="5" xfId="0" applyFont="1" applyFill="1" applyBorder="1" applyAlignment="1">
      <alignment horizontal="center" vertical="center" wrapText="1"/>
    </xf>
    <xf numFmtId="0" fontId="38" fillId="0" borderId="5" xfId="0" applyFont="1" applyFill="1" applyBorder="1" applyAlignment="1">
      <alignment horizontal="center" vertical="center" wrapText="1"/>
    </xf>
    <xf numFmtId="0" fontId="30" fillId="0" borderId="29" xfId="0" applyFont="1" applyBorder="1" applyAlignment="1">
      <alignment horizontal="justify" vertical="center" wrapText="1"/>
    </xf>
    <xf numFmtId="0" fontId="34" fillId="0" borderId="10" xfId="0" applyFont="1" applyFill="1" applyBorder="1" applyAlignment="1">
      <alignment vertical="center" wrapText="1"/>
    </xf>
    <xf numFmtId="0" fontId="38" fillId="0" borderId="11" xfId="35" applyFont="1" applyFill="1" applyBorder="1" applyAlignment="1">
      <alignment horizontal="center" vertical="center" wrapText="1"/>
    </xf>
    <xf numFmtId="4" fontId="26" fillId="6" borderId="15" xfId="35" applyNumberFormat="1" applyFont="1" applyFill="1" applyBorder="1" applyAlignment="1">
      <alignment horizontal="center" vertical="center" wrapText="1"/>
    </xf>
    <xf numFmtId="10" fontId="26" fillId="6" borderId="15" xfId="35" applyNumberFormat="1" applyFont="1" applyFill="1" applyBorder="1" applyAlignment="1">
      <alignment horizontal="center" vertical="center" wrapText="1"/>
    </xf>
    <xf numFmtId="0" fontId="38" fillId="0" borderId="21" xfId="35" applyFont="1" applyFill="1" applyBorder="1" applyAlignment="1">
      <alignment horizontal="center" vertical="center" wrapText="1"/>
    </xf>
    <xf numFmtId="0" fontId="38" fillId="0" borderId="35" xfId="0" applyFont="1" applyBorder="1" applyAlignment="1">
      <alignment horizontal="center" vertical="center"/>
    </xf>
    <xf numFmtId="0" fontId="38" fillId="0" borderId="11" xfId="35" applyFont="1" applyFill="1" applyBorder="1" applyAlignment="1">
      <alignment vertical="center" wrapText="1"/>
    </xf>
    <xf numFmtId="4" fontId="38" fillId="0" borderId="11" xfId="35" applyNumberFormat="1" applyFont="1" applyFill="1" applyBorder="1" applyAlignment="1">
      <alignment horizontal="center" vertical="center" wrapText="1"/>
    </xf>
    <xf numFmtId="1" fontId="38" fillId="0" borderId="11" xfId="0" applyNumberFormat="1" applyFont="1" applyFill="1" applyBorder="1" applyAlignment="1">
      <alignment horizontal="center" vertical="center"/>
    </xf>
    <xf numFmtId="0" fontId="30" fillId="0" borderId="37" xfId="0" applyFont="1" applyFill="1" applyBorder="1" applyAlignment="1">
      <alignment horizontal="justify" vertical="center" wrapText="1"/>
    </xf>
    <xf numFmtId="0" fontId="30" fillId="0" borderId="30" xfId="0" applyFont="1" applyFill="1" applyBorder="1" applyAlignment="1">
      <alignment horizontal="justify" vertical="center" wrapText="1"/>
    </xf>
    <xf numFmtId="2" fontId="30" fillId="0" borderId="0" xfId="0" applyNumberFormat="1" applyFont="1"/>
    <xf numFmtId="0" fontId="38" fillId="0" borderId="10" xfId="35" applyFont="1" applyFill="1" applyBorder="1" applyAlignment="1">
      <alignment horizontal="right" vertical="center"/>
    </xf>
    <xf numFmtId="0" fontId="38" fillId="0" borderId="10" xfId="35" applyFont="1" applyFill="1" applyBorder="1" applyAlignment="1">
      <alignment horizontal="center" vertical="center"/>
    </xf>
    <xf numFmtId="0" fontId="38" fillId="0" borderId="10" xfId="0" applyFont="1" applyFill="1" applyBorder="1" applyAlignment="1">
      <alignment horizontal="center" vertical="center"/>
    </xf>
    <xf numFmtId="0" fontId="34" fillId="0" borderId="10" xfId="35" applyFont="1" applyFill="1" applyBorder="1" applyAlignment="1">
      <alignment horizontal="center" vertical="center" wrapText="1"/>
    </xf>
    <xf numFmtId="0" fontId="37" fillId="0" borderId="5" xfId="35" applyFont="1" applyFill="1" applyBorder="1" applyAlignment="1">
      <alignment horizontal="center" vertical="center" wrapText="1"/>
    </xf>
    <xf numFmtId="0" fontId="34" fillId="0" borderId="5" xfId="0" applyFont="1" applyBorder="1" applyAlignment="1">
      <alignment vertical="center" wrapText="1"/>
    </xf>
    <xf numFmtId="0" fontId="38" fillId="0" borderId="5" xfId="35" applyFont="1" applyFill="1" applyBorder="1" applyAlignment="1">
      <alignment horizontal="center" vertical="center" wrapText="1"/>
    </xf>
    <xf numFmtId="0" fontId="34" fillId="0" borderId="19" xfId="35" applyFont="1" applyFill="1" applyBorder="1" applyAlignment="1">
      <alignment horizontal="center" vertical="center" wrapText="1"/>
    </xf>
    <xf numFmtId="0" fontId="38" fillId="0" borderId="5" xfId="35" applyFont="1" applyFill="1" applyBorder="1" applyAlignment="1">
      <alignment horizontal="center" vertical="center" wrapText="1"/>
    </xf>
    <xf numFmtId="1" fontId="38" fillId="0" borderId="10" xfId="0" applyNumberFormat="1" applyFont="1" applyFill="1" applyBorder="1" applyAlignment="1">
      <alignment horizontal="center" vertical="center"/>
    </xf>
    <xf numFmtId="0" fontId="38" fillId="0" borderId="11" xfId="0" applyFont="1" applyBorder="1" applyAlignment="1">
      <alignment vertical="center" wrapText="1"/>
    </xf>
    <xf numFmtId="0" fontId="38" fillId="0" borderId="11" xfId="0" applyFont="1" applyBorder="1" applyAlignment="1">
      <alignment horizontal="center" vertical="center"/>
    </xf>
    <xf numFmtId="17" fontId="23" fillId="0" borderId="14" xfId="35" applyNumberFormat="1" applyFont="1" applyFill="1" applyBorder="1" applyAlignment="1">
      <alignment horizontal="center" vertical="center" wrapText="1"/>
    </xf>
    <xf numFmtId="0" fontId="23" fillId="0" borderId="0" xfId="0" applyFont="1"/>
    <xf numFmtId="0" fontId="30" fillId="0" borderId="18" xfId="0" applyFont="1" applyFill="1" applyBorder="1" applyAlignment="1">
      <alignment horizontal="center" vertical="center"/>
    </xf>
    <xf numFmtId="0" fontId="37" fillId="0" borderId="5" xfId="35" applyFont="1" applyFill="1" applyBorder="1" applyAlignment="1">
      <alignment horizontal="center" vertical="center" wrapText="1"/>
    </xf>
    <xf numFmtId="0" fontId="38" fillId="0" borderId="5" xfId="35" applyFont="1" applyFill="1" applyBorder="1" applyAlignment="1">
      <alignment horizontal="center" vertical="center" wrapText="1"/>
    </xf>
    <xf numFmtId="0" fontId="34" fillId="0" borderId="20" xfId="35" applyFont="1" applyFill="1" applyBorder="1" applyAlignment="1">
      <alignment horizontal="center" vertical="center" wrapText="1"/>
    </xf>
    <xf numFmtId="0" fontId="23" fillId="0" borderId="24" xfId="0" applyFont="1" applyFill="1" applyBorder="1" applyAlignment="1">
      <alignment horizontal="center" vertical="center"/>
    </xf>
    <xf numFmtId="2" fontId="38" fillId="0" borderId="10" xfId="35" applyNumberFormat="1" applyFont="1" applyFill="1" applyBorder="1" applyAlignment="1">
      <alignment horizontal="center" vertical="center"/>
    </xf>
    <xf numFmtId="179" fontId="38" fillId="0" borderId="10" xfId="35" applyNumberFormat="1" applyFont="1" applyFill="1" applyBorder="1" applyAlignment="1">
      <alignment horizontal="center" vertical="center"/>
    </xf>
    <xf numFmtId="2" fontId="38" fillId="0" borderId="18" xfId="0" applyNumberFormat="1" applyFont="1" applyFill="1" applyBorder="1" applyAlignment="1">
      <alignment horizontal="center" vertical="center"/>
    </xf>
    <xf numFmtId="2" fontId="23" fillId="0" borderId="10" xfId="35" applyNumberFormat="1" applyFont="1" applyFill="1" applyBorder="1" applyAlignment="1">
      <alignment horizontal="center" vertical="center"/>
    </xf>
    <xf numFmtId="179" fontId="23" fillId="0" borderId="10" xfId="35" applyNumberFormat="1" applyFont="1" applyFill="1" applyBorder="1" applyAlignment="1">
      <alignment horizontal="center" vertical="center"/>
    </xf>
    <xf numFmtId="0" fontId="23" fillId="0" borderId="34" xfId="35" applyFont="1" applyFill="1" applyBorder="1" applyAlignment="1">
      <alignment horizontal="right" vertical="center"/>
    </xf>
    <xf numFmtId="0" fontId="34" fillId="0" borderId="38" xfId="35" applyFont="1" applyFill="1" applyBorder="1" applyAlignment="1">
      <alignment horizontal="center" vertical="center"/>
    </xf>
    <xf numFmtId="0" fontId="38" fillId="0" borderId="18" xfId="0" applyFont="1" applyBorder="1" applyAlignment="1">
      <alignment horizontal="center" vertical="center"/>
    </xf>
    <xf numFmtId="2" fontId="34" fillId="0" borderId="10" xfId="35" applyNumberFormat="1" applyFont="1" applyFill="1" applyBorder="1" applyAlignment="1">
      <alignment horizontal="center" vertical="center"/>
    </xf>
    <xf numFmtId="0" fontId="38" fillId="0" borderId="19" xfId="35" applyFont="1" applyFill="1" applyBorder="1" applyAlignment="1">
      <alignment horizontal="center" vertical="center"/>
    </xf>
    <xf numFmtId="2" fontId="23" fillId="0" borderId="35" xfId="0" applyNumberFormat="1" applyFont="1" applyFill="1" applyBorder="1" applyAlignment="1">
      <alignment horizontal="center" vertical="center"/>
    </xf>
    <xf numFmtId="2" fontId="34" fillId="0" borderId="5" xfId="0" applyNumberFormat="1" applyFont="1" applyFill="1" applyBorder="1" applyAlignment="1">
      <alignment horizontal="center" vertical="center"/>
    </xf>
    <xf numFmtId="2" fontId="37" fillId="0" borderId="5" xfId="0" applyNumberFormat="1" applyFont="1" applyFill="1" applyBorder="1" applyAlignment="1">
      <alignment horizontal="center" vertical="center"/>
    </xf>
    <xf numFmtId="2" fontId="23" fillId="0" borderId="11" xfId="35" applyNumberFormat="1" applyFont="1" applyFill="1" applyBorder="1" applyAlignment="1">
      <alignment horizontal="center" vertical="center" wrapText="1"/>
    </xf>
    <xf numFmtId="179" fontId="23" fillId="0" borderId="11" xfId="35" applyNumberFormat="1" applyFont="1" applyFill="1" applyBorder="1" applyAlignment="1">
      <alignment horizontal="center" vertical="center"/>
    </xf>
    <xf numFmtId="0" fontId="23" fillId="0" borderId="11" xfId="35" applyNumberFormat="1" applyFont="1" applyFill="1" applyBorder="1" applyAlignment="1">
      <alignment horizontal="center" vertical="center"/>
    </xf>
    <xf numFmtId="0" fontId="28" fillId="0" borderId="11" xfId="35" applyFont="1" applyFill="1" applyBorder="1" applyAlignment="1">
      <alignment horizontal="center" vertical="center" wrapText="1"/>
    </xf>
    <xf numFmtId="179" fontId="38" fillId="0" borderId="18" xfId="0" applyNumberFormat="1" applyFont="1" applyFill="1" applyBorder="1" applyAlignment="1">
      <alignment horizontal="center" vertical="center"/>
    </xf>
    <xf numFmtId="0" fontId="17" fillId="0" borderId="0" xfId="0" applyFont="1" applyAlignment="1">
      <alignment horizontal="right"/>
    </xf>
    <xf numFmtId="0" fontId="30" fillId="0" borderId="33" xfId="0" applyFont="1" applyFill="1" applyBorder="1" applyAlignment="1">
      <alignment horizontal="justify" vertical="center" wrapText="1"/>
    </xf>
    <xf numFmtId="0" fontId="30" fillId="0" borderId="13" xfId="0" applyFont="1" applyFill="1" applyBorder="1" applyAlignment="1">
      <alignment horizontal="justify" vertical="center" wrapText="1"/>
    </xf>
    <xf numFmtId="0" fontId="30" fillId="0" borderId="27" xfId="0" applyFont="1" applyFill="1" applyBorder="1" applyAlignment="1">
      <alignment horizontal="justify" vertical="center" wrapText="1"/>
    </xf>
    <xf numFmtId="0" fontId="30" fillId="0" borderId="31" xfId="0" applyFont="1" applyFill="1" applyBorder="1" applyAlignment="1">
      <alignment horizontal="justify" vertical="center" wrapText="1"/>
    </xf>
    <xf numFmtId="0" fontId="23" fillId="0" borderId="15" xfId="35" applyFont="1" applyFill="1" applyBorder="1" applyAlignment="1">
      <alignment horizontal="center" vertical="center" wrapText="1"/>
    </xf>
    <xf numFmtId="0" fontId="23" fillId="0" borderId="10" xfId="35" applyFont="1" applyFill="1" applyBorder="1" applyAlignment="1">
      <alignment horizontal="center" vertical="center" wrapText="1"/>
    </xf>
    <xf numFmtId="0" fontId="23" fillId="0" borderId="5" xfId="35" applyFont="1" applyFill="1" applyBorder="1" applyAlignment="1">
      <alignment horizontal="center" vertical="center" wrapText="1"/>
    </xf>
    <xf numFmtId="0" fontId="26" fillId="6" borderId="11" xfId="35" applyFont="1" applyFill="1" applyBorder="1" applyAlignment="1">
      <alignment horizontal="center" vertical="center" wrapText="1"/>
    </xf>
    <xf numFmtId="10" fontId="26" fillId="6" borderId="11" xfId="35" applyNumberFormat="1" applyFont="1" applyFill="1" applyBorder="1" applyAlignment="1">
      <alignment horizontal="center" vertical="center" wrapText="1"/>
    </xf>
    <xf numFmtId="0" fontId="30" fillId="0" borderId="24" xfId="0" applyFont="1" applyFill="1" applyBorder="1" applyAlignment="1">
      <alignment horizontal="center" vertical="center"/>
    </xf>
    <xf numFmtId="0" fontId="30" fillId="0" borderId="18" xfId="0" applyFont="1" applyFill="1" applyBorder="1" applyAlignment="1">
      <alignment horizontal="center" vertical="center"/>
    </xf>
    <xf numFmtId="0" fontId="34" fillId="0" borderId="20" xfId="35" applyFont="1" applyFill="1" applyBorder="1" applyAlignment="1">
      <alignment horizontal="center" vertical="center" wrapText="1"/>
    </xf>
    <xf numFmtId="0" fontId="34" fillId="0" borderId="19" xfId="35" applyFont="1" applyFill="1" applyBorder="1" applyAlignment="1">
      <alignment horizontal="center" vertical="center" wrapText="1"/>
    </xf>
    <xf numFmtId="2" fontId="34" fillId="0" borderId="10" xfId="35" applyNumberFormat="1" applyFont="1" applyFill="1" applyBorder="1" applyAlignment="1">
      <alignment horizontal="center" vertical="center" wrapText="1"/>
    </xf>
    <xf numFmtId="0" fontId="38" fillId="0" borderId="5" xfId="35" applyFont="1" applyFill="1" applyBorder="1" applyAlignment="1">
      <alignment horizontal="center" vertical="center" wrapText="1"/>
    </xf>
    <xf numFmtId="0" fontId="22" fillId="0" borderId="0" xfId="35" applyFont="1" applyFill="1" applyBorder="1" applyAlignment="1">
      <alignment horizontal="left" vertical="center" wrapText="1"/>
    </xf>
    <xf numFmtId="0" fontId="23" fillId="0" borderId="19" xfId="35" applyFont="1" applyFill="1" applyBorder="1" applyAlignment="1">
      <alignment horizontal="center" vertical="center" wrapText="1"/>
    </xf>
    <xf numFmtId="0" fontId="23" fillId="0" borderId="20" xfId="35" applyFont="1" applyFill="1" applyBorder="1" applyAlignment="1">
      <alignment horizontal="center" vertical="center" wrapText="1"/>
    </xf>
    <xf numFmtId="0" fontId="23" fillId="0" borderId="10" xfId="0" applyFont="1" applyBorder="1" applyAlignment="1">
      <alignment horizontal="center" vertical="center"/>
    </xf>
    <xf numFmtId="1" fontId="23" fillId="0" borderId="10" xfId="0" applyNumberFormat="1" applyFont="1" applyBorder="1" applyAlignment="1">
      <alignment horizontal="center" vertical="center"/>
    </xf>
    <xf numFmtId="0" fontId="30" fillId="0" borderId="61" xfId="0" applyFont="1" applyFill="1" applyBorder="1" applyAlignment="1">
      <alignment horizontal="justify" vertical="center" wrapText="1"/>
    </xf>
    <xf numFmtId="0" fontId="30" fillId="0" borderId="62" xfId="0" applyFont="1" applyFill="1" applyBorder="1" applyAlignment="1">
      <alignment horizontal="justify" vertical="center" wrapText="1"/>
    </xf>
    <xf numFmtId="0" fontId="40" fillId="0" borderId="0" xfId="0" applyFont="1" applyFill="1" applyAlignment="1">
      <alignment horizontal="left"/>
    </xf>
    <xf numFmtId="0" fontId="30" fillId="0" borderId="30" xfId="0" applyFont="1" applyBorder="1" applyAlignment="1">
      <alignment horizontal="justify" vertical="center" wrapText="1"/>
    </xf>
    <xf numFmtId="0" fontId="30" fillId="0" borderId="30" xfId="0" applyFont="1" applyFill="1" applyBorder="1" applyAlignment="1">
      <alignment horizontal="justify" vertical="center" wrapText="1"/>
    </xf>
    <xf numFmtId="0" fontId="32" fillId="0" borderId="0" xfId="0" applyFont="1"/>
    <xf numFmtId="0" fontId="30" fillId="0" borderId="0" xfId="0" applyFont="1"/>
    <xf numFmtId="4" fontId="30" fillId="0" borderId="0" xfId="0" applyNumberFormat="1" applyFont="1"/>
    <xf numFmtId="10" fontId="30" fillId="0" borderId="0" xfId="0" applyNumberFormat="1" applyFont="1"/>
    <xf numFmtId="0" fontId="23" fillId="0" borderId="5" xfId="35" applyFont="1" applyFill="1" applyBorder="1" applyAlignment="1">
      <alignment horizontal="center" vertical="center" wrapText="1"/>
    </xf>
    <xf numFmtId="0" fontId="23" fillId="0" borderId="0" xfId="35" applyFont="1" applyFill="1" applyBorder="1" applyAlignment="1">
      <alignment vertical="center" wrapText="1"/>
    </xf>
    <xf numFmtId="10" fontId="23" fillId="0" borderId="0" xfId="35" applyNumberFormat="1" applyFont="1" applyFill="1" applyBorder="1" applyAlignment="1">
      <alignment vertical="center" wrapText="1"/>
    </xf>
    <xf numFmtId="4" fontId="22" fillId="0" borderId="0" xfId="35" applyNumberFormat="1" applyFont="1" applyFill="1" applyBorder="1" applyAlignment="1">
      <alignment horizontal="center" vertical="center" wrapText="1"/>
    </xf>
    <xf numFmtId="1" fontId="23" fillId="0" borderId="5" xfId="0" applyNumberFormat="1" applyFont="1" applyBorder="1" applyAlignment="1">
      <alignment horizontal="center" vertical="center"/>
    </xf>
    <xf numFmtId="4" fontId="23" fillId="0" borderId="5" xfId="0" applyNumberFormat="1" applyFont="1" applyFill="1" applyBorder="1" applyAlignment="1">
      <alignment horizontal="center" vertical="center"/>
    </xf>
    <xf numFmtId="0" fontId="23" fillId="0" borderId="17" xfId="35" applyFont="1" applyFill="1" applyBorder="1" applyAlignment="1">
      <alignment horizontal="center" vertical="center" wrapText="1"/>
    </xf>
    <xf numFmtId="0" fontId="23" fillId="0" borderId="5" xfId="35" applyNumberFormat="1" applyFont="1" applyFill="1" applyBorder="1" applyAlignment="1">
      <alignment horizontal="center" vertical="center" wrapText="1"/>
    </xf>
    <xf numFmtId="4" fontId="38" fillId="0" borderId="11" xfId="0" applyNumberFormat="1" applyFont="1" applyFill="1" applyBorder="1" applyAlignment="1">
      <alignment horizontal="center" vertical="center"/>
    </xf>
    <xf numFmtId="0" fontId="38" fillId="0" borderId="11" xfId="35" applyFont="1" applyFill="1" applyBorder="1" applyAlignment="1">
      <alignment horizontal="center" vertical="center" wrapText="1"/>
    </xf>
    <xf numFmtId="0" fontId="38" fillId="0" borderId="21" xfId="35" applyFont="1" applyFill="1" applyBorder="1" applyAlignment="1">
      <alignment horizontal="center" vertical="center" wrapText="1"/>
    </xf>
    <xf numFmtId="1" fontId="38" fillId="0" borderId="11" xfId="0" applyNumberFormat="1" applyFont="1" applyFill="1" applyBorder="1" applyAlignment="1">
      <alignment horizontal="center" vertical="center"/>
    </xf>
    <xf numFmtId="0" fontId="38" fillId="0" borderId="11" xfId="0" applyFont="1" applyBorder="1" applyAlignment="1">
      <alignment horizontal="center" vertical="center"/>
    </xf>
    <xf numFmtId="0" fontId="40" fillId="0" borderId="0" xfId="0" applyFont="1" applyFill="1" applyAlignment="1">
      <alignment horizontal="left"/>
    </xf>
    <xf numFmtId="0" fontId="30" fillId="0" borderId="0" xfId="0" applyFont="1"/>
    <xf numFmtId="0" fontId="23" fillId="0" borderId="0" xfId="35" applyFont="1"/>
    <xf numFmtId="0" fontId="30" fillId="0" borderId="0" xfId="0" applyFont="1"/>
    <xf numFmtId="0" fontId="23" fillId="0" borderId="0" xfId="35" applyFont="1"/>
    <xf numFmtId="0" fontId="37" fillId="0" borderId="23" xfId="0" applyFont="1" applyFill="1" applyBorder="1" applyAlignment="1">
      <alignment horizontal="center" vertical="center"/>
    </xf>
    <xf numFmtId="0" fontId="37" fillId="0" borderId="5" xfId="35" applyFont="1" applyFill="1" applyBorder="1" applyAlignment="1">
      <alignment horizontal="center" vertical="center" wrapText="1"/>
    </xf>
    <xf numFmtId="0" fontId="37" fillId="0" borderId="5" xfId="0" applyFont="1" applyBorder="1" applyAlignment="1">
      <alignment vertical="center" wrapText="1"/>
    </xf>
    <xf numFmtId="0" fontId="37" fillId="0" borderId="5" xfId="35" applyFont="1" applyFill="1" applyBorder="1" applyAlignment="1">
      <alignment vertical="center" wrapText="1"/>
    </xf>
    <xf numFmtId="0" fontId="37" fillId="0" borderId="11" xfId="35" applyFont="1" applyFill="1" applyBorder="1" applyAlignment="1">
      <alignment horizontal="center" vertical="center" wrapText="1"/>
    </xf>
    <xf numFmtId="0" fontId="37" fillId="0" borderId="5" xfId="0" applyFont="1" applyFill="1" applyBorder="1" applyAlignment="1">
      <alignment horizontal="center" vertical="center"/>
    </xf>
    <xf numFmtId="0" fontId="37" fillId="0" borderId="11" xfId="35" applyFont="1" applyFill="1" applyBorder="1" applyAlignment="1">
      <alignment vertical="center" wrapText="1"/>
    </xf>
    <xf numFmtId="2" fontId="37" fillId="0" borderId="35" xfId="0" applyNumberFormat="1" applyFont="1" applyFill="1" applyBorder="1" applyAlignment="1">
      <alignment horizontal="center" vertical="center"/>
    </xf>
    <xf numFmtId="0" fontId="37" fillId="0" borderId="5" xfId="0" applyFont="1" applyFill="1" applyBorder="1" applyAlignment="1">
      <alignment horizontal="center" vertical="center" wrapText="1"/>
    </xf>
    <xf numFmtId="2" fontId="37" fillId="0" borderId="23" xfId="0" applyNumberFormat="1" applyFont="1" applyFill="1" applyBorder="1" applyAlignment="1">
      <alignment horizontal="center" vertical="center"/>
    </xf>
    <xf numFmtId="1" fontId="37" fillId="0" borderId="5" xfId="35" applyNumberFormat="1" applyFont="1" applyFill="1" applyBorder="1" applyAlignment="1">
      <alignment horizontal="center" vertical="center" wrapText="1"/>
    </xf>
    <xf numFmtId="0" fontId="37" fillId="0" borderId="11" xfId="0" applyFont="1" applyFill="1" applyBorder="1" applyAlignment="1">
      <alignment vertical="center" wrapText="1"/>
    </xf>
    <xf numFmtId="1" fontId="37" fillId="0" borderId="11" xfId="35" applyNumberFormat="1" applyFont="1" applyFill="1" applyBorder="1" applyAlignment="1">
      <alignment horizontal="center" vertical="center" wrapText="1"/>
    </xf>
    <xf numFmtId="0" fontId="32" fillId="0" borderId="0" xfId="0" applyFont="1"/>
    <xf numFmtId="4" fontId="23" fillId="0" borderId="5" xfId="35" applyNumberFormat="1" applyFont="1" applyFill="1" applyBorder="1" applyAlignment="1">
      <alignment horizontal="center" vertical="center" wrapText="1"/>
    </xf>
    <xf numFmtId="4" fontId="23" fillId="0" borderId="5" xfId="0" applyNumberFormat="1" applyFont="1" applyFill="1" applyBorder="1" applyAlignment="1">
      <alignment horizontal="center" vertical="center"/>
    </xf>
    <xf numFmtId="4" fontId="23" fillId="0" borderId="10" xfId="35" applyNumberFormat="1" applyFont="1" applyFill="1" applyBorder="1" applyAlignment="1">
      <alignment horizontal="center" vertical="center" wrapText="1"/>
    </xf>
    <xf numFmtId="4" fontId="26" fillId="6" borderId="11" xfId="35" applyNumberFormat="1" applyFont="1" applyFill="1" applyBorder="1" applyAlignment="1">
      <alignment horizontal="center" vertical="center" wrapText="1"/>
    </xf>
    <xf numFmtId="4" fontId="37" fillId="0" borderId="11" xfId="35" applyNumberFormat="1" applyFont="1" applyFill="1" applyBorder="1" applyAlignment="1">
      <alignment horizontal="center" vertical="center" wrapText="1"/>
    </xf>
    <xf numFmtId="4" fontId="38" fillId="0" borderId="5" xfId="35" applyNumberFormat="1" applyFont="1" applyFill="1" applyBorder="1" applyAlignment="1">
      <alignment horizontal="center" vertical="center" wrapText="1"/>
    </xf>
    <xf numFmtId="4" fontId="37" fillId="0" borderId="5" xfId="35" applyNumberFormat="1" applyFont="1" applyFill="1" applyBorder="1" applyAlignment="1">
      <alignment horizontal="center" vertical="center" wrapText="1"/>
    </xf>
    <xf numFmtId="4" fontId="34" fillId="0" borderId="5" xfId="35" applyNumberFormat="1" applyFont="1" applyFill="1" applyBorder="1" applyAlignment="1">
      <alignment horizontal="center" vertical="center" wrapText="1"/>
    </xf>
    <xf numFmtId="4" fontId="34" fillId="0" borderId="5" xfId="0" applyNumberFormat="1" applyFont="1" applyFill="1" applyBorder="1" applyAlignment="1">
      <alignment horizontal="center" vertical="center"/>
    </xf>
    <xf numFmtId="180" fontId="38" fillId="0" borderId="5" xfId="35" applyNumberFormat="1" applyFont="1" applyFill="1" applyBorder="1" applyAlignment="1">
      <alignment horizontal="center" vertical="center" wrapText="1"/>
    </xf>
    <xf numFmtId="2" fontId="38" fillId="0" borderId="5" xfId="0" applyNumberFormat="1" applyFont="1" applyFill="1" applyBorder="1" applyAlignment="1">
      <alignment horizontal="center" vertical="center"/>
    </xf>
    <xf numFmtId="2" fontId="37" fillId="0" borderId="5" xfId="0" applyNumberFormat="1" applyFont="1" applyBorder="1" applyAlignment="1">
      <alignment horizontal="center" vertical="center" wrapText="1"/>
    </xf>
    <xf numFmtId="2" fontId="34" fillId="0" borderId="5" xfId="0" applyNumberFormat="1" applyFont="1" applyBorder="1" applyAlignment="1">
      <alignment horizontal="center" vertical="center" wrapText="1"/>
    </xf>
    <xf numFmtId="4" fontId="23" fillId="0" borderId="5" xfId="35" applyNumberFormat="1" applyFont="1" applyFill="1" applyBorder="1" applyAlignment="1">
      <alignment horizontal="center" vertical="center" wrapText="1"/>
    </xf>
    <xf numFmtId="4" fontId="23" fillId="0" borderId="5" xfId="0" applyNumberFormat="1" applyFont="1" applyFill="1" applyBorder="1" applyAlignment="1">
      <alignment horizontal="center" vertical="center"/>
    </xf>
    <xf numFmtId="4" fontId="23" fillId="0" borderId="10" xfId="35" applyNumberFormat="1" applyFont="1" applyFill="1" applyBorder="1" applyAlignment="1">
      <alignment horizontal="center" vertical="center" wrapText="1"/>
    </xf>
    <xf numFmtId="4" fontId="26" fillId="6" borderId="11" xfId="35" applyNumberFormat="1" applyFont="1" applyFill="1" applyBorder="1" applyAlignment="1">
      <alignment horizontal="center" vertical="center" wrapText="1"/>
    </xf>
    <xf numFmtId="4" fontId="37" fillId="0" borderId="11" xfId="35" applyNumberFormat="1" applyFont="1" applyFill="1" applyBorder="1" applyAlignment="1">
      <alignment horizontal="center" vertical="center" wrapText="1"/>
    </xf>
    <xf numFmtId="4" fontId="38" fillId="0" borderId="5" xfId="35" applyNumberFormat="1" applyFont="1" applyFill="1" applyBorder="1" applyAlignment="1">
      <alignment horizontal="center" vertical="center" wrapText="1"/>
    </xf>
    <xf numFmtId="4" fontId="37" fillId="0" borderId="5" xfId="35" applyNumberFormat="1" applyFont="1" applyFill="1" applyBorder="1" applyAlignment="1">
      <alignment horizontal="center" vertical="center" wrapText="1"/>
    </xf>
    <xf numFmtId="4" fontId="34" fillId="0" borderId="5" xfId="35" applyNumberFormat="1" applyFont="1" applyFill="1" applyBorder="1" applyAlignment="1">
      <alignment horizontal="center" vertical="center" wrapText="1"/>
    </xf>
    <xf numFmtId="4" fontId="34" fillId="0" borderId="5" xfId="0" applyNumberFormat="1" applyFont="1" applyFill="1" applyBorder="1" applyAlignment="1">
      <alignment horizontal="center" vertical="center"/>
    </xf>
    <xf numFmtId="180" fontId="38" fillId="0" borderId="5" xfId="35" applyNumberFormat="1" applyFont="1" applyFill="1" applyBorder="1" applyAlignment="1">
      <alignment horizontal="center" vertical="center" wrapText="1"/>
    </xf>
    <xf numFmtId="2" fontId="38" fillId="0" borderId="5" xfId="0" applyNumberFormat="1" applyFont="1" applyFill="1" applyBorder="1" applyAlignment="1">
      <alignment horizontal="center" vertical="center"/>
    </xf>
    <xf numFmtId="2" fontId="37" fillId="0" borderId="5" xfId="0" applyNumberFormat="1" applyFont="1" applyBorder="1" applyAlignment="1">
      <alignment horizontal="center" vertical="center" wrapText="1"/>
    </xf>
    <xf numFmtId="2" fontId="34" fillId="0" borderId="5" xfId="0" applyNumberFormat="1" applyFont="1" applyBorder="1" applyAlignment="1">
      <alignment horizontal="center" vertical="center" wrapText="1"/>
    </xf>
    <xf numFmtId="178" fontId="34" fillId="0" borderId="5" xfId="35" applyNumberFormat="1" applyFont="1" applyFill="1" applyBorder="1" applyAlignment="1">
      <alignment horizontal="center" vertical="center" wrapText="1"/>
    </xf>
    <xf numFmtId="178" fontId="23" fillId="0" borderId="5" xfId="35" applyNumberFormat="1" applyFont="1" applyFill="1" applyBorder="1" applyAlignment="1">
      <alignment horizontal="center" vertical="center" wrapText="1"/>
    </xf>
    <xf numFmtId="178" fontId="23" fillId="0" borderId="5" xfId="59" applyNumberFormat="1" applyFont="1" applyBorder="1" applyAlignment="1">
      <alignment horizontal="center" vertical="center"/>
    </xf>
    <xf numFmtId="178" fontId="34" fillId="0" borderId="5" xfId="59" applyNumberFormat="1" applyFont="1" applyBorder="1" applyAlignment="1">
      <alignment horizontal="center" vertical="center"/>
    </xf>
    <xf numFmtId="0" fontId="26" fillId="6" borderId="11" xfId="35" applyFont="1" applyFill="1" applyBorder="1" applyAlignment="1">
      <alignment horizontal="center" vertical="center" wrapText="1"/>
    </xf>
    <xf numFmtId="178" fontId="23" fillId="0" borderId="5" xfId="59" applyNumberFormat="1" applyFont="1" applyFill="1" applyBorder="1" applyAlignment="1">
      <alignment horizontal="center" vertical="center"/>
    </xf>
    <xf numFmtId="178" fontId="23" fillId="0" borderId="10" xfId="59" applyNumberFormat="1" applyFont="1" applyFill="1" applyBorder="1" applyAlignment="1">
      <alignment horizontal="center" vertical="center"/>
    </xf>
    <xf numFmtId="0" fontId="38" fillId="0" borderId="5" xfId="35" applyFont="1" applyFill="1" applyBorder="1" applyAlignment="1">
      <alignment horizontal="center" vertical="center" wrapText="1"/>
    </xf>
    <xf numFmtId="178" fontId="38" fillId="0" borderId="5" xfId="59" applyNumberFormat="1" applyFont="1" applyFill="1" applyBorder="1" applyAlignment="1">
      <alignment horizontal="center" vertical="center"/>
    </xf>
    <xf numFmtId="178" fontId="38" fillId="0" borderId="5" xfId="35" applyNumberFormat="1" applyFont="1" applyFill="1" applyBorder="1" applyAlignment="1">
      <alignment horizontal="center" vertical="center" wrapText="1"/>
    </xf>
    <xf numFmtId="178" fontId="34" fillId="0" borderId="5" xfId="59" applyNumberFormat="1" applyFont="1" applyFill="1" applyBorder="1" applyAlignment="1">
      <alignment horizontal="center" vertical="center"/>
    </xf>
    <xf numFmtId="0" fontId="38" fillId="0" borderId="5" xfId="59" applyFont="1" applyFill="1" applyBorder="1" applyAlignment="1">
      <alignment horizontal="center" vertical="center"/>
    </xf>
    <xf numFmtId="0" fontId="38" fillId="0" borderId="5" xfId="35" applyNumberFormat="1" applyFont="1" applyFill="1" applyBorder="1" applyAlignment="1">
      <alignment horizontal="center" vertical="center" wrapText="1"/>
    </xf>
    <xf numFmtId="178" fontId="39" fillId="0" borderId="5" xfId="35" applyNumberFormat="1" applyFont="1" applyFill="1" applyBorder="1" applyAlignment="1">
      <alignment horizontal="center" vertical="center" wrapText="1"/>
    </xf>
    <xf numFmtId="178" fontId="39" fillId="0" borderId="11" xfId="35" applyNumberFormat="1" applyFont="1" applyFill="1" applyBorder="1" applyAlignment="1">
      <alignment horizontal="center" vertical="center" wrapText="1"/>
    </xf>
    <xf numFmtId="178" fontId="34" fillId="0" borderId="5" xfId="35" applyNumberFormat="1" applyFont="1" applyFill="1" applyBorder="1" applyAlignment="1">
      <alignment horizontal="center" vertical="center" wrapText="1"/>
    </xf>
    <xf numFmtId="178" fontId="23" fillId="0" borderId="5" xfId="35" applyNumberFormat="1" applyFont="1" applyFill="1" applyBorder="1" applyAlignment="1">
      <alignment horizontal="center" vertical="center" wrapText="1"/>
    </xf>
    <xf numFmtId="178" fontId="23" fillId="0" borderId="5" xfId="58" applyNumberFormat="1" applyFont="1" applyBorder="1" applyAlignment="1">
      <alignment horizontal="center" vertical="center"/>
    </xf>
    <xf numFmtId="178" fontId="34" fillId="0" borderId="5" xfId="58" applyNumberFormat="1" applyFont="1" applyBorder="1" applyAlignment="1">
      <alignment horizontal="center" vertical="center"/>
    </xf>
    <xf numFmtId="0" fontId="26" fillId="6" borderId="11" xfId="35" applyFont="1" applyFill="1" applyBorder="1" applyAlignment="1">
      <alignment horizontal="center" vertical="center" wrapText="1"/>
    </xf>
    <xf numFmtId="178" fontId="23" fillId="0" borderId="5" xfId="58" applyNumberFormat="1" applyFont="1" applyFill="1" applyBorder="1" applyAlignment="1">
      <alignment horizontal="center" vertical="center"/>
    </xf>
    <xf numFmtId="178" fontId="23" fillId="0" borderId="10" xfId="58" applyNumberFormat="1" applyFont="1" applyFill="1" applyBorder="1" applyAlignment="1">
      <alignment horizontal="center" vertical="center"/>
    </xf>
    <xf numFmtId="0" fontId="38" fillId="0" borderId="5" xfId="35" applyFont="1" applyFill="1" applyBorder="1" applyAlignment="1">
      <alignment horizontal="center" vertical="center" wrapText="1"/>
    </xf>
    <xf numFmtId="178" fontId="38" fillId="0" borderId="5" xfId="58" applyNumberFormat="1" applyFont="1" applyFill="1" applyBorder="1" applyAlignment="1">
      <alignment horizontal="center" vertical="center"/>
    </xf>
    <xf numFmtId="178" fontId="38" fillId="0" borderId="5" xfId="35" applyNumberFormat="1" applyFont="1" applyFill="1" applyBorder="1" applyAlignment="1">
      <alignment horizontal="center" vertical="center" wrapText="1"/>
    </xf>
    <xf numFmtId="178" fontId="34" fillId="0" borderId="5" xfId="58" applyNumberFormat="1" applyFont="1" applyFill="1" applyBorder="1" applyAlignment="1">
      <alignment horizontal="center" vertical="center"/>
    </xf>
    <xf numFmtId="0" fontId="38" fillId="0" borderId="5" xfId="58" applyFont="1" applyFill="1" applyBorder="1" applyAlignment="1">
      <alignment horizontal="center" vertical="center"/>
    </xf>
    <xf numFmtId="0" fontId="38" fillId="0" borderId="5" xfId="35" applyNumberFormat="1" applyFont="1" applyFill="1" applyBorder="1" applyAlignment="1">
      <alignment horizontal="center" vertical="center" wrapText="1"/>
    </xf>
    <xf numFmtId="178" fontId="39" fillId="0" borderId="5" xfId="35" applyNumberFormat="1" applyFont="1" applyFill="1" applyBorder="1" applyAlignment="1">
      <alignment horizontal="center" vertical="center" wrapText="1"/>
    </xf>
    <xf numFmtId="178" fontId="39" fillId="0" borderId="11" xfId="35" applyNumberFormat="1" applyFont="1" applyFill="1" applyBorder="1" applyAlignment="1">
      <alignment horizontal="center" vertical="center" wrapText="1"/>
    </xf>
    <xf numFmtId="178" fontId="34" fillId="0" borderId="5" xfId="35" applyNumberFormat="1" applyFont="1" applyFill="1" applyBorder="1" applyAlignment="1">
      <alignment horizontal="center" vertical="center" wrapText="1"/>
    </xf>
    <xf numFmtId="178" fontId="23" fillId="0" borderId="5" xfId="35" applyNumberFormat="1" applyFont="1" applyFill="1" applyBorder="1" applyAlignment="1">
      <alignment horizontal="center" vertical="center" wrapText="1"/>
    </xf>
    <xf numFmtId="178" fontId="34" fillId="0" borderId="5" xfId="60" applyNumberFormat="1" applyFont="1" applyBorder="1" applyAlignment="1">
      <alignment horizontal="center" vertical="center"/>
    </xf>
    <xf numFmtId="0" fontId="26" fillId="6" borderId="11" xfId="35" applyFont="1" applyFill="1" applyBorder="1" applyAlignment="1">
      <alignment horizontal="center" vertical="center" wrapText="1"/>
    </xf>
    <xf numFmtId="178" fontId="23" fillId="0" borderId="10" xfId="60" applyNumberFormat="1" applyFont="1" applyFill="1" applyBorder="1" applyAlignment="1">
      <alignment horizontal="center" vertical="center"/>
    </xf>
    <xf numFmtId="0" fontId="38" fillId="0" borderId="5" xfId="35" applyFont="1" applyFill="1" applyBorder="1" applyAlignment="1">
      <alignment horizontal="center" vertical="center" wrapText="1"/>
    </xf>
    <xf numFmtId="178" fontId="38" fillId="0" borderId="5" xfId="60" applyNumberFormat="1" applyFont="1" applyFill="1" applyBorder="1" applyAlignment="1">
      <alignment horizontal="center" vertical="center"/>
    </xf>
    <xf numFmtId="178" fontId="38" fillId="0" borderId="5" xfId="35" applyNumberFormat="1" applyFont="1" applyFill="1" applyBorder="1" applyAlignment="1">
      <alignment horizontal="center" vertical="center" wrapText="1"/>
    </xf>
    <xf numFmtId="178" fontId="38" fillId="0" borderId="5" xfId="60" applyNumberFormat="1" applyFont="1" applyBorder="1" applyAlignment="1">
      <alignment horizontal="center" vertical="center"/>
    </xf>
    <xf numFmtId="178" fontId="34" fillId="0" borderId="5" xfId="35" applyNumberFormat="1" applyFont="1" applyFill="1" applyBorder="1" applyAlignment="1">
      <alignment horizontal="center" vertical="center" wrapText="1"/>
    </xf>
    <xf numFmtId="178" fontId="23" fillId="0" borderId="5" xfId="35" applyNumberFormat="1" applyFont="1" applyFill="1" applyBorder="1" applyAlignment="1">
      <alignment horizontal="center" vertical="center" wrapText="1"/>
    </xf>
    <xf numFmtId="178" fontId="34" fillId="0" borderId="5" xfId="61" applyNumberFormat="1" applyFont="1" applyBorder="1" applyAlignment="1">
      <alignment horizontal="center" vertical="center"/>
    </xf>
    <xf numFmtId="0" fontId="26" fillId="6" borderId="11" xfId="35" applyFont="1" applyFill="1" applyBorder="1" applyAlignment="1">
      <alignment horizontal="center" vertical="center" wrapText="1"/>
    </xf>
    <xf numFmtId="178" fontId="23" fillId="0" borderId="10" xfId="61" applyNumberFormat="1" applyFont="1" applyFill="1" applyBorder="1" applyAlignment="1">
      <alignment horizontal="center" vertical="center"/>
    </xf>
    <xf numFmtId="0" fontId="38" fillId="0" borderId="5" xfId="35" applyFont="1" applyFill="1" applyBorder="1" applyAlignment="1">
      <alignment horizontal="center" vertical="center" wrapText="1"/>
    </xf>
    <xf numFmtId="178" fontId="38" fillId="0" borderId="5" xfId="61" applyNumberFormat="1" applyFont="1" applyFill="1" applyBorder="1" applyAlignment="1">
      <alignment horizontal="center" vertical="center"/>
    </xf>
    <xf numFmtId="178" fontId="38" fillId="0" borderId="5" xfId="35" applyNumberFormat="1" applyFont="1" applyFill="1" applyBorder="1" applyAlignment="1">
      <alignment horizontal="center" vertical="center" wrapText="1"/>
    </xf>
    <xf numFmtId="178" fontId="38" fillId="0" borderId="5" xfId="61" applyNumberFormat="1" applyFont="1" applyBorder="1" applyAlignment="1">
      <alignment horizontal="center" vertical="center"/>
    </xf>
    <xf numFmtId="0" fontId="26" fillId="6" borderId="11" xfId="35" applyFont="1" applyFill="1" applyBorder="1" applyAlignment="1">
      <alignment horizontal="center" vertical="center" wrapText="1"/>
    </xf>
    <xf numFmtId="178" fontId="23" fillId="0" borderId="10" xfId="62" applyNumberFormat="1" applyFont="1" applyFill="1" applyBorder="1" applyAlignment="1">
      <alignment horizontal="center" vertical="center"/>
    </xf>
    <xf numFmtId="0" fontId="38" fillId="0" borderId="5" xfId="35" applyFont="1" applyFill="1" applyBorder="1" applyAlignment="1">
      <alignment horizontal="center" vertical="center" wrapText="1"/>
    </xf>
    <xf numFmtId="178" fontId="38" fillId="0" borderId="5" xfId="62" applyNumberFormat="1" applyFont="1" applyFill="1" applyBorder="1" applyAlignment="1">
      <alignment horizontal="center" vertical="center"/>
    </xf>
    <xf numFmtId="178" fontId="38" fillId="0" borderId="5" xfId="35" applyNumberFormat="1" applyFont="1" applyFill="1" applyBorder="1" applyAlignment="1">
      <alignment horizontal="center" vertical="center" wrapText="1"/>
    </xf>
    <xf numFmtId="178" fontId="34" fillId="0" borderId="5" xfId="62" applyNumberFormat="1" applyFont="1" applyFill="1" applyBorder="1" applyAlignment="1">
      <alignment horizontal="center" vertical="center"/>
    </xf>
    <xf numFmtId="0" fontId="38" fillId="0" borderId="38" xfId="62" applyFont="1" applyFill="1" applyBorder="1" applyAlignment="1">
      <alignment horizontal="center" vertical="center"/>
    </xf>
    <xf numFmtId="17" fontId="38" fillId="0" borderId="5" xfId="35" applyNumberFormat="1" applyFont="1" applyFill="1" applyBorder="1" applyAlignment="1">
      <alignment horizontal="center" vertical="center" wrapText="1"/>
    </xf>
    <xf numFmtId="17" fontId="38" fillId="0" borderId="11" xfId="35" applyNumberFormat="1" applyFont="1" applyFill="1" applyBorder="1" applyAlignment="1">
      <alignment horizontal="center" vertical="center" wrapText="1"/>
    </xf>
    <xf numFmtId="178" fontId="38" fillId="0" borderId="10" xfId="62" applyNumberFormat="1" applyFont="1" applyFill="1" applyBorder="1" applyAlignment="1">
      <alignment horizontal="center" vertical="center"/>
    </xf>
    <xf numFmtId="0" fontId="26" fillId="6" borderId="11" xfId="35" applyFont="1" applyFill="1" applyBorder="1" applyAlignment="1">
      <alignment horizontal="center" vertical="center" wrapText="1"/>
    </xf>
    <xf numFmtId="178" fontId="23" fillId="0" borderId="10" xfId="63" applyNumberFormat="1" applyFont="1" applyFill="1" applyBorder="1" applyAlignment="1">
      <alignment horizontal="center" vertical="center"/>
    </xf>
    <xf numFmtId="0" fontId="38" fillId="0" borderId="5" xfId="35" applyFont="1" applyFill="1" applyBorder="1" applyAlignment="1">
      <alignment horizontal="center" vertical="center" wrapText="1"/>
    </xf>
    <xf numFmtId="178" fontId="38" fillId="0" borderId="5" xfId="63" applyNumberFormat="1" applyFont="1" applyFill="1" applyBorder="1" applyAlignment="1">
      <alignment horizontal="center" vertical="center"/>
    </xf>
    <xf numFmtId="178" fontId="38" fillId="0" borderId="5" xfId="35" applyNumberFormat="1" applyFont="1" applyFill="1" applyBorder="1" applyAlignment="1">
      <alignment horizontal="center" vertical="center" wrapText="1"/>
    </xf>
    <xf numFmtId="178" fontId="34" fillId="0" borderId="5" xfId="63" applyNumberFormat="1" applyFont="1" applyFill="1" applyBorder="1" applyAlignment="1">
      <alignment horizontal="center" vertical="center"/>
    </xf>
    <xf numFmtId="0" fontId="38" fillId="0" borderId="38" xfId="63" applyFont="1" applyFill="1" applyBorder="1" applyAlignment="1">
      <alignment horizontal="center" vertical="center"/>
    </xf>
    <xf numFmtId="17" fontId="38" fillId="0" borderId="5" xfId="35" applyNumberFormat="1" applyFont="1" applyFill="1" applyBorder="1" applyAlignment="1">
      <alignment horizontal="center" vertical="center" wrapText="1"/>
    </xf>
    <xf numFmtId="17" fontId="38" fillId="0" borderId="11" xfId="35" applyNumberFormat="1" applyFont="1" applyFill="1" applyBorder="1" applyAlignment="1">
      <alignment horizontal="center" vertical="center" wrapText="1"/>
    </xf>
    <xf numFmtId="178" fontId="38" fillId="0" borderId="10" xfId="63" applyNumberFormat="1" applyFont="1" applyFill="1" applyBorder="1" applyAlignment="1">
      <alignment horizontal="center" vertical="center"/>
    </xf>
    <xf numFmtId="178" fontId="23" fillId="0" borderId="5" xfId="64" applyNumberFormat="1" applyFont="1" applyBorder="1" applyAlignment="1">
      <alignment horizontal="center" vertical="center"/>
    </xf>
    <xf numFmtId="178" fontId="34" fillId="0" borderId="5" xfId="64" applyNumberFormat="1" applyFont="1" applyBorder="1" applyAlignment="1">
      <alignment horizontal="center" vertical="center"/>
    </xf>
    <xf numFmtId="0" fontId="26" fillId="6" borderId="11" xfId="35" applyFont="1" applyFill="1" applyBorder="1" applyAlignment="1">
      <alignment horizontal="center" vertical="center" wrapText="1"/>
    </xf>
    <xf numFmtId="178" fontId="23" fillId="0" borderId="5" xfId="64" applyNumberFormat="1" applyFont="1" applyFill="1" applyBorder="1" applyAlignment="1">
      <alignment horizontal="center" vertical="center"/>
    </xf>
    <xf numFmtId="0" fontId="38" fillId="0" borderId="10" xfId="35" applyFont="1" applyFill="1" applyBorder="1" applyAlignment="1">
      <alignment horizontal="center" vertical="center" wrapText="1"/>
    </xf>
    <xf numFmtId="178" fontId="38" fillId="0" borderId="10" xfId="64" applyNumberFormat="1" applyFont="1" applyBorder="1" applyAlignment="1">
      <alignment horizontal="center" vertical="center"/>
    </xf>
    <xf numFmtId="17" fontId="37" fillId="0" borderId="5" xfId="35" applyNumberFormat="1" applyFont="1" applyFill="1" applyBorder="1" applyAlignment="1">
      <alignment horizontal="center" vertical="center" wrapText="1"/>
    </xf>
    <xf numFmtId="178" fontId="34" fillId="0" borderId="5" xfId="64" applyNumberFormat="1" applyFont="1" applyFill="1" applyBorder="1" applyAlignment="1">
      <alignment horizontal="center" vertical="center"/>
    </xf>
    <xf numFmtId="178" fontId="23" fillId="0" borderId="5" xfId="65" applyNumberFormat="1" applyFont="1" applyBorder="1" applyAlignment="1">
      <alignment horizontal="center" vertical="center"/>
    </xf>
    <xf numFmtId="178" fontId="34" fillId="0" borderId="5" xfId="65" applyNumberFormat="1" applyFont="1" applyBorder="1" applyAlignment="1">
      <alignment horizontal="center" vertical="center"/>
    </xf>
    <xf numFmtId="0" fontId="26" fillId="6" borderId="11" xfId="35" applyFont="1" applyFill="1" applyBorder="1" applyAlignment="1">
      <alignment horizontal="center" vertical="center" wrapText="1"/>
    </xf>
    <xf numFmtId="178" fontId="23" fillId="0" borderId="5" xfId="65" applyNumberFormat="1" applyFont="1" applyFill="1" applyBorder="1" applyAlignment="1">
      <alignment horizontal="center" vertical="center"/>
    </xf>
    <xf numFmtId="0" fontId="38" fillId="0" borderId="10" xfId="35" applyFont="1" applyFill="1" applyBorder="1" applyAlignment="1">
      <alignment horizontal="center" vertical="center" wrapText="1"/>
    </xf>
    <xf numFmtId="178" fontId="38" fillId="0" borderId="10" xfId="65" applyNumberFormat="1" applyFont="1" applyBorder="1" applyAlignment="1">
      <alignment horizontal="center" vertical="center"/>
    </xf>
    <xf numFmtId="17" fontId="37" fillId="0" borderId="5" xfId="35" applyNumberFormat="1" applyFont="1" applyFill="1" applyBorder="1" applyAlignment="1">
      <alignment horizontal="center" vertical="center" wrapText="1"/>
    </xf>
    <xf numFmtId="178" fontId="34" fillId="0" borderId="5" xfId="65" applyNumberFormat="1" applyFont="1" applyFill="1" applyBorder="1" applyAlignment="1">
      <alignment horizontal="center" vertical="center"/>
    </xf>
    <xf numFmtId="178" fontId="23" fillId="0" borderId="5" xfId="66" applyNumberFormat="1" applyFont="1" applyBorder="1" applyAlignment="1">
      <alignment horizontal="center" vertical="center"/>
    </xf>
    <xf numFmtId="178" fontId="34" fillId="0" borderId="5" xfId="66" applyNumberFormat="1" applyFont="1" applyBorder="1" applyAlignment="1">
      <alignment horizontal="center" vertical="center"/>
    </xf>
    <xf numFmtId="0" fontId="26" fillId="6" borderId="11" xfId="35" applyFont="1" applyFill="1" applyBorder="1" applyAlignment="1">
      <alignment horizontal="center" vertical="center" wrapText="1"/>
    </xf>
    <xf numFmtId="178" fontId="23" fillId="0" borderId="5" xfId="66" applyNumberFormat="1" applyFont="1" applyFill="1" applyBorder="1" applyAlignment="1">
      <alignment horizontal="center" vertical="center"/>
    </xf>
    <xf numFmtId="0" fontId="38" fillId="0" borderId="5" xfId="35" applyFont="1" applyFill="1" applyBorder="1" applyAlignment="1">
      <alignment horizontal="center" vertical="center" wrapText="1"/>
    </xf>
    <xf numFmtId="178" fontId="38" fillId="0" borderId="11" xfId="66" applyNumberFormat="1" applyFont="1" applyFill="1" applyBorder="1" applyAlignment="1">
      <alignment horizontal="center" vertical="center"/>
    </xf>
    <xf numFmtId="178" fontId="23" fillId="0" borderId="5" xfId="67" applyNumberFormat="1" applyFont="1" applyBorder="1" applyAlignment="1">
      <alignment horizontal="center" vertical="center"/>
    </xf>
    <xf numFmtId="178" fontId="34" fillId="0" borderId="5" xfId="67" applyNumberFormat="1" applyFont="1" applyBorder="1" applyAlignment="1">
      <alignment horizontal="center" vertical="center"/>
    </xf>
    <xf numFmtId="0" fontId="26" fillId="6" borderId="11" xfId="35" applyFont="1" applyFill="1" applyBorder="1" applyAlignment="1">
      <alignment horizontal="center" vertical="center" wrapText="1"/>
    </xf>
    <xf numFmtId="178" fontId="23" fillId="0" borderId="5" xfId="67" applyNumberFormat="1" applyFont="1" applyFill="1" applyBorder="1" applyAlignment="1">
      <alignment horizontal="center" vertical="center"/>
    </xf>
    <xf numFmtId="0" fontId="38" fillId="0" borderId="5" xfId="35" applyFont="1" applyFill="1" applyBorder="1" applyAlignment="1">
      <alignment horizontal="center" vertical="center" wrapText="1"/>
    </xf>
    <xf numFmtId="178" fontId="38" fillId="0" borderId="11" xfId="67" applyNumberFormat="1" applyFont="1" applyFill="1" applyBorder="1" applyAlignment="1">
      <alignment horizontal="center" vertical="center"/>
    </xf>
    <xf numFmtId="0" fontId="26" fillId="6" borderId="11" xfId="35" applyFont="1" applyFill="1" applyBorder="1" applyAlignment="1">
      <alignment horizontal="center" vertical="center" wrapText="1"/>
    </xf>
    <xf numFmtId="178" fontId="23" fillId="0" borderId="10" xfId="68" applyNumberFormat="1" applyFont="1" applyFill="1" applyBorder="1" applyAlignment="1">
      <alignment horizontal="center" vertical="center"/>
    </xf>
    <xf numFmtId="178" fontId="38" fillId="0" borderId="5" xfId="68" applyNumberFormat="1" applyFont="1" applyFill="1" applyBorder="1" applyAlignment="1">
      <alignment horizontal="center" vertical="center"/>
    </xf>
    <xf numFmtId="178" fontId="38" fillId="0" borderId="5" xfId="35" applyNumberFormat="1" applyFont="1" applyFill="1" applyBorder="1" applyAlignment="1">
      <alignment horizontal="center" vertical="center" wrapText="1"/>
    </xf>
    <xf numFmtId="178" fontId="34" fillId="0" borderId="5" xfId="68" applyNumberFormat="1" applyFont="1" applyFill="1" applyBorder="1" applyAlignment="1">
      <alignment horizontal="center" vertical="center"/>
    </xf>
    <xf numFmtId="178" fontId="23" fillId="7" borderId="5" xfId="68" applyNumberFormat="1" applyFont="1" applyFill="1" applyBorder="1" applyAlignment="1">
      <alignment horizontal="center" vertical="center"/>
    </xf>
    <xf numFmtId="17" fontId="34" fillId="0" borderId="10" xfId="35" applyNumberFormat="1" applyFont="1" applyFill="1" applyBorder="1" applyAlignment="1">
      <alignment horizontal="center" vertical="center"/>
    </xf>
    <xf numFmtId="17" fontId="34" fillId="0" borderId="5" xfId="35" applyNumberFormat="1" applyFont="1" applyFill="1" applyBorder="1" applyAlignment="1">
      <alignment horizontal="center" vertical="center"/>
    </xf>
    <xf numFmtId="17" fontId="38" fillId="0" borderId="5" xfId="35" applyNumberFormat="1" applyFont="1" applyFill="1" applyBorder="1" applyAlignment="1">
      <alignment horizontal="center" vertical="center"/>
    </xf>
    <xf numFmtId="17" fontId="23" fillId="7" borderId="5" xfId="35" applyNumberFormat="1" applyFont="1" applyFill="1" applyBorder="1" applyAlignment="1">
      <alignment horizontal="center" vertical="center"/>
    </xf>
    <xf numFmtId="0" fontId="38" fillId="0" borderId="10" xfId="35" applyFont="1" applyFill="1" applyBorder="1" applyAlignment="1">
      <alignment horizontal="center" vertical="center"/>
    </xf>
    <xf numFmtId="178" fontId="38" fillId="0" borderId="10" xfId="68" applyNumberFormat="1" applyFont="1" applyFill="1" applyBorder="1" applyAlignment="1">
      <alignment horizontal="center" vertical="center"/>
    </xf>
    <xf numFmtId="17" fontId="38" fillId="0" borderId="10" xfId="35" applyNumberFormat="1" applyFont="1" applyFill="1" applyBorder="1" applyAlignment="1">
      <alignment horizontal="center" vertical="center"/>
    </xf>
    <xf numFmtId="178" fontId="37" fillId="0" borderId="5" xfId="68" applyNumberFormat="1" applyFont="1" applyFill="1" applyBorder="1" applyAlignment="1">
      <alignment horizontal="center" vertical="center"/>
    </xf>
    <xf numFmtId="0" fontId="26" fillId="6" borderId="11" xfId="35" applyFont="1" applyFill="1" applyBorder="1" applyAlignment="1">
      <alignment horizontal="center" vertical="center" wrapText="1"/>
    </xf>
    <xf numFmtId="178" fontId="23" fillId="0" borderId="10" xfId="69" applyNumberFormat="1" applyFont="1" applyFill="1" applyBorder="1" applyAlignment="1">
      <alignment horizontal="center" vertical="center"/>
    </xf>
    <xf numFmtId="178" fontId="38" fillId="0" borderId="5" xfId="69" applyNumberFormat="1" applyFont="1" applyFill="1" applyBorder="1" applyAlignment="1">
      <alignment horizontal="center" vertical="center"/>
    </xf>
    <xf numFmtId="178" fontId="38" fillId="0" borderId="5" xfId="35" applyNumberFormat="1" applyFont="1" applyFill="1" applyBorder="1" applyAlignment="1">
      <alignment horizontal="center" vertical="center" wrapText="1"/>
    </xf>
    <xf numFmtId="178" fontId="34" fillId="0" borderId="5" xfId="69" applyNumberFormat="1" applyFont="1" applyFill="1" applyBorder="1" applyAlignment="1">
      <alignment horizontal="center" vertical="center"/>
    </xf>
    <xf numFmtId="178" fontId="23" fillId="7" borderId="5" xfId="69" applyNumberFormat="1" applyFont="1" applyFill="1" applyBorder="1" applyAlignment="1">
      <alignment horizontal="center" vertical="center"/>
    </xf>
    <xf numFmtId="17" fontId="34" fillId="0" borderId="10" xfId="35" applyNumberFormat="1" applyFont="1" applyFill="1" applyBorder="1" applyAlignment="1">
      <alignment horizontal="center" vertical="center"/>
    </xf>
    <xf numFmtId="17" fontId="34" fillId="0" borderId="5" xfId="35" applyNumberFormat="1" applyFont="1" applyFill="1" applyBorder="1" applyAlignment="1">
      <alignment horizontal="center" vertical="center"/>
    </xf>
    <xf numFmtId="17" fontId="38" fillId="0" borderId="5" xfId="35" applyNumberFormat="1" applyFont="1" applyFill="1" applyBorder="1" applyAlignment="1">
      <alignment horizontal="center" vertical="center"/>
    </xf>
    <xf numFmtId="17" fontId="23" fillId="7" borderId="5" xfId="35" applyNumberFormat="1" applyFont="1" applyFill="1" applyBorder="1" applyAlignment="1">
      <alignment horizontal="center" vertical="center"/>
    </xf>
    <xf numFmtId="0" fontId="38" fillId="0" borderId="10" xfId="35" applyFont="1" applyFill="1" applyBorder="1" applyAlignment="1">
      <alignment horizontal="center" vertical="center"/>
    </xf>
    <xf numFmtId="178" fontId="38" fillId="0" borderId="10" xfId="69" applyNumberFormat="1" applyFont="1" applyFill="1" applyBorder="1" applyAlignment="1">
      <alignment horizontal="center" vertical="center"/>
    </xf>
    <xf numFmtId="17" fontId="38" fillId="0" borderId="10" xfId="35" applyNumberFormat="1" applyFont="1" applyFill="1" applyBorder="1" applyAlignment="1">
      <alignment horizontal="center" vertical="center"/>
    </xf>
    <xf numFmtId="178" fontId="37" fillId="0" borderId="5" xfId="69" applyNumberFormat="1" applyFont="1" applyFill="1" applyBorder="1" applyAlignment="1">
      <alignment horizontal="center" vertical="center"/>
    </xf>
    <xf numFmtId="0" fontId="34" fillId="0" borderId="5" xfId="35" applyFont="1" applyFill="1" applyBorder="1" applyAlignment="1">
      <alignment horizontal="center" vertical="center" wrapText="1"/>
    </xf>
    <xf numFmtId="0" fontId="23" fillId="0" borderId="17" xfId="35" applyFont="1" applyFill="1" applyBorder="1" applyAlignment="1">
      <alignment horizontal="center" vertical="center" wrapText="1"/>
    </xf>
    <xf numFmtId="0" fontId="37" fillId="0" borderId="5" xfId="35" applyFont="1" applyFill="1" applyBorder="1" applyAlignment="1">
      <alignment horizontal="center" vertical="center" wrapText="1"/>
    </xf>
    <xf numFmtId="0" fontId="37" fillId="0" borderId="17" xfId="35" applyFont="1" applyFill="1" applyBorder="1" applyAlignment="1">
      <alignment horizontal="center" vertical="center" wrapText="1"/>
    </xf>
    <xf numFmtId="0" fontId="37" fillId="0" borderId="21" xfId="35" applyFont="1" applyFill="1" applyBorder="1" applyAlignment="1">
      <alignment horizontal="center" vertical="center" wrapText="1"/>
    </xf>
    <xf numFmtId="0" fontId="38" fillId="0" borderId="5" xfId="35" applyFont="1" applyFill="1" applyBorder="1" applyAlignment="1">
      <alignment horizontal="center" vertical="center" wrapText="1"/>
    </xf>
    <xf numFmtId="0" fontId="38" fillId="0" borderId="17" xfId="35" applyFont="1" applyFill="1" applyBorder="1" applyAlignment="1">
      <alignment horizontal="center" vertical="center" wrapText="1"/>
    </xf>
    <xf numFmtId="0" fontId="34" fillId="0" borderId="17" xfId="35" applyFont="1" applyFill="1" applyBorder="1" applyAlignment="1">
      <alignment horizontal="center" vertical="center" wrapText="1"/>
    </xf>
    <xf numFmtId="0" fontId="34" fillId="0" borderId="5" xfId="35" applyFont="1" applyFill="1" applyBorder="1" applyAlignment="1">
      <alignment horizontal="center" vertical="center" wrapText="1"/>
    </xf>
    <xf numFmtId="0" fontId="23" fillId="0" borderId="17" xfId="35" applyFont="1" applyFill="1" applyBorder="1" applyAlignment="1">
      <alignment horizontal="center" vertical="center" wrapText="1"/>
    </xf>
    <xf numFmtId="0" fontId="37" fillId="0" borderId="5" xfId="35" applyFont="1" applyFill="1" applyBorder="1" applyAlignment="1">
      <alignment horizontal="center" vertical="center" wrapText="1"/>
    </xf>
    <xf numFmtId="0" fontId="37" fillId="0" borderId="17" xfId="35" applyFont="1" applyFill="1" applyBorder="1" applyAlignment="1">
      <alignment horizontal="center" vertical="center" wrapText="1"/>
    </xf>
    <xf numFmtId="0" fontId="37" fillId="0" borderId="21" xfId="35" applyFont="1" applyFill="1" applyBorder="1" applyAlignment="1">
      <alignment horizontal="center" vertical="center" wrapText="1"/>
    </xf>
    <xf numFmtId="0" fontId="38" fillId="0" borderId="5" xfId="35" applyFont="1" applyFill="1" applyBorder="1" applyAlignment="1">
      <alignment horizontal="center" vertical="center" wrapText="1"/>
    </xf>
    <xf numFmtId="0" fontId="38" fillId="0" borderId="17" xfId="35" applyFont="1" applyFill="1" applyBorder="1" applyAlignment="1">
      <alignment horizontal="center" vertical="center" wrapText="1"/>
    </xf>
    <xf numFmtId="0" fontId="34" fillId="0" borderId="17" xfId="35" applyFont="1" applyFill="1" applyBorder="1" applyAlignment="1">
      <alignment horizontal="center" vertical="center" wrapText="1"/>
    </xf>
    <xf numFmtId="0" fontId="34" fillId="0" borderId="20" xfId="35" applyFont="1" applyFill="1" applyBorder="1" applyAlignment="1">
      <alignment horizontal="center" vertical="center" wrapText="1"/>
    </xf>
    <xf numFmtId="0" fontId="34" fillId="0" borderId="19" xfId="35" applyFont="1" applyFill="1" applyBorder="1" applyAlignment="1">
      <alignment horizontal="center" vertical="center" wrapText="1"/>
    </xf>
    <xf numFmtId="0" fontId="23" fillId="0" borderId="34" xfId="35" applyFont="1" applyFill="1" applyBorder="1" applyAlignment="1">
      <alignment horizontal="center" vertical="center" wrapText="1"/>
    </xf>
    <xf numFmtId="0" fontId="23" fillId="0" borderId="38" xfId="35" applyFont="1" applyFill="1" applyBorder="1" applyAlignment="1">
      <alignment horizontal="center" vertical="center" wrapText="1"/>
    </xf>
    <xf numFmtId="0" fontId="23" fillId="0" borderId="5" xfId="35" applyFont="1" applyFill="1" applyBorder="1" applyAlignment="1">
      <alignment horizontal="center" vertical="center" wrapText="1"/>
    </xf>
    <xf numFmtId="0" fontId="23" fillId="0" borderId="15" xfId="35" applyFont="1" applyFill="1" applyBorder="1" applyAlignment="1">
      <alignment horizontal="center" vertical="center" wrapText="1"/>
    </xf>
    <xf numFmtId="0" fontId="23" fillId="0" borderId="10" xfId="35" applyFont="1" applyFill="1" applyBorder="1" applyAlignment="1">
      <alignment horizontal="center" vertical="center" wrapText="1"/>
    </xf>
    <xf numFmtId="0" fontId="35" fillId="9" borderId="0" xfId="0" applyFont="1" applyFill="1" applyBorder="1" applyAlignment="1">
      <alignment horizontal="center" vertical="center" wrapText="1"/>
    </xf>
    <xf numFmtId="0" fontId="35" fillId="9" borderId="45" xfId="0" applyFont="1" applyFill="1" applyBorder="1" applyAlignment="1">
      <alignment horizontal="center" vertical="center" wrapText="1"/>
    </xf>
    <xf numFmtId="0" fontId="35" fillId="9" borderId="0" xfId="0" applyFont="1" applyFill="1" applyBorder="1" applyAlignment="1">
      <alignment horizontal="center" vertical="center"/>
    </xf>
    <xf numFmtId="0" fontId="35" fillId="9" borderId="45" xfId="0" applyFont="1" applyFill="1" applyBorder="1" applyAlignment="1">
      <alignment horizontal="center" vertical="center"/>
    </xf>
    <xf numFmtId="0" fontId="23" fillId="0" borderId="5" xfId="36" applyFont="1" applyFill="1" applyBorder="1" applyAlignment="1">
      <alignment horizontal="center" vertical="center" wrapText="1"/>
    </xf>
    <xf numFmtId="0" fontId="30" fillId="0" borderId="5" xfId="0" applyFont="1" applyBorder="1" applyAlignment="1">
      <alignment horizontal="center" vertical="center" wrapText="1"/>
    </xf>
    <xf numFmtId="0" fontId="23" fillId="0" borderId="15" xfId="0" applyFont="1" applyBorder="1" applyAlignment="1">
      <alignment horizontal="center" vertical="center" wrapText="1"/>
    </xf>
    <xf numFmtId="0" fontId="23" fillId="0" borderId="22"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36" xfId="35" applyFont="1" applyFill="1" applyBorder="1" applyAlignment="1">
      <alignment horizontal="center" vertical="center" wrapText="1"/>
    </xf>
    <xf numFmtId="0" fontId="23" fillId="0" borderId="50" xfId="35" applyFont="1" applyFill="1" applyBorder="1" applyAlignment="1">
      <alignment horizontal="center" vertical="center" wrapText="1"/>
    </xf>
    <xf numFmtId="0" fontId="38" fillId="0" borderId="34" xfId="35" applyFont="1" applyFill="1" applyBorder="1" applyAlignment="1">
      <alignment horizontal="center" vertical="center"/>
    </xf>
    <xf numFmtId="0" fontId="38" fillId="0" borderId="38" xfId="35" applyFont="1" applyFill="1" applyBorder="1" applyAlignment="1">
      <alignment horizontal="center" vertical="center"/>
    </xf>
    <xf numFmtId="0" fontId="23" fillId="0" borderId="16" xfId="35" applyFont="1" applyFill="1" applyBorder="1" applyAlignment="1">
      <alignment horizontal="center" vertical="center" wrapText="1"/>
    </xf>
    <xf numFmtId="0" fontId="23" fillId="0" borderId="40" xfId="35" applyFont="1" applyFill="1" applyBorder="1" applyAlignment="1">
      <alignment horizontal="center" vertical="center" wrapText="1"/>
    </xf>
    <xf numFmtId="0" fontId="23" fillId="0" borderId="12" xfId="35" applyFont="1" applyFill="1" applyBorder="1" applyAlignment="1">
      <alignment horizontal="center" vertical="center" wrapText="1"/>
    </xf>
    <xf numFmtId="0" fontId="23" fillId="0" borderId="6" xfId="35" applyFont="1" applyFill="1" applyBorder="1" applyAlignment="1">
      <alignment horizontal="center" vertical="center" wrapText="1"/>
    </xf>
    <xf numFmtId="2" fontId="34" fillId="0" borderId="15" xfId="35" applyNumberFormat="1" applyFont="1" applyFill="1" applyBorder="1" applyAlignment="1">
      <alignment horizontal="center" vertical="center" wrapText="1"/>
    </xf>
    <xf numFmtId="2" fontId="34" fillId="0" borderId="10" xfId="35" applyNumberFormat="1" applyFont="1" applyFill="1" applyBorder="1" applyAlignment="1">
      <alignment horizontal="center" vertical="center" wrapText="1"/>
    </xf>
    <xf numFmtId="10" fontId="26" fillId="6" borderId="5" xfId="35" applyNumberFormat="1" applyFont="1" applyFill="1" applyBorder="1" applyAlignment="1">
      <alignment horizontal="center" vertical="center" wrapText="1"/>
    </xf>
    <xf numFmtId="10" fontId="26" fillId="6" borderId="11" xfId="35" applyNumberFormat="1" applyFont="1" applyFill="1" applyBorder="1" applyAlignment="1">
      <alignment horizontal="center" vertical="center" wrapText="1"/>
    </xf>
    <xf numFmtId="0" fontId="26" fillId="6" borderId="5" xfId="35" applyFont="1" applyFill="1" applyBorder="1" applyAlignment="1">
      <alignment horizontal="center" vertical="center" wrapText="1"/>
    </xf>
    <xf numFmtId="0" fontId="26" fillId="6" borderId="16" xfId="35" applyFont="1" applyFill="1" applyBorder="1" applyAlignment="1">
      <alignment horizontal="center" vertical="center" wrapText="1"/>
    </xf>
    <xf numFmtId="0" fontId="26" fillId="6" borderId="53" xfId="35" applyFont="1" applyFill="1" applyBorder="1" applyAlignment="1">
      <alignment horizontal="center" vertical="center" wrapText="1"/>
    </xf>
    <xf numFmtId="0" fontId="26" fillId="6" borderId="11" xfId="35" applyFont="1" applyFill="1" applyBorder="1" applyAlignment="1">
      <alignment horizontal="center" vertical="center" wrapText="1"/>
    </xf>
    <xf numFmtId="0" fontId="26" fillId="6" borderId="17" xfId="35" applyFont="1" applyFill="1" applyBorder="1" applyAlignment="1">
      <alignment horizontal="center" vertical="center" wrapText="1"/>
    </xf>
    <xf numFmtId="0" fontId="26" fillId="6" borderId="21" xfId="35" applyFont="1" applyFill="1" applyBorder="1" applyAlignment="1">
      <alignment horizontal="center" vertical="center" wrapText="1"/>
    </xf>
    <xf numFmtId="0" fontId="23" fillId="0" borderId="51" xfId="35" applyFont="1" applyFill="1" applyBorder="1" applyAlignment="1">
      <alignment horizontal="center" vertical="center" wrapText="1"/>
    </xf>
    <xf numFmtId="0" fontId="23" fillId="0" borderId="52" xfId="35" applyFont="1" applyFill="1" applyBorder="1" applyAlignment="1">
      <alignment horizontal="center" vertical="center" wrapText="1"/>
    </xf>
    <xf numFmtId="0" fontId="26" fillId="6" borderId="34" xfId="35" applyFont="1" applyFill="1" applyBorder="1" applyAlignment="1">
      <alignment horizontal="center" vertical="center" wrapText="1"/>
    </xf>
    <xf numFmtId="0" fontId="26" fillId="6" borderId="36" xfId="35" applyFont="1" applyFill="1" applyBorder="1" applyAlignment="1">
      <alignment horizontal="center" vertical="center" wrapText="1"/>
    </xf>
    <xf numFmtId="0" fontId="25" fillId="6" borderId="48" xfId="35" applyFont="1" applyFill="1" applyBorder="1" applyAlignment="1">
      <alignment horizontal="left" vertical="center" wrapText="1"/>
    </xf>
    <xf numFmtId="0" fontId="25" fillId="6" borderId="49" xfId="35" applyFont="1" applyFill="1" applyBorder="1" applyAlignment="1">
      <alignment horizontal="left" vertical="center" wrapText="1"/>
    </xf>
    <xf numFmtId="0" fontId="25" fillId="6" borderId="39" xfId="35" applyFont="1" applyFill="1" applyBorder="1" applyAlignment="1">
      <alignment horizontal="left" vertical="center" wrapText="1"/>
    </xf>
    <xf numFmtId="0" fontId="26" fillId="6" borderId="23" xfId="35" applyFont="1" applyFill="1" applyBorder="1" applyAlignment="1">
      <alignment horizontal="center" vertical="center" wrapText="1"/>
    </xf>
    <xf numFmtId="0" fontId="26" fillId="6" borderId="35" xfId="35" applyFont="1" applyFill="1" applyBorder="1" applyAlignment="1">
      <alignment horizontal="center" vertical="center" wrapText="1"/>
    </xf>
    <xf numFmtId="0" fontId="26" fillId="6" borderId="5" xfId="35" applyFont="1" applyFill="1" applyBorder="1" applyAlignment="1">
      <alignment horizontal="center" vertical="center"/>
    </xf>
    <xf numFmtId="0" fontId="26" fillId="6" borderId="40" xfId="35" applyFont="1" applyFill="1" applyBorder="1" applyAlignment="1">
      <alignment horizontal="center" vertical="center" wrapText="1"/>
    </xf>
    <xf numFmtId="0" fontId="26" fillId="6" borderId="54" xfId="35" applyFont="1" applyFill="1" applyBorder="1" applyAlignment="1">
      <alignment horizontal="center" vertical="center" wrapText="1"/>
    </xf>
    <xf numFmtId="0" fontId="38" fillId="0" borderId="34" xfId="35" applyFont="1" applyFill="1" applyBorder="1" applyAlignment="1">
      <alignment horizontal="center" vertical="center" wrapText="1"/>
    </xf>
    <xf numFmtId="0" fontId="38" fillId="0" borderId="38" xfId="35" applyFont="1" applyFill="1" applyBorder="1" applyAlignment="1">
      <alignment horizontal="center" vertical="center" wrapText="1"/>
    </xf>
    <xf numFmtId="0" fontId="38" fillId="0" borderId="53" xfId="35" applyFont="1" applyFill="1" applyBorder="1" applyAlignment="1">
      <alignment horizontal="center" vertical="center" wrapText="1"/>
    </xf>
    <xf numFmtId="0" fontId="38" fillId="0" borderId="54" xfId="35" applyFont="1" applyFill="1" applyBorder="1" applyAlignment="1">
      <alignment horizontal="center" vertical="center" wrapText="1"/>
    </xf>
    <xf numFmtId="0" fontId="38" fillId="0" borderId="12" xfId="35" applyFont="1" applyFill="1" applyBorder="1" applyAlignment="1">
      <alignment horizontal="center" vertical="center" wrapText="1"/>
    </xf>
    <xf numFmtId="0" fontId="38" fillId="0" borderId="6" xfId="35" applyFont="1" applyFill="1" applyBorder="1" applyAlignment="1">
      <alignment horizontal="center" vertical="center" wrapText="1"/>
    </xf>
    <xf numFmtId="0" fontId="34" fillId="0" borderId="34" xfId="35" applyFont="1" applyFill="1" applyBorder="1" applyAlignment="1">
      <alignment horizontal="center" vertical="center" wrapText="1"/>
    </xf>
    <xf numFmtId="0" fontId="34" fillId="0" borderId="38" xfId="35" applyFont="1" applyFill="1" applyBorder="1" applyAlignment="1">
      <alignment horizontal="center" vertical="center" wrapText="1"/>
    </xf>
    <xf numFmtId="0" fontId="37" fillId="0" borderId="34" xfId="35" applyFont="1" applyFill="1" applyBorder="1" applyAlignment="1">
      <alignment horizontal="center" vertical="center" wrapText="1"/>
    </xf>
    <xf numFmtId="0" fontId="37" fillId="0" borderId="38" xfId="35" applyFont="1" applyFill="1" applyBorder="1" applyAlignment="1">
      <alignment horizontal="center" vertical="center" wrapText="1"/>
    </xf>
    <xf numFmtId="0" fontId="38" fillId="0" borderId="5" xfId="35" applyFont="1" applyFill="1" applyBorder="1" applyAlignment="1">
      <alignment horizontal="center" vertical="center" wrapText="1"/>
    </xf>
    <xf numFmtId="0" fontId="25" fillId="6" borderId="5" xfId="35" applyFont="1" applyFill="1" applyBorder="1" applyAlignment="1">
      <alignment horizontal="left" vertical="center" wrapText="1"/>
    </xf>
    <xf numFmtId="0" fontId="26" fillId="6" borderId="3" xfId="35" applyFont="1" applyFill="1" applyBorder="1" applyAlignment="1">
      <alignment horizontal="center" vertical="center" wrapText="1"/>
    </xf>
    <xf numFmtId="0" fontId="26" fillId="6" borderId="38" xfId="35" applyFont="1" applyFill="1" applyBorder="1" applyAlignment="1">
      <alignment horizontal="center" vertical="center" wrapText="1"/>
    </xf>
    <xf numFmtId="0" fontId="26" fillId="6" borderId="10" xfId="35" applyFont="1" applyFill="1" applyBorder="1" applyAlignment="1">
      <alignment horizontal="center" vertical="center" wrapText="1"/>
    </xf>
    <xf numFmtId="0" fontId="26" fillId="6" borderId="12" xfId="35" applyFont="1" applyFill="1" applyBorder="1" applyAlignment="1">
      <alignment horizontal="center" vertical="center" wrapText="1"/>
    </xf>
    <xf numFmtId="0" fontId="26" fillId="6" borderId="19" xfId="35" applyFont="1" applyFill="1" applyBorder="1" applyAlignment="1">
      <alignment horizontal="center" vertical="center" wrapText="1"/>
    </xf>
    <xf numFmtId="0" fontId="26" fillId="6" borderId="15" xfId="35" applyFont="1" applyFill="1" applyBorder="1" applyAlignment="1">
      <alignment horizontal="center" vertical="center" wrapText="1"/>
    </xf>
    <xf numFmtId="0" fontId="26" fillId="6" borderId="43" xfId="35" applyFont="1" applyFill="1" applyBorder="1" applyAlignment="1">
      <alignment horizontal="center" vertical="center" wrapText="1"/>
    </xf>
    <xf numFmtId="0" fontId="26" fillId="6" borderId="18" xfId="35" applyFont="1" applyFill="1" applyBorder="1" applyAlignment="1">
      <alignment horizontal="center" vertical="center" wrapText="1"/>
    </xf>
    <xf numFmtId="0" fontId="26" fillId="6" borderId="22" xfId="35" applyFont="1" applyFill="1" applyBorder="1" applyAlignment="1">
      <alignment horizontal="center" vertical="center" wrapText="1"/>
    </xf>
    <xf numFmtId="0" fontId="26" fillId="6" borderId="10" xfId="35" applyFont="1" applyFill="1" applyBorder="1" applyAlignment="1">
      <alignment horizontal="center" vertical="center"/>
    </xf>
    <xf numFmtId="178" fontId="23" fillId="0" borderId="15" xfId="59" applyNumberFormat="1" applyFont="1" applyFill="1" applyBorder="1" applyAlignment="1">
      <alignment horizontal="center" vertical="center"/>
    </xf>
    <xf numFmtId="178" fontId="23" fillId="0" borderId="22" xfId="59" applyNumberFormat="1" applyFont="1" applyFill="1" applyBorder="1" applyAlignment="1">
      <alignment horizontal="center" vertical="center"/>
    </xf>
    <xf numFmtId="178" fontId="23" fillId="0" borderId="10" xfId="59" applyNumberFormat="1" applyFont="1" applyFill="1" applyBorder="1" applyAlignment="1">
      <alignment horizontal="center" vertical="center"/>
    </xf>
    <xf numFmtId="178" fontId="23" fillId="0" borderId="15" xfId="59" applyNumberFormat="1" applyFont="1" applyBorder="1" applyAlignment="1">
      <alignment horizontal="center" vertical="center"/>
    </xf>
    <xf numFmtId="178" fontId="23" fillId="0" borderId="22" xfId="59" applyNumberFormat="1" applyFont="1" applyBorder="1" applyAlignment="1">
      <alignment horizontal="center" vertical="center"/>
    </xf>
    <xf numFmtId="178" fontId="23" fillId="0" borderId="10" xfId="59" applyNumberFormat="1" applyFont="1" applyBorder="1" applyAlignment="1">
      <alignment horizontal="center" vertical="center"/>
    </xf>
    <xf numFmtId="178" fontId="23" fillId="0" borderId="46" xfId="59" applyNumberFormat="1" applyFont="1" applyFill="1" applyBorder="1" applyAlignment="1">
      <alignment horizontal="center" vertical="center"/>
    </xf>
    <xf numFmtId="0" fontId="30" fillId="0" borderId="47" xfId="0" applyFont="1" applyFill="1" applyBorder="1" applyAlignment="1">
      <alignment horizontal="center" vertical="center"/>
    </xf>
    <xf numFmtId="0" fontId="30" fillId="0" borderId="25" xfId="0" applyFont="1" applyFill="1" applyBorder="1" applyAlignment="1">
      <alignment horizontal="center" vertical="center"/>
    </xf>
    <xf numFmtId="0" fontId="30" fillId="0" borderId="18" xfId="0" applyFont="1" applyFill="1" applyBorder="1" applyAlignment="1">
      <alignment horizontal="center" vertical="center"/>
    </xf>
    <xf numFmtId="0" fontId="23" fillId="0" borderId="46" xfId="35" applyFont="1" applyFill="1" applyBorder="1" applyAlignment="1">
      <alignment horizontal="center" vertical="center" wrapText="1"/>
    </xf>
    <xf numFmtId="0" fontId="23" fillId="0" borderId="22" xfId="35" applyFont="1" applyFill="1" applyBorder="1" applyAlignment="1">
      <alignment horizontal="center" vertical="center" wrapText="1"/>
    </xf>
    <xf numFmtId="0" fontId="25" fillId="6" borderId="26" xfId="35" applyFont="1" applyFill="1" applyBorder="1" applyAlignment="1">
      <alignment horizontal="left" vertical="center" wrapText="1"/>
    </xf>
    <xf numFmtId="0" fontId="25" fillId="6" borderId="2" xfId="35" applyFont="1" applyFill="1" applyBorder="1" applyAlignment="1">
      <alignment horizontal="left" vertical="center" wrapText="1"/>
    </xf>
    <xf numFmtId="0" fontId="25" fillId="6" borderId="55" xfId="35" applyFont="1" applyFill="1" applyBorder="1" applyAlignment="1">
      <alignment horizontal="left" vertical="center" wrapText="1"/>
    </xf>
    <xf numFmtId="0" fontId="23" fillId="0" borderId="20" xfId="35" applyFont="1" applyFill="1" applyBorder="1" applyAlignment="1">
      <alignment horizontal="center" vertical="center" wrapText="1"/>
    </xf>
    <xf numFmtId="0" fontId="23" fillId="0" borderId="60" xfId="35" applyFont="1" applyFill="1" applyBorder="1" applyAlignment="1">
      <alignment horizontal="center" vertical="center" wrapText="1"/>
    </xf>
    <xf numFmtId="0" fontId="23" fillId="0" borderId="19" xfId="35" applyFont="1" applyFill="1" applyBorder="1" applyAlignment="1">
      <alignment horizontal="center" vertical="center" wrapText="1"/>
    </xf>
    <xf numFmtId="0" fontId="30" fillId="0" borderId="24" xfId="0" applyFont="1" applyFill="1" applyBorder="1" applyAlignment="1">
      <alignment horizontal="center" vertical="center"/>
    </xf>
    <xf numFmtId="1" fontId="34" fillId="0" borderId="15" xfId="0" applyNumberFormat="1" applyFont="1" applyBorder="1" applyAlignment="1">
      <alignment horizontal="center" vertical="center"/>
    </xf>
    <xf numFmtId="1" fontId="34" fillId="0" borderId="22" xfId="0" applyNumberFormat="1" applyFont="1" applyBorder="1" applyAlignment="1">
      <alignment horizontal="center" vertical="center"/>
    </xf>
    <xf numFmtId="1" fontId="34" fillId="0" borderId="10" xfId="0" applyNumberFormat="1" applyFont="1" applyBorder="1" applyAlignment="1">
      <alignment horizontal="center" vertical="center"/>
    </xf>
    <xf numFmtId="0" fontId="22" fillId="0" borderId="0" xfId="35" applyFont="1" applyFill="1" applyBorder="1" applyAlignment="1">
      <alignment horizontal="left" vertical="center" wrapText="1"/>
    </xf>
    <xf numFmtId="0" fontId="25" fillId="6" borderId="56" xfId="35" applyFont="1" applyFill="1" applyBorder="1" applyAlignment="1">
      <alignment horizontal="left" vertical="center" wrapText="1"/>
    </xf>
    <xf numFmtId="0" fontId="25" fillId="6" borderId="57" xfId="35" applyFont="1" applyFill="1" applyBorder="1" applyAlignment="1">
      <alignment horizontal="left" vertical="center" wrapText="1"/>
    </xf>
    <xf numFmtId="0" fontId="25" fillId="6" borderId="58" xfId="35" applyFont="1" applyFill="1" applyBorder="1" applyAlignment="1">
      <alignment horizontal="left" vertical="center" wrapText="1"/>
    </xf>
    <xf numFmtId="0" fontId="26" fillId="6" borderId="6" xfId="35" applyFont="1" applyFill="1" applyBorder="1" applyAlignment="1">
      <alignment horizontal="center" vertical="center" wrapText="1"/>
    </xf>
    <xf numFmtId="0" fontId="35" fillId="6" borderId="10" xfId="35" applyFont="1" applyFill="1" applyBorder="1" applyAlignment="1">
      <alignment horizontal="center" vertical="center" wrapText="1"/>
    </xf>
    <xf numFmtId="0" fontId="35" fillId="6" borderId="11" xfId="35" applyFont="1" applyFill="1" applyBorder="1" applyAlignment="1">
      <alignment horizontal="center" vertical="center" wrapText="1"/>
    </xf>
    <xf numFmtId="0" fontId="23" fillId="0" borderId="59" xfId="35" applyFont="1" applyFill="1" applyBorder="1" applyAlignment="1">
      <alignment horizontal="center" vertical="center" wrapText="1"/>
    </xf>
    <xf numFmtId="1" fontId="23" fillId="0" borderId="46" xfId="0" applyNumberFormat="1" applyFont="1" applyBorder="1" applyAlignment="1">
      <alignment horizontal="center" vertical="center"/>
    </xf>
    <xf numFmtId="1" fontId="23" fillId="0" borderId="22" xfId="0" applyNumberFormat="1" applyFont="1" applyBorder="1" applyAlignment="1">
      <alignment horizontal="center" vertical="center"/>
    </xf>
    <xf numFmtId="1" fontId="23" fillId="0" borderId="10" xfId="0" applyNumberFormat="1" applyFont="1" applyBorder="1" applyAlignment="1">
      <alignment horizontal="center" vertical="center"/>
    </xf>
    <xf numFmtId="0" fontId="23" fillId="0" borderId="46" xfId="0" applyFont="1" applyBorder="1" applyAlignment="1">
      <alignment horizontal="center" vertical="center"/>
    </xf>
    <xf numFmtId="0" fontId="23" fillId="0" borderId="22" xfId="0" applyFont="1" applyBorder="1" applyAlignment="1">
      <alignment horizontal="center" vertical="center"/>
    </xf>
    <xf numFmtId="0" fontId="23" fillId="0" borderId="10" xfId="0" applyFont="1" applyBorder="1" applyAlignment="1">
      <alignment horizontal="center" vertical="center"/>
    </xf>
    <xf numFmtId="178" fontId="23" fillId="0" borderId="46" xfId="58" applyNumberFormat="1" applyFont="1" applyFill="1" applyBorder="1" applyAlignment="1">
      <alignment horizontal="center" vertical="center"/>
    </xf>
    <xf numFmtId="178" fontId="23" fillId="0" borderId="22" xfId="58" applyNumberFormat="1" applyFont="1" applyFill="1" applyBorder="1" applyAlignment="1">
      <alignment horizontal="center" vertical="center"/>
    </xf>
    <xf numFmtId="178" fontId="23" fillId="0" borderId="10" xfId="58" applyNumberFormat="1" applyFont="1" applyFill="1" applyBorder="1" applyAlignment="1">
      <alignment horizontal="center" vertical="center"/>
    </xf>
    <xf numFmtId="178" fontId="23" fillId="0" borderId="15" xfId="58" applyNumberFormat="1" applyFont="1" applyFill="1" applyBorder="1" applyAlignment="1">
      <alignment horizontal="center" vertical="center"/>
    </xf>
    <xf numFmtId="178" fontId="23" fillId="0" borderId="15" xfId="58" applyNumberFormat="1" applyFont="1" applyBorder="1" applyAlignment="1">
      <alignment horizontal="center" vertical="center"/>
    </xf>
    <xf numFmtId="178" fontId="23" fillId="0" borderId="22" xfId="58" applyNumberFormat="1" applyFont="1" applyBorder="1" applyAlignment="1">
      <alignment horizontal="center" vertical="center"/>
    </xf>
    <xf numFmtId="178" fontId="23" fillId="0" borderId="10" xfId="58" applyNumberFormat="1" applyFont="1" applyBorder="1" applyAlignment="1">
      <alignment horizontal="center" vertical="center"/>
    </xf>
    <xf numFmtId="0" fontId="32" fillId="0" borderId="28" xfId="0" applyFont="1" applyBorder="1" applyAlignment="1">
      <alignment horizontal="center" vertical="center" wrapText="1"/>
    </xf>
    <xf numFmtId="0" fontId="32" fillId="0" borderId="27" xfId="0" applyFont="1" applyBorder="1" applyAlignment="1">
      <alignment horizontal="center" vertical="center" wrapText="1"/>
    </xf>
    <xf numFmtId="0" fontId="22" fillId="0" borderId="0" xfId="0" applyFont="1" applyAlignment="1">
      <alignment horizontal="center"/>
    </xf>
    <xf numFmtId="0" fontId="22" fillId="0" borderId="0" xfId="0" applyFont="1" applyAlignment="1">
      <alignment horizontal="center" vertical="center"/>
    </xf>
    <xf numFmtId="0" fontId="31" fillId="0" borderId="0" xfId="0" applyFont="1" applyAlignment="1">
      <alignment horizontal="center" vertical="center"/>
    </xf>
    <xf numFmtId="0" fontId="22" fillId="0" borderId="0" xfId="35" applyFont="1" applyFill="1" applyBorder="1" applyAlignment="1">
      <alignment horizontal="center" vertical="center" wrapText="1"/>
    </xf>
  </cellXfs>
  <cellStyles count="70">
    <cellStyle name="0.0" xfId="1" xr:uid="{00000000-0005-0000-0000-000000000000}"/>
    <cellStyle name="ac" xfId="2" xr:uid="{00000000-0005-0000-0000-000001000000}"/>
    <cellStyle name="arial12" xfId="3" xr:uid="{00000000-0005-0000-0000-000002000000}"/>
    <cellStyle name="arial14" xfId="4" xr:uid="{00000000-0005-0000-0000-000003000000}"/>
    <cellStyle name="Bold 11" xfId="5" xr:uid="{00000000-0005-0000-0000-000004000000}"/>
    <cellStyle name="Comma0" xfId="6" xr:uid="{00000000-0005-0000-0000-000005000000}"/>
    <cellStyle name="Currency (0)" xfId="7" xr:uid="{00000000-0005-0000-0000-000006000000}"/>
    <cellStyle name="Currency (2)" xfId="8" xr:uid="{00000000-0005-0000-0000-000007000000}"/>
    <cellStyle name="Date" xfId="9" xr:uid="{00000000-0005-0000-0000-000008000000}"/>
    <cellStyle name="Date-Time" xfId="10" xr:uid="{00000000-0005-0000-0000-000009000000}"/>
    <cellStyle name="Decimal 1" xfId="11" xr:uid="{00000000-0005-0000-0000-00000A000000}"/>
    <cellStyle name="Decimal 2" xfId="12" xr:uid="{00000000-0005-0000-0000-00000B000000}"/>
    <cellStyle name="Decimal 3" xfId="13" xr:uid="{00000000-0005-0000-0000-00000C000000}"/>
    <cellStyle name="Euro" xfId="14" xr:uid="{00000000-0005-0000-0000-00000D000000}"/>
    <cellStyle name="Excel Built-in Normal" xfId="15" xr:uid="{00000000-0005-0000-0000-00000E000000}"/>
    <cellStyle name="Grey" xfId="16" xr:uid="{00000000-0005-0000-0000-00000F000000}"/>
    <cellStyle name="Header1" xfId="17" xr:uid="{00000000-0005-0000-0000-000010000000}"/>
    <cellStyle name="Header2" xfId="18" xr:uid="{00000000-0005-0000-0000-000011000000}"/>
    <cellStyle name="Input %" xfId="19" xr:uid="{00000000-0005-0000-0000-000012000000}"/>
    <cellStyle name="Input [yellow]" xfId="20" xr:uid="{00000000-0005-0000-0000-000013000000}"/>
    <cellStyle name="Input 1" xfId="21" xr:uid="{00000000-0005-0000-0000-000014000000}"/>
    <cellStyle name="Input 3" xfId="22" xr:uid="{00000000-0005-0000-0000-000015000000}"/>
    <cellStyle name="Millares [0]_RESULTS" xfId="23" xr:uid="{00000000-0005-0000-0000-000016000000}"/>
    <cellStyle name="Millares_RESULTS" xfId="24" xr:uid="{00000000-0005-0000-0000-000017000000}"/>
    <cellStyle name="Milliers [0]_EDYAN" xfId="25" xr:uid="{00000000-0005-0000-0000-000018000000}"/>
    <cellStyle name="Milliers_EDYAN" xfId="26" xr:uid="{00000000-0005-0000-0000-000019000000}"/>
    <cellStyle name="Moneda [0]_RESULTS" xfId="27" xr:uid="{00000000-0005-0000-0000-00001A000000}"/>
    <cellStyle name="Moneda_RESULTS" xfId="28" xr:uid="{00000000-0005-0000-0000-00001B000000}"/>
    <cellStyle name="Monétaire [0]_EDYAN" xfId="29" xr:uid="{00000000-0005-0000-0000-00001C000000}"/>
    <cellStyle name="Monétaire_EDYAN" xfId="30" xr:uid="{00000000-0005-0000-0000-00001D000000}"/>
    <cellStyle name="Month" xfId="31" xr:uid="{00000000-0005-0000-0000-00001E000000}"/>
    <cellStyle name="no dec" xfId="32" xr:uid="{00000000-0005-0000-0000-00001F000000}"/>
    <cellStyle name="Normal" xfId="0" builtinId="0"/>
    <cellStyle name="Normal - Style1" xfId="33" xr:uid="{00000000-0005-0000-0000-000021000000}"/>
    <cellStyle name="Normal 10" xfId="62" xr:uid="{00000000-0005-0000-0000-000022000000}"/>
    <cellStyle name="Normal 11" xfId="34" xr:uid="{00000000-0005-0000-0000-000023000000}"/>
    <cellStyle name="Normal 12" xfId="63" xr:uid="{00000000-0005-0000-0000-000024000000}"/>
    <cellStyle name="Normal 13" xfId="64" xr:uid="{00000000-0005-0000-0000-000025000000}"/>
    <cellStyle name="Normal 14" xfId="65" xr:uid="{00000000-0005-0000-0000-000026000000}"/>
    <cellStyle name="Normal 15" xfId="66" xr:uid="{00000000-0005-0000-0000-000027000000}"/>
    <cellStyle name="Normal 16" xfId="67" xr:uid="{00000000-0005-0000-0000-000028000000}"/>
    <cellStyle name="Normal 17" xfId="68" xr:uid="{00000000-0005-0000-0000-000029000000}"/>
    <cellStyle name="Normal 18" xfId="69" xr:uid="{00000000-0005-0000-0000-00002A000000}"/>
    <cellStyle name="Normal 2" xfId="35" xr:uid="{00000000-0005-0000-0000-00002B000000}"/>
    <cellStyle name="Normal 3" xfId="36" xr:uid="{00000000-0005-0000-0000-00002C000000}"/>
    <cellStyle name="Normal 6" xfId="59" xr:uid="{00000000-0005-0000-0000-00002D000000}"/>
    <cellStyle name="Normal 7" xfId="58" xr:uid="{00000000-0005-0000-0000-00002E000000}"/>
    <cellStyle name="Normal 8" xfId="60" xr:uid="{00000000-0005-0000-0000-00002F000000}"/>
    <cellStyle name="Normal 9" xfId="61" xr:uid="{00000000-0005-0000-0000-000030000000}"/>
    <cellStyle name="Numero" xfId="37" xr:uid="{00000000-0005-0000-0000-000031000000}"/>
    <cellStyle name="padroes" xfId="38" xr:uid="{00000000-0005-0000-0000-000032000000}"/>
    <cellStyle name="Percent ()" xfId="39" xr:uid="{00000000-0005-0000-0000-000033000000}"/>
    <cellStyle name="Percent (0)" xfId="40" xr:uid="{00000000-0005-0000-0000-000034000000}"/>
    <cellStyle name="Percent (1)" xfId="41" xr:uid="{00000000-0005-0000-0000-000035000000}"/>
    <cellStyle name="Percent [2]" xfId="42" xr:uid="{00000000-0005-0000-0000-000036000000}"/>
    <cellStyle name="Percent 1" xfId="43" xr:uid="{00000000-0005-0000-0000-000037000000}"/>
    <cellStyle name="Percent 2" xfId="44" xr:uid="{00000000-0005-0000-0000-000038000000}"/>
    <cellStyle name="RAMEY" xfId="45" xr:uid="{00000000-0005-0000-0000-000039000000}"/>
    <cellStyle name="Ramey $k" xfId="46" xr:uid="{00000000-0005-0000-0000-00003A000000}"/>
    <cellStyle name="RAMEY_P&amp;O BKUP" xfId="47" xr:uid="{00000000-0005-0000-0000-00003B000000}"/>
    <cellStyle name="Shaded" xfId="48" xr:uid="{00000000-0005-0000-0000-00003C000000}"/>
    <cellStyle name="sub-total" xfId="49" xr:uid="{00000000-0005-0000-0000-00003D000000}"/>
    <cellStyle name="Sum" xfId="50" xr:uid="{00000000-0005-0000-0000-00003E000000}"/>
    <cellStyle name="Sum %of HV" xfId="51" xr:uid="{00000000-0005-0000-0000-00003F000000}"/>
    <cellStyle name="Thousands (0)" xfId="52" xr:uid="{00000000-0005-0000-0000-000040000000}"/>
    <cellStyle name="Thousands (1)" xfId="53" xr:uid="{00000000-0005-0000-0000-000041000000}"/>
    <cellStyle name="time" xfId="54" xr:uid="{00000000-0005-0000-0000-000042000000}"/>
    <cellStyle name="Total" xfId="55" builtinId="25" customBuiltin="1"/>
    <cellStyle name="Underline 2" xfId="56" xr:uid="{00000000-0005-0000-0000-000044000000}"/>
    <cellStyle name="Year" xfId="57" xr:uid="{00000000-0005-0000-0000-00004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95250</xdr:rowOff>
    </xdr:from>
    <xdr:to>
      <xdr:col>2</xdr:col>
      <xdr:colOff>390525</xdr:colOff>
      <xdr:row>5</xdr:row>
      <xdr:rowOff>66675</xdr:rowOff>
    </xdr:to>
    <xdr:pic>
      <xdr:nvPicPr>
        <xdr:cNvPr id="2" name="Imagem 2" descr="Município de Cascavel">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6675" y="95250"/>
          <a:ext cx="1343025" cy="10953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95250</xdr:rowOff>
    </xdr:from>
    <xdr:to>
      <xdr:col>2</xdr:col>
      <xdr:colOff>390525</xdr:colOff>
      <xdr:row>5</xdr:row>
      <xdr:rowOff>66675</xdr:rowOff>
    </xdr:to>
    <xdr:pic>
      <xdr:nvPicPr>
        <xdr:cNvPr id="23958" name="Imagem 2" descr="Município de Cascavel">
          <a:extLst>
            <a:ext uri="{FF2B5EF4-FFF2-40B4-BE49-F238E27FC236}">
              <a16:creationId xmlns:a16="http://schemas.microsoft.com/office/drawing/2014/main" id="{00000000-0008-0000-0100-0000965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6675" y="95250"/>
          <a:ext cx="1343025" cy="10953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114300</xdr:colOff>
      <xdr:row>0</xdr:row>
      <xdr:rowOff>57150</xdr:rowOff>
    </xdr:from>
    <xdr:to>
      <xdr:col>0</xdr:col>
      <xdr:colOff>1143000</xdr:colOff>
      <xdr:row>4</xdr:row>
      <xdr:rowOff>85725</xdr:rowOff>
    </xdr:to>
    <xdr:pic>
      <xdr:nvPicPr>
        <xdr:cNvPr id="22065" name="Imagem 2" descr="Município de Cascavel">
          <a:extLst>
            <a:ext uri="{FF2B5EF4-FFF2-40B4-BE49-F238E27FC236}">
              <a16:creationId xmlns:a16="http://schemas.microsoft.com/office/drawing/2014/main" id="{00000000-0008-0000-0200-0000315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4300" y="57150"/>
          <a:ext cx="1028700" cy="8286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auloc\Disco_C\Take-Off\Valdemi\TakeOff%202551%20-%20Filtrag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dbg-my.sharepoint.com/Users/elianea/AppData/Local/Microsoft/Windows/Temporary%20Internet%20Files/Content.Outlook/2XWPQ3GJ/NOVO%20PA-BID%20AGO-2015/PA%20%20PROCIDADES%20Cascavel%20Rev.%20MTA%2014-07-15%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fazi08\set\SCCP\SCCP%202004\LRF%202004\AnexosRREO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aysa\c\INTERNET\Eudora\Attach\SBLO_PcP-AmpTPS_fora_CLP.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processo%20tps\EXCEL\Orcamentos\Aeroporto-Infraero-Navegant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Resumo"/>
      <sheetName val="Projetos"/>
      <sheetName val="Esc 1,5"/>
      <sheetName val="Esc 3,0"/>
      <sheetName val="Esc 3ª"/>
      <sheetName val="Esc 3ªate3m"/>
      <sheetName val="B.Fora"/>
      <sheetName val="Rachão"/>
      <sheetName val="Reat.Areia"/>
      <sheetName val="Base 40-60"/>
      <sheetName val="Reg.8%"/>
      <sheetName val="F.3ª"/>
      <sheetName val="F.14mm"/>
      <sheetName val="Conc 10"/>
      <sheetName val="Conc 20"/>
      <sheetName val="Conc 30 (SP)"/>
      <sheetName val="Cimbram"/>
      <sheetName val="M.Poliet"/>
      <sheetName val="Isopor 15mm"/>
      <sheetName val="JSerr"/>
      <sheetName val="BarraTf"/>
      <sheetName val="JMast"/>
      <sheetName val="JF O-22"/>
      <sheetName val="G.Normal"/>
      <sheetName val="ASTM-A-36"/>
      <sheetName val="SAE-1020"/>
      <sheetName val="Aço &lt;=12,5"/>
      <sheetName val="Aço &gt;12,5"/>
      <sheetName val="FornTransp"/>
      <sheetName val="Reaterro 1ª"/>
      <sheetName val="Brita Comp"/>
      <sheetName val="Forma 3ª"/>
      <sheetName val="Forma 14m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ções"/>
      <sheetName val="Detalhes Plano de Aquisições"/>
      <sheetName val="Sheet1"/>
      <sheetName val="Folha de Comentários"/>
    </sheetNames>
    <sheetDataSet>
      <sheetData sheetId="0"/>
      <sheetData sheetId="1">
        <row r="120">
          <cell r="E120" t="str">
            <v>Seleção Baseada na Qualidade e Custo (SBQC)</v>
          </cell>
        </row>
        <row r="121">
          <cell r="E121" t="str">
            <v>Seleção Baseada na Qualidade (SBQ)</v>
          </cell>
        </row>
        <row r="122">
          <cell r="E122" t="str">
            <v>Seleção Baseada nas Qualificações do Consultor (SQC)</v>
          </cell>
        </row>
        <row r="123">
          <cell r="E123" t="str">
            <v>Contratação Direta (CD)</v>
          </cell>
        </row>
        <row r="124">
          <cell r="E124" t="str">
            <v>Sistema Nacional (SN)</v>
          </cell>
        </row>
        <row r="125">
          <cell r="E125" t="str">
            <v>Seleção Baseada no Menor Custo (SBMC) </v>
          </cell>
        </row>
        <row r="126">
          <cell r="E126" t="str">
            <v>Seleção Baseada em Orçamento Fixo (SBOF)</v>
          </cell>
        </row>
        <row r="127">
          <cell r="E127" t="str">
            <v>Licitação Pública Nacional (LPN)</v>
          </cell>
        </row>
        <row r="128">
          <cell r="E128" t="str">
            <v>Comparação de Preços (CP)</v>
          </cell>
        </row>
      </sheetData>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I-BALANCO ORCAMENTARIO"/>
      <sheetName val="Anexo II-DESP FUNC-SUBFUNC"/>
      <sheetName val="Anexo III - RCL"/>
      <sheetName val="Anexo IV - PREVID REGIME GERAL"/>
      <sheetName val="Anexo V - PREVID SERV PUB"/>
      <sheetName val="Anexo VI - RES NOM"/>
      <sheetName val="Anexo VII - RES PRIM"/>
      <sheetName val="Anexo VIII - RES PRIM UNIAO"/>
      <sheetName val="Anexo IX - RP PODER E ORGAO"/>
      <sheetName val="Anexo X - ENSINO"/>
      <sheetName val="Anexo XI-REC OP CRED E DESP CAP"/>
      <sheetName val="Anexo XII-PROJ AT REG GERAL RES"/>
      <sheetName val="Anexo XII-PROJ AT REG GERAL HIP"/>
      <sheetName val="Anexo XIII-PROJ AT REG SERV"/>
      <sheetName val="Anexo XIV-ALIEN ATIVOS"/>
      <sheetName val="Anexo XV - SAUDE UNIAO"/>
      <sheetName val="Anexo XVI - SAUDE ESTADOS"/>
      <sheetName val="Anexo XVI - SAUDE MUNICIPIOS"/>
      <sheetName val="Anexo XVII - Simplificad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étrica"/>
      <sheetName val="Orçamento Global"/>
      <sheetName val="Hidrossanitário"/>
    </sheetNames>
    <sheetDataSet>
      <sheetData sheetId="0" refreshError="1"/>
      <sheetData sheetId="1" refreshError="1">
        <row r="38">
          <cell r="D38">
            <v>0.2</v>
          </cell>
        </row>
      </sheetData>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o com preço-INFRAERO"/>
      <sheetName val="Orçamento sem preço"/>
      <sheetName val="ABAPAN"/>
      <sheetName val="CRONO"/>
      <sheetName val=" BDI"/>
      <sheetName val="ENCARGOS "/>
      <sheetName val="Plan3"/>
      <sheetName val="Plan4"/>
      <sheetName val="Plan5"/>
      <sheetName val="Plan6"/>
      <sheetName val="Plan7"/>
      <sheetName val="Plan8"/>
      <sheetName val="Plan9"/>
      <sheetName val="Plan1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E183"/>
  <sheetViews>
    <sheetView tabSelected="1" view="pageBreakPreview" zoomScale="50" zoomScaleNormal="70" zoomScaleSheetLayoutView="50" workbookViewId="0">
      <selection activeCell="Q29" sqref="Q29:Q58"/>
    </sheetView>
  </sheetViews>
  <sheetFormatPr defaultColWidth="9.109375" defaultRowHeight="15.6"/>
  <cols>
    <col min="1" max="1" width="8.44140625" style="2" customWidth="1"/>
    <col min="2" max="2" width="6.88671875" style="2" customWidth="1"/>
    <col min="3" max="3" width="64.88671875" style="2" customWidth="1"/>
    <col min="4" max="4" width="21" style="2" customWidth="1"/>
    <col min="5" max="5" width="38.109375" style="2" customWidth="1"/>
    <col min="6" max="6" width="15.88671875" style="2" customWidth="1"/>
    <col min="7" max="7" width="12.88671875" style="2" customWidth="1"/>
    <col min="8" max="8" width="15.6640625" style="4" customWidth="1"/>
    <col min="9" max="9" width="15.6640625" style="5" customWidth="1"/>
    <col min="10" max="10" width="18" style="5" customWidth="1"/>
    <col min="11" max="11" width="12.6640625" style="2" customWidth="1"/>
    <col min="12" max="12" width="19.5546875" style="2" customWidth="1"/>
    <col min="13" max="13" width="15.5546875" style="2" customWidth="1"/>
    <col min="14" max="14" width="16.33203125" style="2" customWidth="1"/>
    <col min="15" max="17" width="18.88671875" style="2" customWidth="1"/>
    <col min="18" max="18" width="13" style="2" bestFit="1" customWidth="1"/>
    <col min="19" max="16384" width="9.109375" style="2"/>
  </cols>
  <sheetData>
    <row r="1" spans="1:20">
      <c r="B1" s="3"/>
    </row>
    <row r="2" spans="1:20" ht="25.5" customHeight="1">
      <c r="B2" s="91"/>
      <c r="C2" s="171"/>
      <c r="D2" s="171" t="s">
        <v>15</v>
      </c>
      <c r="E2" s="171"/>
      <c r="F2" s="171"/>
      <c r="G2" s="171"/>
      <c r="H2" s="171"/>
      <c r="I2" s="171"/>
      <c r="J2" s="171"/>
      <c r="K2" s="171"/>
      <c r="L2" s="171"/>
      <c r="M2" s="171"/>
      <c r="N2" s="171"/>
      <c r="O2"/>
    </row>
    <row r="3" spans="1:20">
      <c r="B3" s="32"/>
      <c r="C3"/>
      <c r="D3" s="171" t="s">
        <v>162</v>
      </c>
      <c r="E3" s="1"/>
      <c r="F3" s="1"/>
      <c r="G3" s="1"/>
      <c r="H3" s="1"/>
      <c r="I3" s="1"/>
      <c r="J3" s="1"/>
      <c r="K3" s="1"/>
      <c r="L3" s="1"/>
      <c r="M3" s="1"/>
      <c r="N3" s="1"/>
      <c r="O3" s="1"/>
    </row>
    <row r="4" spans="1:20">
      <c r="B4" s="39"/>
      <c r="C4"/>
      <c r="D4" s="171" t="s">
        <v>21</v>
      </c>
      <c r="E4" s="1"/>
      <c r="F4" s="1"/>
      <c r="G4" s="1"/>
      <c r="H4" s="1"/>
      <c r="I4" s="1"/>
      <c r="J4" s="1"/>
      <c r="K4" s="1"/>
      <c r="L4" s="1"/>
      <c r="M4" s="1"/>
      <c r="N4" s="1"/>
      <c r="O4" s="1"/>
    </row>
    <row r="5" spans="1:20">
      <c r="B5" s="7"/>
      <c r="C5" s="171"/>
      <c r="D5" s="171" t="s">
        <v>161</v>
      </c>
      <c r="E5" s="1"/>
      <c r="F5" s="1"/>
      <c r="G5" s="1"/>
      <c r="H5" s="1"/>
      <c r="I5" s="1"/>
      <c r="J5" s="1"/>
      <c r="K5" s="1"/>
      <c r="L5" s="1"/>
      <c r="M5" s="1"/>
      <c r="N5" s="1"/>
      <c r="O5"/>
    </row>
    <row r="6" spans="1:20">
      <c r="B6" s="3"/>
    </row>
    <row r="7" spans="1:20">
      <c r="A7" s="302" t="s">
        <v>329</v>
      </c>
      <c r="B7" s="9"/>
      <c r="C7" s="166"/>
      <c r="D7" s="241" t="s">
        <v>148</v>
      </c>
      <c r="E7" s="264">
        <v>3.7753999999999999</v>
      </c>
    </row>
    <row r="8" spans="1:20">
      <c r="A8" s="8" t="s">
        <v>288</v>
      </c>
      <c r="B8" s="10"/>
      <c r="C8" s="10"/>
      <c r="G8" s="203"/>
    </row>
    <row r="9" spans="1:20">
      <c r="A9" s="8" t="s">
        <v>36</v>
      </c>
      <c r="B9" s="10"/>
      <c r="C9" s="10"/>
      <c r="D9" s="49"/>
      <c r="E9" s="8"/>
      <c r="G9" s="203"/>
    </row>
    <row r="11" spans="1:20" hidden="1">
      <c r="B11" s="11"/>
    </row>
    <row r="12" spans="1:20" ht="15.75" hidden="1" customHeight="1">
      <c r="B12" s="559"/>
      <c r="C12" s="559"/>
      <c r="D12" s="559"/>
      <c r="E12" s="559"/>
      <c r="F12" s="559"/>
      <c r="G12" s="559"/>
      <c r="H12" s="559"/>
      <c r="I12" s="559"/>
      <c r="J12" s="559"/>
      <c r="K12" s="559"/>
      <c r="L12" s="559"/>
      <c r="M12" s="559"/>
      <c r="N12" s="559"/>
      <c r="O12" s="559"/>
      <c r="P12" s="559"/>
      <c r="Q12" s="559"/>
      <c r="R12" s="13"/>
      <c r="S12" s="13"/>
      <c r="T12" s="13"/>
    </row>
    <row r="13" spans="1:20" ht="15.75" customHeight="1" thickBot="1">
      <c r="B13" s="257"/>
      <c r="C13" s="257"/>
      <c r="D13" s="257"/>
      <c r="E13" s="257"/>
      <c r="F13" s="257"/>
      <c r="G13" s="257"/>
      <c r="H13" s="257"/>
      <c r="I13" s="257"/>
      <c r="J13" s="257"/>
      <c r="K13" s="257"/>
      <c r="L13" s="257"/>
      <c r="M13" s="257"/>
      <c r="N13" s="257"/>
      <c r="O13" s="257"/>
      <c r="P13" s="257"/>
      <c r="Q13" s="257"/>
      <c r="R13" s="13"/>
      <c r="S13" s="13"/>
      <c r="T13" s="13"/>
    </row>
    <row r="14" spans="1:20" ht="16.2" thickBot="1">
      <c r="A14" s="67">
        <v>1</v>
      </c>
      <c r="B14" s="560" t="s">
        <v>38</v>
      </c>
      <c r="C14" s="561"/>
      <c r="D14" s="561"/>
      <c r="E14" s="561"/>
      <c r="F14" s="561"/>
      <c r="G14" s="561"/>
      <c r="H14" s="561"/>
      <c r="I14" s="561"/>
      <c r="J14" s="561"/>
      <c r="K14" s="561"/>
      <c r="L14" s="561"/>
      <c r="M14" s="561"/>
      <c r="N14" s="561"/>
      <c r="O14" s="561"/>
      <c r="P14" s="561"/>
      <c r="Q14" s="562"/>
      <c r="R14" s="13"/>
      <c r="S14" s="13"/>
      <c r="T14" s="13"/>
    </row>
    <row r="15" spans="1:20" ht="14.4" customHeight="1">
      <c r="A15" s="28"/>
      <c r="B15" s="563" t="s">
        <v>39</v>
      </c>
      <c r="C15" s="529" t="s">
        <v>40</v>
      </c>
      <c r="D15" s="529" t="s">
        <v>41</v>
      </c>
      <c r="E15" s="529" t="s">
        <v>42</v>
      </c>
      <c r="F15" s="529" t="s">
        <v>43</v>
      </c>
      <c r="G15" s="529" t="s">
        <v>44</v>
      </c>
      <c r="H15" s="536" t="s">
        <v>45</v>
      </c>
      <c r="I15" s="536"/>
      <c r="J15" s="536"/>
      <c r="K15" s="564" t="s">
        <v>46</v>
      </c>
      <c r="L15" s="529" t="s">
        <v>47</v>
      </c>
      <c r="M15" s="529" t="s">
        <v>48</v>
      </c>
      <c r="N15" s="529"/>
      <c r="O15" s="529" t="s">
        <v>49</v>
      </c>
      <c r="P15" s="529" t="s">
        <v>50</v>
      </c>
      <c r="Q15" s="531" t="s">
        <v>17</v>
      </c>
      <c r="R15" s="13"/>
      <c r="S15" s="13"/>
      <c r="T15" s="13"/>
    </row>
    <row r="16" spans="1:20" ht="73.5" customHeight="1" thickBot="1">
      <c r="A16" s="66"/>
      <c r="B16" s="500"/>
      <c r="C16" s="500"/>
      <c r="D16" s="500"/>
      <c r="E16" s="500"/>
      <c r="F16" s="500"/>
      <c r="G16" s="500"/>
      <c r="H16" s="319" t="s">
        <v>51</v>
      </c>
      <c r="I16" s="250" t="s">
        <v>52</v>
      </c>
      <c r="J16" s="250" t="s">
        <v>53</v>
      </c>
      <c r="K16" s="565"/>
      <c r="L16" s="500"/>
      <c r="M16" s="333" t="s">
        <v>54</v>
      </c>
      <c r="N16" s="333" t="s">
        <v>55</v>
      </c>
      <c r="O16" s="500"/>
      <c r="P16" s="500"/>
      <c r="Q16" s="502"/>
      <c r="R16" s="13"/>
      <c r="S16" s="13"/>
      <c r="T16" s="13"/>
    </row>
    <row r="17" spans="1:20" ht="31.5" customHeight="1">
      <c r="A17" s="544">
        <v>1.1000000000000001</v>
      </c>
      <c r="B17" s="547" t="s">
        <v>5</v>
      </c>
      <c r="C17" s="547" t="s">
        <v>56</v>
      </c>
      <c r="D17" s="21" t="s">
        <v>151</v>
      </c>
      <c r="E17" s="547" t="s">
        <v>57</v>
      </c>
      <c r="F17" s="247">
        <v>1</v>
      </c>
      <c r="G17" s="547" t="s">
        <v>151</v>
      </c>
      <c r="H17" s="318">
        <v>10926.762592043229</v>
      </c>
      <c r="I17" s="567">
        <v>60.76</v>
      </c>
      <c r="J17" s="567">
        <f>100-I17</f>
        <v>39.24</v>
      </c>
      <c r="K17" s="570" t="s">
        <v>22</v>
      </c>
      <c r="L17" s="547" t="s">
        <v>59</v>
      </c>
      <c r="M17" s="543" t="s">
        <v>60</v>
      </c>
      <c r="N17" s="331">
        <v>42082</v>
      </c>
      <c r="O17" s="247" t="s">
        <v>149</v>
      </c>
      <c r="P17" s="547" t="s">
        <v>150</v>
      </c>
      <c r="Q17" s="566" t="s">
        <v>126</v>
      </c>
      <c r="R17" s="13"/>
      <c r="S17" s="13"/>
      <c r="T17" s="13"/>
    </row>
    <row r="18" spans="1:20" ht="84" customHeight="1">
      <c r="A18" s="545"/>
      <c r="B18" s="548"/>
      <c r="C18" s="548"/>
      <c r="D18" s="21" t="s">
        <v>196</v>
      </c>
      <c r="E18" s="548"/>
      <c r="F18" s="247" t="s">
        <v>212</v>
      </c>
      <c r="G18" s="548"/>
      <c r="H18" s="318">
        <v>1713.4646421571224</v>
      </c>
      <c r="I18" s="568"/>
      <c r="J18" s="568"/>
      <c r="K18" s="571"/>
      <c r="L18" s="548"/>
      <c r="M18" s="538"/>
      <c r="N18" s="331">
        <v>42342</v>
      </c>
      <c r="O18" s="247"/>
      <c r="P18" s="548"/>
      <c r="Q18" s="553"/>
      <c r="R18" s="13"/>
      <c r="S18" s="13"/>
      <c r="T18" s="13"/>
    </row>
    <row r="19" spans="1:20" ht="31.2">
      <c r="A19" s="545"/>
      <c r="B19" s="548"/>
      <c r="C19" s="548"/>
      <c r="D19" s="21" t="s">
        <v>209</v>
      </c>
      <c r="E19" s="548"/>
      <c r="F19" s="247" t="s">
        <v>214</v>
      </c>
      <c r="G19" s="548"/>
      <c r="H19" s="318">
        <v>824.0897865126874</v>
      </c>
      <c r="I19" s="568"/>
      <c r="J19" s="568"/>
      <c r="K19" s="571"/>
      <c r="L19" s="548"/>
      <c r="M19" s="538"/>
      <c r="N19" s="331">
        <v>42429</v>
      </c>
      <c r="O19" s="247"/>
      <c r="P19" s="548"/>
      <c r="Q19" s="553"/>
      <c r="R19" s="13"/>
      <c r="S19" s="13"/>
      <c r="T19" s="13"/>
    </row>
    <row r="20" spans="1:20" ht="88.95" customHeight="1">
      <c r="A20" s="545"/>
      <c r="B20" s="548"/>
      <c r="C20" s="548"/>
      <c r="D20" s="21" t="s">
        <v>210</v>
      </c>
      <c r="E20" s="548"/>
      <c r="F20" s="247" t="s">
        <v>213</v>
      </c>
      <c r="G20" s="548"/>
      <c r="H20" s="318">
        <v>2743.0617470996453</v>
      </c>
      <c r="I20" s="568"/>
      <c r="J20" s="568"/>
      <c r="K20" s="571"/>
      <c r="L20" s="548"/>
      <c r="M20" s="538"/>
      <c r="N20" s="331">
        <v>42473</v>
      </c>
      <c r="O20" s="247"/>
      <c r="P20" s="548"/>
      <c r="Q20" s="553"/>
      <c r="R20" s="13"/>
      <c r="S20" s="13"/>
      <c r="T20" s="13"/>
    </row>
    <row r="21" spans="1:20" ht="46.8">
      <c r="A21" s="545"/>
      <c r="B21" s="548"/>
      <c r="C21" s="548"/>
      <c r="D21" s="21" t="s">
        <v>211</v>
      </c>
      <c r="E21" s="548"/>
      <c r="F21" s="247" t="s">
        <v>215</v>
      </c>
      <c r="G21" s="548"/>
      <c r="H21" s="318">
        <v>204.632407162155</v>
      </c>
      <c r="I21" s="568"/>
      <c r="J21" s="568"/>
      <c r="K21" s="571"/>
      <c r="L21" s="548"/>
      <c r="M21" s="538"/>
      <c r="N21" s="331">
        <v>42521</v>
      </c>
      <c r="O21" s="247"/>
      <c r="P21" s="548"/>
      <c r="Q21" s="553"/>
      <c r="R21" s="13"/>
      <c r="S21" s="13"/>
      <c r="T21" s="13"/>
    </row>
    <row r="22" spans="1:20" ht="140.4">
      <c r="A22" s="545"/>
      <c r="B22" s="548"/>
      <c r="C22" s="548"/>
      <c r="D22" s="21" t="s">
        <v>259</v>
      </c>
      <c r="E22" s="548"/>
      <c r="F22" s="247" t="s">
        <v>259</v>
      </c>
      <c r="G22" s="548"/>
      <c r="H22" s="318">
        <v>0</v>
      </c>
      <c r="I22" s="568"/>
      <c r="J22" s="568"/>
      <c r="K22" s="571"/>
      <c r="L22" s="548"/>
      <c r="M22" s="538"/>
      <c r="N22" s="331">
        <v>42657</v>
      </c>
      <c r="O22" s="247"/>
      <c r="P22" s="548"/>
      <c r="Q22" s="553"/>
      <c r="R22" s="13"/>
      <c r="S22" s="13"/>
      <c r="T22" s="13"/>
    </row>
    <row r="23" spans="1:20" ht="109.2">
      <c r="A23" s="545"/>
      <c r="B23" s="548"/>
      <c r="C23" s="548"/>
      <c r="D23" s="21" t="s">
        <v>260</v>
      </c>
      <c r="E23" s="548"/>
      <c r="F23" s="247" t="s">
        <v>260</v>
      </c>
      <c r="G23" s="548"/>
      <c r="H23" s="318">
        <v>267.65781903904224</v>
      </c>
      <c r="I23" s="568"/>
      <c r="J23" s="568"/>
      <c r="K23" s="571"/>
      <c r="L23" s="548"/>
      <c r="M23" s="538"/>
      <c r="N23" s="334">
        <v>42704</v>
      </c>
      <c r="O23" s="247"/>
      <c r="P23" s="548"/>
      <c r="Q23" s="553"/>
      <c r="R23" s="13"/>
      <c r="S23" s="13"/>
      <c r="T23" s="13"/>
    </row>
    <row r="24" spans="1:20" ht="69" customHeight="1">
      <c r="A24" s="545"/>
      <c r="B24" s="548"/>
      <c r="C24" s="548"/>
      <c r="D24" s="21" t="s">
        <v>263</v>
      </c>
      <c r="E24" s="548"/>
      <c r="F24" s="247" t="s">
        <v>262</v>
      </c>
      <c r="G24" s="548"/>
      <c r="H24" s="318">
        <v>297.98632197912804</v>
      </c>
      <c r="I24" s="568"/>
      <c r="J24" s="568"/>
      <c r="K24" s="571"/>
      <c r="L24" s="548"/>
      <c r="M24" s="538"/>
      <c r="N24" s="334">
        <v>42817</v>
      </c>
      <c r="O24" s="247"/>
      <c r="P24" s="548"/>
      <c r="Q24" s="553"/>
      <c r="R24" s="13"/>
      <c r="S24" s="13"/>
      <c r="T24" s="13"/>
    </row>
    <row r="25" spans="1:20" ht="144.75" customHeight="1">
      <c r="A25" s="545"/>
      <c r="B25" s="548"/>
      <c r="C25" s="548"/>
      <c r="D25" s="21" t="s">
        <v>276</v>
      </c>
      <c r="E25" s="548"/>
      <c r="F25" s="247" t="s">
        <v>277</v>
      </c>
      <c r="G25" s="475"/>
      <c r="H25" s="318">
        <v>0</v>
      </c>
      <c r="I25" s="568"/>
      <c r="J25" s="568"/>
      <c r="K25" s="571"/>
      <c r="L25" s="548"/>
      <c r="M25" s="538"/>
      <c r="N25" s="334">
        <v>42829</v>
      </c>
      <c r="O25" s="247"/>
      <c r="P25" s="548"/>
      <c r="Q25" s="553"/>
      <c r="R25" s="13"/>
      <c r="S25" s="13"/>
      <c r="T25" s="13"/>
    </row>
    <row r="26" spans="1:20" ht="144.75" customHeight="1">
      <c r="A26" s="545"/>
      <c r="B26" s="548"/>
      <c r="C26" s="548"/>
      <c r="D26" s="21" t="s">
        <v>289</v>
      </c>
      <c r="E26" s="548"/>
      <c r="F26" s="247" t="s">
        <v>290</v>
      </c>
      <c r="G26" s="247"/>
      <c r="H26" s="318">
        <v>-667.71504476346877</v>
      </c>
      <c r="I26" s="568"/>
      <c r="J26" s="568"/>
      <c r="K26" s="571"/>
      <c r="L26" s="548"/>
      <c r="M26" s="538"/>
      <c r="N26" s="334">
        <v>42949</v>
      </c>
      <c r="O26" s="247"/>
      <c r="P26" s="548"/>
      <c r="Q26" s="553"/>
      <c r="R26" s="13"/>
      <c r="S26" s="13"/>
      <c r="T26" s="13"/>
    </row>
    <row r="27" spans="1:20" ht="192.75" customHeight="1">
      <c r="A27" s="545"/>
      <c r="B27" s="548"/>
      <c r="C27" s="548"/>
      <c r="D27" s="21" t="s">
        <v>291</v>
      </c>
      <c r="E27" s="475"/>
      <c r="F27" s="247" t="s">
        <v>292</v>
      </c>
      <c r="G27" s="247"/>
      <c r="H27" s="318">
        <v>-878.06382899825189</v>
      </c>
      <c r="I27" s="568"/>
      <c r="J27" s="568"/>
      <c r="K27" s="572"/>
      <c r="L27" s="475"/>
      <c r="M27" s="539"/>
      <c r="N27" s="334">
        <v>43011</v>
      </c>
      <c r="O27" s="247"/>
      <c r="P27" s="475"/>
      <c r="Q27" s="553"/>
      <c r="R27" s="13"/>
      <c r="S27" s="13"/>
      <c r="T27" s="13"/>
    </row>
    <row r="28" spans="1:20" ht="192.75" customHeight="1">
      <c r="A28" s="546"/>
      <c r="B28" s="475"/>
      <c r="C28" s="475"/>
      <c r="D28" s="21" t="s">
        <v>294</v>
      </c>
      <c r="E28" s="247"/>
      <c r="F28" s="247" t="s">
        <v>295</v>
      </c>
      <c r="G28" s="247"/>
      <c r="H28" s="318">
        <v>-212.75322349949676</v>
      </c>
      <c r="I28" s="569"/>
      <c r="J28" s="569"/>
      <c r="K28" s="260"/>
      <c r="L28" s="247"/>
      <c r="M28" s="335"/>
      <c r="N28" s="334">
        <v>43025</v>
      </c>
      <c r="O28" s="247"/>
      <c r="P28" s="247"/>
      <c r="Q28" s="554"/>
      <c r="R28" s="13"/>
      <c r="S28" s="13"/>
      <c r="T28" s="13"/>
    </row>
    <row r="29" spans="1:20" ht="33" customHeight="1">
      <c r="A29" s="74">
        <v>1.2</v>
      </c>
      <c r="B29" s="248" t="s">
        <v>5</v>
      </c>
      <c r="C29" s="14" t="s">
        <v>62</v>
      </c>
      <c r="D29" s="125" t="s">
        <v>313</v>
      </c>
      <c r="E29" s="248" t="s">
        <v>57</v>
      </c>
      <c r="F29" s="248">
        <v>1</v>
      </c>
      <c r="G29" s="23" t="s">
        <v>297</v>
      </c>
      <c r="H29" s="324">
        <v>3568.434052020978</v>
      </c>
      <c r="I29" s="122">
        <v>63.66</v>
      </c>
      <c r="J29" s="122">
        <v>36.340000000000003</v>
      </c>
      <c r="K29" s="52" t="s">
        <v>23</v>
      </c>
      <c r="L29" s="248" t="s">
        <v>67</v>
      </c>
      <c r="M29" s="339">
        <v>43014</v>
      </c>
      <c r="N29" s="339">
        <v>43091</v>
      </c>
      <c r="O29" s="248" t="s">
        <v>197</v>
      </c>
      <c r="P29" s="23" t="s">
        <v>58</v>
      </c>
      <c r="Q29" s="460" t="s">
        <v>61</v>
      </c>
      <c r="R29" s="13"/>
      <c r="S29" s="13"/>
      <c r="T29" s="13"/>
    </row>
    <row r="30" spans="1:20" ht="31.2">
      <c r="A30" s="74">
        <v>1.3</v>
      </c>
      <c r="B30" s="248" t="s">
        <v>5</v>
      </c>
      <c r="C30" s="123" t="s">
        <v>230</v>
      </c>
      <c r="D30" s="125" t="s">
        <v>251</v>
      </c>
      <c r="E30" s="248" t="s">
        <v>57</v>
      </c>
      <c r="F30" s="23">
        <v>1</v>
      </c>
      <c r="G30" s="23" t="s">
        <v>251</v>
      </c>
      <c r="H30" s="324">
        <v>1694.7000105949039</v>
      </c>
      <c r="I30" s="54">
        <v>43</v>
      </c>
      <c r="J30" s="54">
        <v>57</v>
      </c>
      <c r="K30" s="55" t="s">
        <v>24</v>
      </c>
      <c r="L30" s="248" t="s">
        <v>67</v>
      </c>
      <c r="M30" s="339">
        <v>42579</v>
      </c>
      <c r="N30" s="332">
        <v>42678</v>
      </c>
      <c r="O30" s="248"/>
      <c r="P30" s="23" t="s">
        <v>264</v>
      </c>
      <c r="Q30" s="460" t="s">
        <v>126</v>
      </c>
      <c r="R30" s="13"/>
      <c r="S30" s="13"/>
      <c r="T30" s="13"/>
    </row>
    <row r="31" spans="1:20" ht="218.25" customHeight="1">
      <c r="A31" s="136">
        <v>1.4</v>
      </c>
      <c r="B31" s="248" t="s">
        <v>5</v>
      </c>
      <c r="C31" s="14" t="s">
        <v>198</v>
      </c>
      <c r="D31" s="14" t="s">
        <v>293</v>
      </c>
      <c r="E31" s="248" t="s">
        <v>57</v>
      </c>
      <c r="F31" s="248">
        <v>1</v>
      </c>
      <c r="G31" s="248" t="s">
        <v>252</v>
      </c>
      <c r="H31" s="317">
        <v>1051.629708110399</v>
      </c>
      <c r="I31" s="51">
        <v>100</v>
      </c>
      <c r="J31" s="51">
        <v>0</v>
      </c>
      <c r="K31" s="52" t="s">
        <v>25</v>
      </c>
      <c r="L31" s="248" t="s">
        <v>67</v>
      </c>
      <c r="M31" s="334">
        <v>42572</v>
      </c>
      <c r="N31" s="331">
        <v>42713</v>
      </c>
      <c r="O31" s="248"/>
      <c r="P31" s="248" t="s">
        <v>265</v>
      </c>
      <c r="Q31" s="454" t="s">
        <v>126</v>
      </c>
      <c r="R31" s="13"/>
      <c r="S31" s="13"/>
      <c r="T31" s="13"/>
    </row>
    <row r="32" spans="1:20" ht="24.75" hidden="1" customHeight="1">
      <c r="A32" s="113">
        <v>1.4</v>
      </c>
      <c r="B32" s="256" t="s">
        <v>5</v>
      </c>
      <c r="C32" s="138" t="s">
        <v>202</v>
      </c>
      <c r="D32" s="14"/>
      <c r="E32" s="256" t="s">
        <v>68</v>
      </c>
      <c r="F32" s="256">
        <v>4</v>
      </c>
      <c r="G32" s="256" t="s">
        <v>58</v>
      </c>
      <c r="H32" s="325">
        <v>3828.7333792445838</v>
      </c>
      <c r="I32" s="256">
        <v>100</v>
      </c>
      <c r="J32" s="256">
        <v>0</v>
      </c>
      <c r="K32" s="256" t="s">
        <v>25</v>
      </c>
      <c r="L32" s="256" t="s">
        <v>67</v>
      </c>
      <c r="M32" s="336">
        <v>42685</v>
      </c>
      <c r="N32" s="336">
        <v>42712</v>
      </c>
      <c r="O32" s="256"/>
      <c r="P32" s="256" t="s">
        <v>58</v>
      </c>
      <c r="Q32" s="458" t="s">
        <v>66</v>
      </c>
      <c r="R32" s="13"/>
      <c r="S32" s="13"/>
      <c r="T32" s="13"/>
    </row>
    <row r="33" spans="1:213" ht="31.2">
      <c r="A33" s="74">
        <v>1.5</v>
      </c>
      <c r="B33" s="248" t="s">
        <v>5</v>
      </c>
      <c r="C33" s="14" t="s">
        <v>207</v>
      </c>
      <c r="D33" s="14"/>
      <c r="E33" s="248" t="s">
        <v>57</v>
      </c>
      <c r="F33" s="248">
        <v>1</v>
      </c>
      <c r="G33" s="23" t="s">
        <v>58</v>
      </c>
      <c r="H33" s="323">
        <v>1138.9521640091118</v>
      </c>
      <c r="I33" s="132">
        <v>70</v>
      </c>
      <c r="J33" s="132">
        <v>30</v>
      </c>
      <c r="K33" s="248" t="s">
        <v>69</v>
      </c>
      <c r="L33" s="248" t="s">
        <v>67</v>
      </c>
      <c r="M33" s="339">
        <v>43305</v>
      </c>
      <c r="N33" s="339">
        <v>43332</v>
      </c>
      <c r="O33" s="248"/>
      <c r="P33" s="23" t="s">
        <v>58</v>
      </c>
      <c r="Q33" s="454" t="s">
        <v>66</v>
      </c>
      <c r="R33" s="13"/>
      <c r="S33" s="13"/>
      <c r="T33" s="13"/>
    </row>
    <row r="34" spans="1:213" s="19" customFormat="1" ht="30" customHeight="1">
      <c r="A34" s="555">
        <v>1.6</v>
      </c>
      <c r="B34" s="474" t="s">
        <v>5</v>
      </c>
      <c r="C34" s="474" t="s">
        <v>70</v>
      </c>
      <c r="D34" s="14" t="s">
        <v>216</v>
      </c>
      <c r="E34" s="474" t="s">
        <v>57</v>
      </c>
      <c r="F34" s="474">
        <v>1</v>
      </c>
      <c r="G34" s="474" t="s">
        <v>216</v>
      </c>
      <c r="H34" s="316">
        <v>1588.0245801769352</v>
      </c>
      <c r="I34" s="556">
        <f>94.18</f>
        <v>94.18</v>
      </c>
      <c r="J34" s="556">
        <f>5.82</f>
        <v>5.82</v>
      </c>
      <c r="K34" s="474" t="s">
        <v>26</v>
      </c>
      <c r="L34" s="474" t="s">
        <v>67</v>
      </c>
      <c r="M34" s="537">
        <v>42384</v>
      </c>
      <c r="N34" s="540">
        <v>42419</v>
      </c>
      <c r="O34" s="474"/>
      <c r="P34" s="474" t="s">
        <v>217</v>
      </c>
      <c r="Q34" s="552" t="s">
        <v>126</v>
      </c>
      <c r="R34" s="18"/>
      <c r="S34" s="18"/>
      <c r="T34" s="18"/>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row>
    <row r="35" spans="1:213" s="148" customFormat="1" ht="56.25" customHeight="1">
      <c r="A35" s="545"/>
      <c r="B35" s="548"/>
      <c r="C35" s="548"/>
      <c r="D35" s="21" t="s">
        <v>233</v>
      </c>
      <c r="E35" s="548"/>
      <c r="F35" s="548"/>
      <c r="G35" s="548"/>
      <c r="H35" s="316">
        <v>115.81516925358903</v>
      </c>
      <c r="I35" s="557"/>
      <c r="J35" s="557"/>
      <c r="K35" s="548"/>
      <c r="L35" s="548"/>
      <c r="M35" s="538"/>
      <c r="N35" s="541"/>
      <c r="O35" s="548"/>
      <c r="P35" s="548"/>
      <c r="Q35" s="553"/>
      <c r="R35" s="18"/>
      <c r="S35" s="18"/>
      <c r="T35" s="18"/>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row>
    <row r="36" spans="1:213" s="148" customFormat="1" ht="74.25" customHeight="1">
      <c r="A36" s="545"/>
      <c r="B36" s="548"/>
      <c r="C36" s="548"/>
      <c r="D36" s="14" t="s">
        <v>268</v>
      </c>
      <c r="E36" s="548"/>
      <c r="F36" s="548"/>
      <c r="G36" s="548"/>
      <c r="H36" s="316">
        <v>0</v>
      </c>
      <c r="I36" s="557"/>
      <c r="J36" s="557"/>
      <c r="K36" s="548"/>
      <c r="L36" s="548"/>
      <c r="M36" s="538"/>
      <c r="N36" s="541"/>
      <c r="O36" s="548"/>
      <c r="P36" s="548"/>
      <c r="Q36" s="553"/>
      <c r="R36" s="18"/>
      <c r="S36" s="18"/>
      <c r="T36" s="18"/>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row>
    <row r="37" spans="1:213" s="148" customFormat="1" ht="68.25" customHeight="1">
      <c r="A37" s="545"/>
      <c r="B37" s="548"/>
      <c r="C37" s="548"/>
      <c r="D37" s="14" t="s">
        <v>269</v>
      </c>
      <c r="E37" s="548"/>
      <c r="F37" s="548"/>
      <c r="G37" s="548"/>
      <c r="H37" s="316">
        <v>0</v>
      </c>
      <c r="I37" s="557"/>
      <c r="J37" s="557"/>
      <c r="K37" s="548"/>
      <c r="L37" s="548"/>
      <c r="M37" s="538"/>
      <c r="N37" s="541"/>
      <c r="O37" s="548"/>
      <c r="P37" s="548"/>
      <c r="Q37" s="553"/>
      <c r="R37" s="18"/>
      <c r="S37" s="18"/>
      <c r="T37" s="18"/>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row>
    <row r="38" spans="1:213" s="148" customFormat="1" ht="122.25" customHeight="1">
      <c r="A38" s="545"/>
      <c r="B38" s="548"/>
      <c r="C38" s="548"/>
      <c r="D38" s="14" t="s">
        <v>278</v>
      </c>
      <c r="E38" s="548"/>
      <c r="F38" s="548"/>
      <c r="G38" s="548"/>
      <c r="H38" s="316">
        <v>0</v>
      </c>
      <c r="I38" s="557"/>
      <c r="J38" s="557"/>
      <c r="K38" s="548"/>
      <c r="L38" s="548"/>
      <c r="M38" s="538"/>
      <c r="N38" s="541"/>
      <c r="O38" s="548"/>
      <c r="P38" s="548"/>
      <c r="Q38" s="553"/>
      <c r="R38" s="18"/>
      <c r="S38" s="18"/>
      <c r="T38" s="18"/>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row>
    <row r="39" spans="1:213" s="148" customFormat="1" ht="57.75" customHeight="1">
      <c r="A39" s="546"/>
      <c r="B39" s="475"/>
      <c r="C39" s="475"/>
      <c r="D39" s="14" t="s">
        <v>282</v>
      </c>
      <c r="E39" s="475"/>
      <c r="F39" s="475"/>
      <c r="G39" s="475"/>
      <c r="H39" s="316">
        <v>142.14530910631987</v>
      </c>
      <c r="I39" s="558"/>
      <c r="J39" s="558"/>
      <c r="K39" s="475"/>
      <c r="L39" s="475"/>
      <c r="M39" s="539"/>
      <c r="N39" s="542"/>
      <c r="O39" s="475"/>
      <c r="P39" s="475"/>
      <c r="Q39" s="554"/>
      <c r="R39" s="18"/>
      <c r="S39" s="18"/>
      <c r="T39" s="18"/>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row>
    <row r="40" spans="1:213" s="148" customFormat="1" ht="100.5" hidden="1" customHeight="1">
      <c r="A40" s="113">
        <v>1.7</v>
      </c>
      <c r="B40" s="256" t="s">
        <v>5</v>
      </c>
      <c r="C40" s="154" t="s">
        <v>71</v>
      </c>
      <c r="D40" s="110"/>
      <c r="E40" s="256" t="s">
        <v>57</v>
      </c>
      <c r="F40" s="256">
        <v>1</v>
      </c>
      <c r="G40" s="128" t="s">
        <v>58</v>
      </c>
      <c r="H40" s="326">
        <v>794.61778884356636</v>
      </c>
      <c r="I40" s="115">
        <v>10</v>
      </c>
      <c r="J40" s="256">
        <v>90</v>
      </c>
      <c r="K40" s="190" t="s">
        <v>72</v>
      </c>
      <c r="L40" s="256" t="s">
        <v>67</v>
      </c>
      <c r="M40" s="340">
        <v>42914</v>
      </c>
      <c r="N40" s="336">
        <v>42969</v>
      </c>
      <c r="O40" s="154"/>
      <c r="P40" s="110" t="s">
        <v>58</v>
      </c>
      <c r="Q40" s="458" t="s">
        <v>66</v>
      </c>
      <c r="R40" s="18"/>
      <c r="S40" s="18"/>
      <c r="T40" s="18"/>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row>
    <row r="41" spans="1:213" ht="36.75" customHeight="1">
      <c r="A41" s="92">
        <v>1.7</v>
      </c>
      <c r="B41" s="219" t="s">
        <v>5</v>
      </c>
      <c r="C41" s="93" t="s">
        <v>284</v>
      </c>
      <c r="D41" s="94"/>
      <c r="E41" s="219" t="s">
        <v>57</v>
      </c>
      <c r="F41" s="98">
        <v>1</v>
      </c>
      <c r="G41" s="219" t="s">
        <v>58</v>
      </c>
      <c r="H41" s="328">
        <v>948.78353022196313</v>
      </c>
      <c r="I41" s="219">
        <v>60</v>
      </c>
      <c r="J41" s="219">
        <v>40</v>
      </c>
      <c r="K41" s="189" t="s">
        <v>286</v>
      </c>
      <c r="L41" s="219" t="s">
        <v>67</v>
      </c>
      <c r="M41" s="339">
        <v>43349</v>
      </c>
      <c r="N41" s="339">
        <v>43377</v>
      </c>
      <c r="O41" s="219"/>
      <c r="P41" s="98" t="s">
        <v>58</v>
      </c>
      <c r="Q41" s="455" t="s">
        <v>66</v>
      </c>
      <c r="R41" s="13"/>
      <c r="S41" s="13"/>
      <c r="T41" s="13"/>
    </row>
    <row r="42" spans="1:213" ht="31.5" hidden="1" customHeight="1">
      <c r="A42" s="113">
        <v>1.8</v>
      </c>
      <c r="B42" s="256" t="s">
        <v>5</v>
      </c>
      <c r="C42" s="110" t="s">
        <v>73</v>
      </c>
      <c r="D42" s="110"/>
      <c r="E42" s="256" t="s">
        <v>63</v>
      </c>
      <c r="F42" s="256">
        <v>4</v>
      </c>
      <c r="G42" s="256" t="s">
        <v>58</v>
      </c>
      <c r="H42" s="321">
        <v>794.61778884356636</v>
      </c>
      <c r="I42" s="129">
        <v>0</v>
      </c>
      <c r="J42" s="129">
        <v>100</v>
      </c>
      <c r="K42" s="256">
        <v>1.3</v>
      </c>
      <c r="L42" s="256" t="s">
        <v>64</v>
      </c>
      <c r="M42" s="337">
        <v>42200</v>
      </c>
      <c r="N42" s="338" t="s">
        <v>58</v>
      </c>
      <c r="O42" s="256" t="s">
        <v>65</v>
      </c>
      <c r="P42" s="256" t="s">
        <v>58</v>
      </c>
      <c r="Q42" s="459" t="s">
        <v>66</v>
      </c>
      <c r="R42" s="13"/>
      <c r="S42" s="13"/>
      <c r="T42" s="13"/>
    </row>
    <row r="43" spans="1:213" ht="62.4">
      <c r="A43" s="136">
        <v>1.8</v>
      </c>
      <c r="B43" s="248" t="s">
        <v>5</v>
      </c>
      <c r="C43" s="14" t="s">
        <v>203</v>
      </c>
      <c r="D43" s="14"/>
      <c r="E43" s="248" t="s">
        <v>63</v>
      </c>
      <c r="F43" s="248">
        <v>4</v>
      </c>
      <c r="G43" s="23" t="s">
        <v>218</v>
      </c>
      <c r="H43" s="316">
        <v>289.38254224717912</v>
      </c>
      <c r="I43" s="51">
        <v>0</v>
      </c>
      <c r="J43" s="51">
        <v>100</v>
      </c>
      <c r="K43" s="248">
        <v>1.3</v>
      </c>
      <c r="L43" s="248" t="s">
        <v>64</v>
      </c>
      <c r="M43" s="334">
        <v>42434</v>
      </c>
      <c r="N43" s="330">
        <v>42529</v>
      </c>
      <c r="O43" s="248" t="s">
        <v>218</v>
      </c>
      <c r="P43" s="248" t="s">
        <v>253</v>
      </c>
      <c r="Q43" s="460" t="s">
        <v>126</v>
      </c>
      <c r="R43" s="13"/>
      <c r="S43" s="13"/>
      <c r="T43" s="13"/>
    </row>
    <row r="44" spans="1:213" ht="31.5" customHeight="1">
      <c r="A44" s="74">
        <v>1.9</v>
      </c>
      <c r="B44" s="248" t="s">
        <v>5</v>
      </c>
      <c r="C44" s="14" t="s">
        <v>256</v>
      </c>
      <c r="D44" s="14"/>
      <c r="E44" s="248" t="s">
        <v>57</v>
      </c>
      <c r="F44" s="248">
        <v>2</v>
      </c>
      <c r="G44" s="248" t="s">
        <v>300</v>
      </c>
      <c r="H44" s="323">
        <v>4627.9975923080992</v>
      </c>
      <c r="I44" s="132">
        <v>88</v>
      </c>
      <c r="J44" s="132">
        <v>12</v>
      </c>
      <c r="K44" s="248" t="s">
        <v>20</v>
      </c>
      <c r="L44" s="248" t="s">
        <v>67</v>
      </c>
      <c r="M44" s="329">
        <v>42762</v>
      </c>
      <c r="N44" s="329">
        <v>42818</v>
      </c>
      <c r="O44" s="248"/>
      <c r="P44" s="248" t="s">
        <v>58</v>
      </c>
      <c r="Q44" s="460" t="s">
        <v>61</v>
      </c>
      <c r="R44" s="13"/>
      <c r="S44" s="13"/>
      <c r="T44" s="13"/>
    </row>
    <row r="45" spans="1:213" s="178" customFormat="1" ht="42.6" hidden="1" customHeight="1">
      <c r="A45" s="112">
        <v>1.1000000000000001</v>
      </c>
      <c r="B45" s="256" t="s">
        <v>5</v>
      </c>
      <c r="C45" s="110" t="s">
        <v>257</v>
      </c>
      <c r="D45" s="110"/>
      <c r="E45" s="256" t="s">
        <v>57</v>
      </c>
      <c r="F45" s="256">
        <v>2</v>
      </c>
      <c r="G45" s="256" t="s">
        <v>58</v>
      </c>
      <c r="H45" s="321">
        <v>2139.6437463580019</v>
      </c>
      <c r="I45" s="129">
        <v>5</v>
      </c>
      <c r="J45" s="129">
        <v>95</v>
      </c>
      <c r="K45" s="256" t="s">
        <v>242</v>
      </c>
      <c r="L45" s="256" t="s">
        <v>67</v>
      </c>
      <c r="M45" s="338">
        <v>42957</v>
      </c>
      <c r="N45" s="338">
        <v>43012</v>
      </c>
      <c r="O45" s="256"/>
      <c r="P45" s="256" t="s">
        <v>58</v>
      </c>
      <c r="Q45" s="459" t="s">
        <v>66</v>
      </c>
      <c r="R45" s="177"/>
      <c r="S45" s="177"/>
      <c r="T45" s="177"/>
    </row>
    <row r="46" spans="1:213" s="178" customFormat="1" ht="42" hidden="1" customHeight="1">
      <c r="A46" s="113">
        <v>1.1100000000000001</v>
      </c>
      <c r="B46" s="256" t="s">
        <v>5</v>
      </c>
      <c r="C46" s="110" t="s">
        <v>258</v>
      </c>
      <c r="D46" s="110"/>
      <c r="E46" s="256" t="s">
        <v>57</v>
      </c>
      <c r="F46" s="256">
        <v>2</v>
      </c>
      <c r="G46" s="256" t="s">
        <v>58</v>
      </c>
      <c r="H46" s="321">
        <v>1612.5286247814804</v>
      </c>
      <c r="I46" s="119">
        <v>13</v>
      </c>
      <c r="J46" s="119">
        <v>87</v>
      </c>
      <c r="K46" s="256" t="s">
        <v>240</v>
      </c>
      <c r="L46" s="256" t="s">
        <v>67</v>
      </c>
      <c r="M46" s="338">
        <v>42933</v>
      </c>
      <c r="N46" s="338">
        <v>42979</v>
      </c>
      <c r="O46" s="256"/>
      <c r="P46" s="256" t="s">
        <v>58</v>
      </c>
      <c r="Q46" s="459" t="s">
        <v>66</v>
      </c>
      <c r="R46" s="177"/>
      <c r="S46" s="177"/>
      <c r="T46" s="177"/>
    </row>
    <row r="47" spans="1:213" s="178" customFormat="1" ht="31.5" hidden="1" customHeight="1">
      <c r="A47" s="113">
        <v>1.1200000000000001</v>
      </c>
      <c r="B47" s="256" t="s">
        <v>5</v>
      </c>
      <c r="C47" s="110" t="s">
        <v>255</v>
      </c>
      <c r="D47" s="110"/>
      <c r="E47" s="256" t="s">
        <v>57</v>
      </c>
      <c r="F47" s="256">
        <v>1</v>
      </c>
      <c r="G47" s="256" t="s">
        <v>58</v>
      </c>
      <c r="H47" s="321">
        <v>2389.1508184563222</v>
      </c>
      <c r="I47" s="129">
        <v>10</v>
      </c>
      <c r="J47" s="129">
        <v>90</v>
      </c>
      <c r="K47" s="256" t="s">
        <v>241</v>
      </c>
      <c r="L47" s="256" t="s">
        <v>67</v>
      </c>
      <c r="M47" s="338">
        <v>42987</v>
      </c>
      <c r="N47" s="338">
        <v>43042</v>
      </c>
      <c r="O47" s="256"/>
      <c r="P47" s="256" t="s">
        <v>58</v>
      </c>
      <c r="Q47" s="459" t="s">
        <v>66</v>
      </c>
      <c r="R47" s="177"/>
      <c r="S47" s="177"/>
      <c r="T47" s="177"/>
    </row>
    <row r="48" spans="1:213" ht="31.5" customHeight="1">
      <c r="A48" s="74">
        <v>1.1299999999999999</v>
      </c>
      <c r="B48" s="248" t="s">
        <v>5</v>
      </c>
      <c r="C48" s="14" t="s">
        <v>74</v>
      </c>
      <c r="D48" s="14"/>
      <c r="E48" s="248" t="s">
        <v>57</v>
      </c>
      <c r="F48" s="248">
        <v>1</v>
      </c>
      <c r="G48" s="23" t="s">
        <v>302</v>
      </c>
      <c r="H48" s="323">
        <v>606.31221592414056</v>
      </c>
      <c r="I48" s="132">
        <v>82.5</v>
      </c>
      <c r="J48" s="132">
        <v>17.5</v>
      </c>
      <c r="K48" s="248" t="s">
        <v>20</v>
      </c>
      <c r="L48" s="248" t="s">
        <v>67</v>
      </c>
      <c r="M48" s="329">
        <v>43006</v>
      </c>
      <c r="N48" s="329">
        <v>43091</v>
      </c>
      <c r="O48" s="248"/>
      <c r="P48" s="23" t="s">
        <v>58</v>
      </c>
      <c r="Q48" s="460" t="s">
        <v>61</v>
      </c>
      <c r="R48" s="13"/>
      <c r="S48" s="13"/>
      <c r="T48" s="13"/>
    </row>
    <row r="49" spans="1:20" ht="210.75" customHeight="1">
      <c r="A49" s="74">
        <v>1.1399999999999999</v>
      </c>
      <c r="B49" s="248" t="s">
        <v>5</v>
      </c>
      <c r="C49" s="14" t="s">
        <v>75</v>
      </c>
      <c r="D49" s="14" t="s">
        <v>270</v>
      </c>
      <c r="E49" s="248" t="s">
        <v>63</v>
      </c>
      <c r="F49" s="248">
        <v>1</v>
      </c>
      <c r="G49" s="248" t="s">
        <v>219</v>
      </c>
      <c r="H49" s="316">
        <v>1341.7558139534885</v>
      </c>
      <c r="I49" s="51">
        <v>0</v>
      </c>
      <c r="J49" s="51">
        <v>100</v>
      </c>
      <c r="K49" s="248" t="s">
        <v>27</v>
      </c>
      <c r="L49" s="248" t="s">
        <v>64</v>
      </c>
      <c r="M49" s="330">
        <v>42389</v>
      </c>
      <c r="N49" s="330">
        <v>42431</v>
      </c>
      <c r="O49" s="248" t="s">
        <v>220</v>
      </c>
      <c r="P49" s="248" t="s">
        <v>58</v>
      </c>
      <c r="Q49" s="454" t="s">
        <v>126</v>
      </c>
      <c r="R49" s="13"/>
      <c r="S49" s="13"/>
      <c r="T49" s="13"/>
    </row>
    <row r="50" spans="1:20" ht="30.75" customHeight="1">
      <c r="A50" s="124">
        <v>1.1499999999999999</v>
      </c>
      <c r="B50" s="248" t="s">
        <v>5</v>
      </c>
      <c r="C50" s="14" t="s">
        <v>199</v>
      </c>
      <c r="D50" s="125"/>
      <c r="E50" s="248" t="s">
        <v>57</v>
      </c>
      <c r="F50" s="248">
        <v>1</v>
      </c>
      <c r="G50" s="23" t="s">
        <v>298</v>
      </c>
      <c r="H50" s="324">
        <v>1326.9630502728189</v>
      </c>
      <c r="I50" s="122">
        <v>100</v>
      </c>
      <c r="J50" s="122">
        <v>0</v>
      </c>
      <c r="K50" s="52" t="s">
        <v>25</v>
      </c>
      <c r="L50" s="248" t="s">
        <v>67</v>
      </c>
      <c r="M50" s="339">
        <v>42957</v>
      </c>
      <c r="N50" s="339">
        <v>42996</v>
      </c>
      <c r="O50" s="23"/>
      <c r="P50" s="23" t="s">
        <v>58</v>
      </c>
      <c r="Q50" s="454" t="s">
        <v>61</v>
      </c>
      <c r="R50" s="13"/>
      <c r="S50" s="13"/>
      <c r="T50" s="13"/>
    </row>
    <row r="51" spans="1:20" ht="30" customHeight="1">
      <c r="A51" s="124">
        <v>1.1599999999999999</v>
      </c>
      <c r="B51" s="248" t="s">
        <v>5</v>
      </c>
      <c r="C51" s="14" t="s">
        <v>200</v>
      </c>
      <c r="D51" s="125"/>
      <c r="E51" s="248" t="s">
        <v>57</v>
      </c>
      <c r="F51" s="248">
        <v>1</v>
      </c>
      <c r="G51" s="23" t="s">
        <v>299</v>
      </c>
      <c r="H51" s="324">
        <v>1392.4038538962759</v>
      </c>
      <c r="I51" s="122">
        <v>80.149000000000001</v>
      </c>
      <c r="J51" s="122">
        <v>19.850999999999999</v>
      </c>
      <c r="K51" s="52" t="s">
        <v>25</v>
      </c>
      <c r="L51" s="248" t="s">
        <v>67</v>
      </c>
      <c r="M51" s="339">
        <v>42877</v>
      </c>
      <c r="N51" s="339">
        <v>42915</v>
      </c>
      <c r="O51" s="23"/>
      <c r="P51" s="23" t="s">
        <v>58</v>
      </c>
      <c r="Q51" s="460" t="s">
        <v>61</v>
      </c>
      <c r="R51" s="13"/>
      <c r="S51" s="13"/>
      <c r="T51" s="13"/>
    </row>
    <row r="52" spans="1:20" ht="34.5" customHeight="1">
      <c r="A52" s="124">
        <v>1.17</v>
      </c>
      <c r="B52" s="248" t="s">
        <v>5</v>
      </c>
      <c r="C52" s="14" t="s">
        <v>201</v>
      </c>
      <c r="D52" s="125"/>
      <c r="E52" s="248" t="s">
        <v>57</v>
      </c>
      <c r="F52" s="248">
        <v>1</v>
      </c>
      <c r="G52" s="23" t="s">
        <v>301</v>
      </c>
      <c r="H52" s="324">
        <v>1128.0157705143827</v>
      </c>
      <c r="I52" s="122">
        <v>80</v>
      </c>
      <c r="J52" s="122">
        <v>20</v>
      </c>
      <c r="K52" s="52" t="s">
        <v>25</v>
      </c>
      <c r="L52" s="248" t="s">
        <v>67</v>
      </c>
      <c r="M52" s="339">
        <v>43007</v>
      </c>
      <c r="N52" s="339">
        <v>43091</v>
      </c>
      <c r="O52" s="23"/>
      <c r="P52" s="23" t="s">
        <v>58</v>
      </c>
      <c r="Q52" s="460" t="s">
        <v>61</v>
      </c>
      <c r="R52" s="13"/>
      <c r="S52" s="13"/>
      <c r="T52" s="13"/>
    </row>
    <row r="53" spans="1:20" ht="31.2">
      <c r="A53" s="136">
        <v>1.18</v>
      </c>
      <c r="B53" s="248" t="s">
        <v>5</v>
      </c>
      <c r="C53" s="14" t="s">
        <v>204</v>
      </c>
      <c r="D53" s="14"/>
      <c r="E53" s="248" t="s">
        <v>63</v>
      </c>
      <c r="F53" s="248">
        <v>1</v>
      </c>
      <c r="G53" s="23" t="s">
        <v>58</v>
      </c>
      <c r="H53" s="323">
        <v>394.77473380304076</v>
      </c>
      <c r="I53" s="51">
        <v>0</v>
      </c>
      <c r="J53" s="122">
        <v>100</v>
      </c>
      <c r="K53" s="248">
        <v>1.3</v>
      </c>
      <c r="L53" s="248" t="s">
        <v>64</v>
      </c>
      <c r="M53" s="339">
        <v>43255</v>
      </c>
      <c r="N53" s="339">
        <v>43296</v>
      </c>
      <c r="O53" s="248" t="s">
        <v>65</v>
      </c>
      <c r="P53" s="248" t="s">
        <v>58</v>
      </c>
      <c r="Q53" s="460" t="s">
        <v>96</v>
      </c>
      <c r="R53" s="13"/>
      <c r="S53" s="13"/>
      <c r="T53" s="13"/>
    </row>
    <row r="54" spans="1:20" ht="31.5" hidden="1" customHeight="1">
      <c r="A54" s="113">
        <v>1.19</v>
      </c>
      <c r="B54" s="256" t="s">
        <v>5</v>
      </c>
      <c r="C54" s="110" t="s">
        <v>231</v>
      </c>
      <c r="D54" s="110"/>
      <c r="E54" s="256" t="s">
        <v>57</v>
      </c>
      <c r="F54" s="256">
        <v>1</v>
      </c>
      <c r="G54" s="256" t="s">
        <v>58</v>
      </c>
      <c r="H54" s="321">
        <v>91.38104571701011</v>
      </c>
      <c r="I54" s="119">
        <v>5</v>
      </c>
      <c r="J54" s="119">
        <v>95</v>
      </c>
      <c r="K54" s="256" t="s">
        <v>20</v>
      </c>
      <c r="L54" s="256" t="s">
        <v>67</v>
      </c>
      <c r="M54" s="341" t="s">
        <v>149</v>
      </c>
      <c r="N54" s="341" t="s">
        <v>149</v>
      </c>
      <c r="O54" s="256"/>
      <c r="P54" s="256" t="s">
        <v>58</v>
      </c>
      <c r="Q54" s="459" t="s">
        <v>66</v>
      </c>
      <c r="R54" s="13"/>
      <c r="S54" s="13"/>
      <c r="T54" s="13"/>
    </row>
    <row r="55" spans="1:20" ht="49.5" customHeight="1">
      <c r="A55" s="289" t="s">
        <v>285</v>
      </c>
      <c r="B55" s="290"/>
      <c r="C55" s="291" t="s">
        <v>283</v>
      </c>
      <c r="D55" s="292" t="s">
        <v>321</v>
      </c>
      <c r="E55" s="290" t="s">
        <v>57</v>
      </c>
      <c r="F55" s="294">
        <v>1</v>
      </c>
      <c r="G55" s="290" t="s">
        <v>322</v>
      </c>
      <c r="H55" s="327">
        <v>937.25840440748004</v>
      </c>
      <c r="I55" s="290">
        <v>80</v>
      </c>
      <c r="J55" s="290">
        <v>20</v>
      </c>
      <c r="K55" s="297" t="s">
        <v>287</v>
      </c>
      <c r="L55" s="290" t="s">
        <v>67</v>
      </c>
      <c r="M55" s="339">
        <v>43232</v>
      </c>
      <c r="N55" s="339">
        <v>43297</v>
      </c>
      <c r="O55" s="290"/>
      <c r="P55" s="294" t="s">
        <v>58</v>
      </c>
      <c r="Q55" s="453" t="s">
        <v>96</v>
      </c>
      <c r="R55" s="13"/>
      <c r="S55" s="13"/>
      <c r="T55" s="13"/>
    </row>
    <row r="56" spans="1:20" ht="47.25" customHeight="1">
      <c r="A56" s="298">
        <v>1.21</v>
      </c>
      <c r="B56" s="290" t="s">
        <v>5</v>
      </c>
      <c r="C56" s="292" t="s">
        <v>314</v>
      </c>
      <c r="D56" s="292"/>
      <c r="E56" s="290" t="s">
        <v>57</v>
      </c>
      <c r="F56" s="290">
        <v>1</v>
      </c>
      <c r="G56" s="290" t="s">
        <v>58</v>
      </c>
      <c r="H56" s="322">
        <v>927.05408698416068</v>
      </c>
      <c r="I56" s="299">
        <v>95</v>
      </c>
      <c r="J56" s="299">
        <v>5</v>
      </c>
      <c r="K56" s="290" t="s">
        <v>22</v>
      </c>
      <c r="L56" s="290" t="s">
        <v>296</v>
      </c>
      <c r="M56" s="342">
        <v>43301</v>
      </c>
      <c r="N56" s="342">
        <v>43369</v>
      </c>
      <c r="O56" s="290"/>
      <c r="P56" s="290" t="s">
        <v>58</v>
      </c>
      <c r="Q56" s="456" t="s">
        <v>66</v>
      </c>
      <c r="R56" s="13"/>
      <c r="S56" s="13"/>
      <c r="T56" s="13"/>
    </row>
    <row r="57" spans="1:20" ht="45.75" customHeight="1">
      <c r="A57" s="298">
        <v>1.22</v>
      </c>
      <c r="B57" s="290" t="s">
        <v>5</v>
      </c>
      <c r="C57" s="292" t="s">
        <v>330</v>
      </c>
      <c r="D57" s="292"/>
      <c r="E57" s="290" t="s">
        <v>57</v>
      </c>
      <c r="F57" s="290">
        <v>1</v>
      </c>
      <c r="G57" s="290" t="s">
        <v>58</v>
      </c>
      <c r="H57" s="322">
        <v>158.92355776871324</v>
      </c>
      <c r="I57" s="299">
        <v>50</v>
      </c>
      <c r="J57" s="299">
        <v>50</v>
      </c>
      <c r="K57" s="290" t="s">
        <v>22</v>
      </c>
      <c r="L57" s="290" t="s">
        <v>59</v>
      </c>
      <c r="M57" s="342">
        <v>43313</v>
      </c>
      <c r="N57" s="342">
        <v>43358</v>
      </c>
      <c r="O57" s="290"/>
      <c r="P57" s="290" t="s">
        <v>58</v>
      </c>
      <c r="Q57" s="456" t="s">
        <v>66</v>
      </c>
      <c r="R57" s="13"/>
      <c r="S57" s="13"/>
      <c r="T57" s="13"/>
    </row>
    <row r="58" spans="1:20" s="285" customFormat="1" ht="45.75" customHeight="1" thickBot="1">
      <c r="A58" s="296">
        <v>1.23</v>
      </c>
      <c r="B58" s="293" t="s">
        <v>5</v>
      </c>
      <c r="C58" s="300" t="s">
        <v>331</v>
      </c>
      <c r="D58" s="295"/>
      <c r="E58" s="293" t="s">
        <v>57</v>
      </c>
      <c r="F58" s="293">
        <v>1</v>
      </c>
      <c r="G58" s="293" t="s">
        <v>58</v>
      </c>
      <c r="H58" s="320">
        <v>900.56682735604181</v>
      </c>
      <c r="I58" s="301">
        <v>50</v>
      </c>
      <c r="J58" s="301">
        <v>50</v>
      </c>
      <c r="K58" s="293" t="s">
        <v>168</v>
      </c>
      <c r="L58" s="293" t="s">
        <v>67</v>
      </c>
      <c r="M58" s="343">
        <v>43286</v>
      </c>
      <c r="N58" s="343">
        <v>43342</v>
      </c>
      <c r="O58" s="293"/>
      <c r="P58" s="293" t="s">
        <v>58</v>
      </c>
      <c r="Q58" s="457" t="s">
        <v>66</v>
      </c>
      <c r="R58" s="286"/>
      <c r="S58" s="286"/>
      <c r="T58" s="286"/>
    </row>
    <row r="59" spans="1:20">
      <c r="D59" s="24"/>
      <c r="E59" s="24"/>
      <c r="F59" s="24"/>
      <c r="G59" s="37" t="s">
        <v>76</v>
      </c>
      <c r="H59" s="50">
        <f>SUM(H17:H58)-H32-H40-H42-H45-H46-H47-H54</f>
        <v>39499.016191661824</v>
      </c>
      <c r="I59" s="26"/>
      <c r="J59" s="26"/>
      <c r="K59" s="24"/>
      <c r="L59" s="24"/>
      <c r="M59" s="24"/>
      <c r="N59" s="24"/>
      <c r="O59" s="24"/>
      <c r="P59" s="24"/>
      <c r="Q59" s="24"/>
      <c r="R59" s="13"/>
      <c r="S59" s="13"/>
      <c r="T59" s="13"/>
    </row>
    <row r="60" spans="1:20" ht="16.2" thickBot="1">
      <c r="D60" s="24"/>
      <c r="E60" s="24"/>
      <c r="F60" s="24"/>
      <c r="G60" s="24"/>
      <c r="H60" s="40"/>
      <c r="I60" s="26"/>
      <c r="J60" s="26"/>
      <c r="K60" s="24"/>
      <c r="L60" s="24"/>
      <c r="M60" s="24"/>
      <c r="N60" s="24"/>
      <c r="O60" s="24"/>
      <c r="P60" s="24"/>
      <c r="Q60" s="24"/>
      <c r="R60" s="13"/>
      <c r="S60" s="13"/>
      <c r="T60" s="13"/>
    </row>
    <row r="61" spans="1:20" ht="39.9" customHeight="1" thickBot="1">
      <c r="A61" s="63">
        <v>2</v>
      </c>
      <c r="B61" s="549" t="s">
        <v>77</v>
      </c>
      <c r="C61" s="550"/>
      <c r="D61" s="550"/>
      <c r="E61" s="550"/>
      <c r="F61" s="550"/>
      <c r="G61" s="550"/>
      <c r="H61" s="550"/>
      <c r="I61" s="550"/>
      <c r="J61" s="550"/>
      <c r="K61" s="550"/>
      <c r="L61" s="550"/>
      <c r="M61" s="550"/>
      <c r="N61" s="550"/>
      <c r="O61" s="550"/>
      <c r="P61" s="550"/>
      <c r="Q61" s="551"/>
      <c r="R61" s="13"/>
      <c r="S61" s="13"/>
      <c r="T61" s="13"/>
    </row>
    <row r="62" spans="1:20" ht="15" customHeight="1">
      <c r="A62" s="64"/>
      <c r="B62" s="534" t="s">
        <v>78</v>
      </c>
      <c r="C62" s="529" t="s">
        <v>3</v>
      </c>
      <c r="D62" s="535" t="s">
        <v>41</v>
      </c>
      <c r="E62" s="529" t="s">
        <v>42</v>
      </c>
      <c r="F62" s="529" t="s">
        <v>43</v>
      </c>
      <c r="G62" s="529" t="s">
        <v>44</v>
      </c>
      <c r="H62" s="536" t="s">
        <v>79</v>
      </c>
      <c r="I62" s="536"/>
      <c r="J62" s="536"/>
      <c r="K62" s="529" t="s">
        <v>46</v>
      </c>
      <c r="L62" s="529" t="s">
        <v>80</v>
      </c>
      <c r="M62" s="529" t="s">
        <v>0</v>
      </c>
      <c r="N62" s="529"/>
      <c r="O62" s="530" t="s">
        <v>81</v>
      </c>
      <c r="P62" s="529" t="s">
        <v>50</v>
      </c>
      <c r="Q62" s="531" t="s">
        <v>17</v>
      </c>
      <c r="R62" s="13"/>
      <c r="S62" s="13"/>
      <c r="T62" s="13"/>
    </row>
    <row r="63" spans="1:20" ht="63.6" customHeight="1" thickBot="1">
      <c r="A63" s="65"/>
      <c r="B63" s="511"/>
      <c r="C63" s="500"/>
      <c r="D63" s="533"/>
      <c r="E63" s="500"/>
      <c r="F63" s="500"/>
      <c r="G63" s="500"/>
      <c r="H63" s="61" t="s">
        <v>82</v>
      </c>
      <c r="I63" s="250" t="s">
        <v>52</v>
      </c>
      <c r="J63" s="250" t="s">
        <v>53</v>
      </c>
      <c r="K63" s="500"/>
      <c r="L63" s="500"/>
      <c r="M63" s="371" t="s">
        <v>54</v>
      </c>
      <c r="N63" s="371" t="s">
        <v>55</v>
      </c>
      <c r="O63" s="506"/>
      <c r="P63" s="500"/>
      <c r="Q63" s="502"/>
      <c r="R63" s="13"/>
      <c r="S63" s="13"/>
      <c r="T63" s="13"/>
    </row>
    <row r="64" spans="1:20" s="217" customFormat="1" ht="41.25" customHeight="1">
      <c r="A64" s="163">
        <v>2.1</v>
      </c>
      <c r="B64" s="247" t="s">
        <v>5</v>
      </c>
      <c r="C64" s="21" t="s">
        <v>7</v>
      </c>
      <c r="D64" s="21"/>
      <c r="E64" s="247" t="s">
        <v>68</v>
      </c>
      <c r="F64" s="247">
        <v>1</v>
      </c>
      <c r="G64" s="216" t="s">
        <v>305</v>
      </c>
      <c r="H64" s="135">
        <f>SUM((16229785.76)/E$7)/1000</f>
        <v>4298.8254913386663</v>
      </c>
      <c r="I64" s="77">
        <v>30</v>
      </c>
      <c r="J64" s="77">
        <v>70</v>
      </c>
      <c r="K64" s="78" t="s">
        <v>28</v>
      </c>
      <c r="L64" s="247" t="s">
        <v>59</v>
      </c>
      <c r="M64" s="372">
        <v>42461</v>
      </c>
      <c r="N64" s="369">
        <v>42593</v>
      </c>
      <c r="O64" s="247"/>
      <c r="P64" s="247" t="s">
        <v>254</v>
      </c>
      <c r="Q64" s="258" t="s">
        <v>61</v>
      </c>
      <c r="R64" s="13"/>
      <c r="S64" s="13"/>
      <c r="T64" s="13"/>
    </row>
    <row r="65" spans="1:20" ht="32.4" hidden="1" customHeight="1">
      <c r="A65" s="256">
        <v>2.2000000000000002</v>
      </c>
      <c r="B65" s="256" t="s">
        <v>5</v>
      </c>
      <c r="C65" s="138" t="s">
        <v>4</v>
      </c>
      <c r="D65" s="256"/>
      <c r="E65" s="256" t="s">
        <v>63</v>
      </c>
      <c r="F65" s="256">
        <v>1</v>
      </c>
      <c r="G65" s="100" t="s">
        <v>58</v>
      </c>
      <c r="H65" s="114">
        <f>SUM(100000/E$7)/1000</f>
        <v>26.487259628118874</v>
      </c>
      <c r="I65" s="256">
        <v>0</v>
      </c>
      <c r="J65" s="256">
        <v>100</v>
      </c>
      <c r="K65" s="256">
        <v>3.4</v>
      </c>
      <c r="L65" s="256" t="s">
        <v>64</v>
      </c>
      <c r="M65" s="370">
        <v>42583</v>
      </c>
      <c r="N65" s="373">
        <v>42658</v>
      </c>
      <c r="O65" s="256" t="s">
        <v>9</v>
      </c>
      <c r="P65" s="256" t="s">
        <v>58</v>
      </c>
      <c r="Q65" s="256" t="s">
        <v>66</v>
      </c>
      <c r="R65" s="13"/>
      <c r="S65" s="13"/>
      <c r="T65" s="13"/>
    </row>
    <row r="66" spans="1:20" s="178" customFormat="1" ht="32.4" hidden="1" customHeight="1">
      <c r="A66" s="256">
        <v>2.2000000000000002</v>
      </c>
      <c r="B66" s="256" t="s">
        <v>5</v>
      </c>
      <c r="C66" s="138" t="s">
        <v>232</v>
      </c>
      <c r="D66" s="256"/>
      <c r="E66" s="256" t="s">
        <v>63</v>
      </c>
      <c r="F66" s="256">
        <v>1</v>
      </c>
      <c r="G66" s="256" t="s">
        <v>58</v>
      </c>
      <c r="H66" s="114">
        <f>SUM((80000+200000)/E$7)/1000</f>
        <v>74.164326958732858</v>
      </c>
      <c r="I66" s="256">
        <v>0</v>
      </c>
      <c r="J66" s="256">
        <v>100</v>
      </c>
      <c r="K66" s="256">
        <v>3.4</v>
      </c>
      <c r="L66" s="256" t="s">
        <v>64</v>
      </c>
      <c r="M66" s="374">
        <v>42912</v>
      </c>
      <c r="N66" s="375">
        <v>42968</v>
      </c>
      <c r="O66" s="256" t="s">
        <v>9</v>
      </c>
      <c r="P66" s="256" t="s">
        <v>58</v>
      </c>
      <c r="Q66" s="256" t="s">
        <v>66</v>
      </c>
      <c r="R66" s="177"/>
      <c r="S66" s="177"/>
      <c r="T66" s="177"/>
    </row>
    <row r="67" spans="1:20" ht="54.75" customHeight="1">
      <c r="A67" s="74">
        <v>2.2999999999999998</v>
      </c>
      <c r="B67" s="248" t="s">
        <v>5</v>
      </c>
      <c r="C67" s="14" t="s">
        <v>208</v>
      </c>
      <c r="D67" s="14"/>
      <c r="E67" s="248" t="s">
        <v>83</v>
      </c>
      <c r="F67" s="248">
        <v>1</v>
      </c>
      <c r="G67" s="248" t="s">
        <v>271</v>
      </c>
      <c r="H67" s="56">
        <f>SUM(47203.94/E$7)/1000</f>
        <v>12.503030142501458</v>
      </c>
      <c r="I67" s="22">
        <v>50</v>
      </c>
      <c r="J67" s="22">
        <v>50</v>
      </c>
      <c r="K67" s="248">
        <v>3.2</v>
      </c>
      <c r="L67" s="248" t="s">
        <v>59</v>
      </c>
      <c r="M67" s="369">
        <v>42522</v>
      </c>
      <c r="N67" s="369">
        <v>42669</v>
      </c>
      <c r="O67" s="248"/>
      <c r="P67" s="248" t="s">
        <v>261</v>
      </c>
      <c r="Q67" s="81" t="s">
        <v>126</v>
      </c>
      <c r="R67" s="13"/>
      <c r="S67" s="13"/>
      <c r="T67" s="13"/>
    </row>
    <row r="68" spans="1:20" s="178" customFormat="1" ht="36" hidden="1" customHeight="1">
      <c r="A68" s="113">
        <v>2.4</v>
      </c>
      <c r="B68" s="256" t="s">
        <v>5</v>
      </c>
      <c r="C68" s="110" t="s">
        <v>12</v>
      </c>
      <c r="D68" s="110"/>
      <c r="E68" s="256" t="s">
        <v>63</v>
      </c>
      <c r="F68" s="256">
        <v>1</v>
      </c>
      <c r="G68" s="256" t="s">
        <v>58</v>
      </c>
      <c r="H68" s="114">
        <f>SUM(450000/E$7)/1000</f>
        <v>119.19266832653494</v>
      </c>
      <c r="I68" s="119">
        <v>0</v>
      </c>
      <c r="J68" s="119">
        <v>100</v>
      </c>
      <c r="K68" s="256" t="s">
        <v>29</v>
      </c>
      <c r="L68" s="256" t="s">
        <v>64</v>
      </c>
      <c r="M68" s="376">
        <v>43165</v>
      </c>
      <c r="N68" s="375">
        <v>43220</v>
      </c>
      <c r="O68" s="256" t="s">
        <v>9</v>
      </c>
      <c r="P68" s="256" t="s">
        <v>58</v>
      </c>
      <c r="Q68" s="117" t="s">
        <v>66</v>
      </c>
      <c r="R68" s="177"/>
      <c r="S68" s="177"/>
      <c r="T68" s="177"/>
    </row>
    <row r="69" spans="1:20" ht="41.25" hidden="1" customHeight="1">
      <c r="A69" s="113">
        <v>2.5</v>
      </c>
      <c r="B69" s="256" t="s">
        <v>5</v>
      </c>
      <c r="C69" s="110" t="s">
        <v>6</v>
      </c>
      <c r="D69" s="110"/>
      <c r="E69" s="100" t="s">
        <v>57</v>
      </c>
      <c r="F69" s="256">
        <v>1</v>
      </c>
      <c r="G69" s="256" t="s">
        <v>58</v>
      </c>
      <c r="H69" s="114">
        <f>SUM(1200000/E$7)/1000</f>
        <v>317.84711553742648</v>
      </c>
      <c r="I69" s="119">
        <v>95</v>
      </c>
      <c r="J69" s="119">
        <v>5</v>
      </c>
      <c r="K69" s="256">
        <v>3.1</v>
      </c>
      <c r="L69" s="256" t="s">
        <v>67</v>
      </c>
      <c r="M69" s="375">
        <v>43175</v>
      </c>
      <c r="N69" s="375">
        <v>43202</v>
      </c>
      <c r="O69" s="256"/>
      <c r="P69" s="256" t="s">
        <v>58</v>
      </c>
      <c r="Q69" s="117" t="s">
        <v>66</v>
      </c>
      <c r="R69" s="13"/>
      <c r="S69" s="13"/>
      <c r="T69" s="13"/>
    </row>
    <row r="70" spans="1:20" ht="31.5" customHeight="1">
      <c r="A70" s="74">
        <v>2.6</v>
      </c>
      <c r="B70" s="248" t="s">
        <v>5</v>
      </c>
      <c r="C70" s="14" t="s">
        <v>84</v>
      </c>
      <c r="D70" s="14"/>
      <c r="E70" s="207" t="s">
        <v>57</v>
      </c>
      <c r="F70" s="248">
        <v>1</v>
      </c>
      <c r="G70" s="23" t="s">
        <v>58</v>
      </c>
      <c r="H70" s="120">
        <f>SUM((900000)/E$7)/1000</f>
        <v>238.38533665306988</v>
      </c>
      <c r="I70" s="22">
        <v>0</v>
      </c>
      <c r="J70" s="22">
        <v>100</v>
      </c>
      <c r="K70" s="248" t="s">
        <v>30</v>
      </c>
      <c r="L70" s="248" t="s">
        <v>64</v>
      </c>
      <c r="M70" s="368">
        <v>43287</v>
      </c>
      <c r="N70" s="368">
        <v>43341</v>
      </c>
      <c r="O70" s="248"/>
      <c r="P70" s="23" t="s">
        <v>58</v>
      </c>
      <c r="Q70" s="81" t="s">
        <v>66</v>
      </c>
      <c r="R70" s="13"/>
      <c r="S70" s="13"/>
      <c r="T70" s="13"/>
    </row>
    <row r="71" spans="1:20" s="178" customFormat="1" ht="33" hidden="1" customHeight="1">
      <c r="A71" s="151">
        <v>2.7</v>
      </c>
      <c r="B71" s="256" t="s">
        <v>5</v>
      </c>
      <c r="C71" s="110" t="s">
        <v>13</v>
      </c>
      <c r="D71" s="110"/>
      <c r="E71" s="256" t="s">
        <v>63</v>
      </c>
      <c r="F71" s="256">
        <v>1</v>
      </c>
      <c r="G71" s="256" t="s">
        <v>58</v>
      </c>
      <c r="H71" s="114">
        <f>SUM(450000/E$7)/1000</f>
        <v>119.19266832653494</v>
      </c>
      <c r="I71" s="119">
        <v>0</v>
      </c>
      <c r="J71" s="119">
        <v>100</v>
      </c>
      <c r="K71" s="256" t="s">
        <v>31</v>
      </c>
      <c r="L71" s="256" t="s">
        <v>64</v>
      </c>
      <c r="M71" s="374">
        <v>43202</v>
      </c>
      <c r="N71" s="375">
        <v>43257</v>
      </c>
      <c r="O71" s="256" t="s">
        <v>9</v>
      </c>
      <c r="P71" s="256" t="s">
        <v>58</v>
      </c>
      <c r="Q71" s="117" t="s">
        <v>66</v>
      </c>
      <c r="R71" s="177"/>
      <c r="S71" s="177"/>
      <c r="T71" s="177"/>
    </row>
    <row r="72" spans="1:20" ht="33" customHeight="1">
      <c r="A72" s="75">
        <v>2.8</v>
      </c>
      <c r="B72" s="248" t="s">
        <v>5</v>
      </c>
      <c r="C72" s="14" t="s">
        <v>14</v>
      </c>
      <c r="D72" s="14"/>
      <c r="E72" s="207" t="s">
        <v>57</v>
      </c>
      <c r="F72" s="248">
        <v>1</v>
      </c>
      <c r="G72" s="23" t="s">
        <v>58</v>
      </c>
      <c r="H72" s="120">
        <f>SUM(700000/E$7)/1000</f>
        <v>185.41081739683213</v>
      </c>
      <c r="I72" s="22">
        <v>0</v>
      </c>
      <c r="J72" s="22">
        <v>100</v>
      </c>
      <c r="K72" s="248" t="s">
        <v>32</v>
      </c>
      <c r="L72" s="248" t="s">
        <v>64</v>
      </c>
      <c r="M72" s="368">
        <v>43287</v>
      </c>
      <c r="N72" s="368">
        <v>43341</v>
      </c>
      <c r="O72" s="248"/>
      <c r="P72" s="23" t="s">
        <v>58</v>
      </c>
      <c r="Q72" s="81" t="s">
        <v>66</v>
      </c>
      <c r="R72" s="13"/>
      <c r="S72" s="13"/>
      <c r="T72" s="13"/>
    </row>
    <row r="73" spans="1:20" ht="31.2">
      <c r="A73" s="137">
        <v>2.9</v>
      </c>
      <c r="B73" s="248" t="s">
        <v>5</v>
      </c>
      <c r="C73" s="14" t="s">
        <v>206</v>
      </c>
      <c r="D73" s="14"/>
      <c r="E73" s="248" t="s">
        <v>63</v>
      </c>
      <c r="F73" s="248">
        <v>1</v>
      </c>
      <c r="G73" s="248" t="s">
        <v>246</v>
      </c>
      <c r="H73" s="16">
        <f>SUM(32999/E$7)/1000</f>
        <v>8.7405308046829493</v>
      </c>
      <c r="I73" s="54">
        <v>0</v>
      </c>
      <c r="J73" s="54">
        <v>100</v>
      </c>
      <c r="K73" s="248">
        <v>3.2</v>
      </c>
      <c r="L73" s="248" t="s">
        <v>64</v>
      </c>
      <c r="M73" s="369">
        <v>42656</v>
      </c>
      <c r="N73" s="369">
        <v>42711</v>
      </c>
      <c r="O73" s="248" t="s">
        <v>245</v>
      </c>
      <c r="P73" s="248"/>
      <c r="Q73" s="81" t="s">
        <v>126</v>
      </c>
      <c r="R73" s="13"/>
      <c r="S73" s="13"/>
      <c r="T73" s="13"/>
    </row>
    <row r="74" spans="1:20">
      <c r="A74" s="20"/>
      <c r="B74" s="24"/>
      <c r="C74" s="24"/>
      <c r="D74" s="24"/>
      <c r="E74" s="24"/>
      <c r="F74" s="24"/>
      <c r="G74" s="37" t="s">
        <v>76</v>
      </c>
      <c r="H74" s="50">
        <f>SUM(H64:H73)-H65-H66-H68-H69-H71</f>
        <v>4743.8652063357531</v>
      </c>
      <c r="I74" s="26"/>
      <c r="J74" s="26"/>
      <c r="K74" s="24"/>
      <c r="L74" s="24"/>
      <c r="M74" s="24"/>
      <c r="N74" s="24"/>
      <c r="O74" s="24"/>
      <c r="P74" s="24"/>
      <c r="Q74" s="24"/>
      <c r="R74" s="13"/>
      <c r="S74" s="13"/>
      <c r="T74" s="13"/>
    </row>
    <row r="75" spans="1:20" ht="16.2" thickBot="1">
      <c r="A75" s="20"/>
    </row>
    <row r="76" spans="1:20" ht="15.75" customHeight="1">
      <c r="A76" s="69">
        <v>3</v>
      </c>
      <c r="B76" s="507" t="s">
        <v>85</v>
      </c>
      <c r="C76" s="508"/>
      <c r="D76" s="508"/>
      <c r="E76" s="508"/>
      <c r="F76" s="508"/>
      <c r="G76" s="508"/>
      <c r="H76" s="508"/>
      <c r="I76" s="508"/>
      <c r="J76" s="508"/>
      <c r="K76" s="508"/>
      <c r="L76" s="508"/>
      <c r="M76" s="508"/>
      <c r="N76" s="508"/>
      <c r="O76" s="508"/>
      <c r="P76" s="508"/>
      <c r="Q76" s="509"/>
    </row>
    <row r="77" spans="1:20" ht="15" customHeight="1">
      <c r="A77" s="70"/>
      <c r="B77" s="510" t="s">
        <v>78</v>
      </c>
      <c r="C77" s="497" t="s">
        <v>3</v>
      </c>
      <c r="D77" s="532" t="s">
        <v>41</v>
      </c>
      <c r="E77" s="497" t="s">
        <v>42</v>
      </c>
      <c r="F77" s="497" t="s">
        <v>43</v>
      </c>
      <c r="G77" s="497" t="s">
        <v>44</v>
      </c>
      <c r="H77" s="512" t="s">
        <v>79</v>
      </c>
      <c r="I77" s="512"/>
      <c r="J77" s="512"/>
      <c r="K77" s="497" t="s">
        <v>46</v>
      </c>
      <c r="L77" s="497" t="s">
        <v>80</v>
      </c>
      <c r="M77" s="497" t="s">
        <v>0</v>
      </c>
      <c r="N77" s="497"/>
      <c r="O77" s="505" t="s">
        <v>81</v>
      </c>
      <c r="P77" s="497" t="s">
        <v>50</v>
      </c>
      <c r="Q77" s="501" t="s">
        <v>17</v>
      </c>
    </row>
    <row r="78" spans="1:20" ht="47.4" customHeight="1" thickBot="1">
      <c r="A78" s="79"/>
      <c r="B78" s="511"/>
      <c r="C78" s="500"/>
      <c r="D78" s="533"/>
      <c r="E78" s="500"/>
      <c r="F78" s="500"/>
      <c r="G78" s="500"/>
      <c r="H78" s="61" t="s">
        <v>82</v>
      </c>
      <c r="I78" s="250" t="s">
        <v>52</v>
      </c>
      <c r="J78" s="250" t="s">
        <v>53</v>
      </c>
      <c r="K78" s="500"/>
      <c r="L78" s="500"/>
      <c r="M78" s="377" t="s">
        <v>54</v>
      </c>
      <c r="N78" s="377" t="s">
        <v>55</v>
      </c>
      <c r="O78" s="506"/>
      <c r="P78" s="500"/>
      <c r="Q78" s="502"/>
    </row>
    <row r="79" spans="1:20" ht="34.5" customHeight="1">
      <c r="A79" s="99">
        <v>3.1</v>
      </c>
      <c r="B79" s="100" t="s">
        <v>5</v>
      </c>
      <c r="C79" s="102" t="s">
        <v>86</v>
      </c>
      <c r="D79" s="102"/>
      <c r="E79" s="100" t="s">
        <v>57</v>
      </c>
      <c r="F79" s="100">
        <v>1</v>
      </c>
      <c r="G79" s="100" t="s">
        <v>58</v>
      </c>
      <c r="H79" s="103">
        <f>SUM(4868779.83/E$7)/1000</f>
        <v>1289.6063542935849</v>
      </c>
      <c r="I79" s="213">
        <v>60</v>
      </c>
      <c r="J79" s="213">
        <v>40</v>
      </c>
      <c r="K79" s="206">
        <v>3.1</v>
      </c>
      <c r="L79" s="100" t="s">
        <v>67</v>
      </c>
      <c r="M79" s="386">
        <v>43161</v>
      </c>
      <c r="N79" s="386">
        <v>43217</v>
      </c>
      <c r="O79" s="100"/>
      <c r="P79" s="100" t="s">
        <v>58</v>
      </c>
      <c r="Q79" s="106" t="s">
        <v>66</v>
      </c>
    </row>
    <row r="80" spans="1:20" ht="32.4" customHeight="1">
      <c r="A80" s="146">
        <v>3.2</v>
      </c>
      <c r="B80" s="248" t="s">
        <v>5</v>
      </c>
      <c r="C80" s="14" t="s">
        <v>205</v>
      </c>
      <c r="D80" s="14"/>
      <c r="E80" s="248" t="s">
        <v>57</v>
      </c>
      <c r="F80" s="248">
        <v>1</v>
      </c>
      <c r="G80" s="248" t="s">
        <v>152</v>
      </c>
      <c r="H80" s="53">
        <f>SUM(198875/E$7)/1000</f>
        <v>52.676537585421414</v>
      </c>
      <c r="I80" s="54">
        <v>50</v>
      </c>
      <c r="J80" s="54">
        <v>50</v>
      </c>
      <c r="K80" s="55">
        <v>3.2</v>
      </c>
      <c r="L80" s="248" t="s">
        <v>67</v>
      </c>
      <c r="M80" s="382">
        <v>41789</v>
      </c>
      <c r="N80" s="378">
        <v>41857</v>
      </c>
      <c r="O80" s="248" t="s">
        <v>149</v>
      </c>
      <c r="P80" s="248" t="s">
        <v>153</v>
      </c>
      <c r="Q80" s="248" t="s">
        <v>126</v>
      </c>
    </row>
    <row r="81" spans="1:19" ht="37.950000000000003" hidden="1" customHeight="1">
      <c r="A81" s="147">
        <v>3.3</v>
      </c>
      <c r="B81" s="147" t="s">
        <v>5</v>
      </c>
      <c r="C81" s="110" t="s">
        <v>87</v>
      </c>
      <c r="D81" s="147"/>
      <c r="E81" s="147" t="s">
        <v>63</v>
      </c>
      <c r="F81" s="147">
        <v>1</v>
      </c>
      <c r="G81" s="147" t="s">
        <v>58</v>
      </c>
      <c r="H81" s="114">
        <f>SUM(100000/$E$7)/1000</f>
        <v>26.487259628118874</v>
      </c>
      <c r="I81" s="147">
        <v>0</v>
      </c>
      <c r="J81" s="147">
        <v>100</v>
      </c>
      <c r="K81" s="147">
        <v>3.4</v>
      </c>
      <c r="L81" s="147" t="s">
        <v>67</v>
      </c>
      <c r="M81" s="381">
        <v>42583</v>
      </c>
      <c r="N81" s="381">
        <v>42644</v>
      </c>
      <c r="O81" s="147"/>
      <c r="P81" s="147" t="s">
        <v>58</v>
      </c>
      <c r="Q81" s="147" t="s">
        <v>66</v>
      </c>
      <c r="S81" s="108"/>
    </row>
    <row r="82" spans="1:19" ht="42" hidden="1" customHeight="1">
      <c r="A82" s="124">
        <v>3.3</v>
      </c>
      <c r="B82" s="141" t="s">
        <v>5</v>
      </c>
      <c r="C82" s="125" t="s">
        <v>221</v>
      </c>
      <c r="D82" s="139"/>
      <c r="E82" s="139"/>
      <c r="F82" s="139"/>
      <c r="G82" s="139"/>
      <c r="H82" s="139"/>
      <c r="I82" s="139"/>
      <c r="J82" s="139"/>
      <c r="K82" s="139"/>
      <c r="L82" s="139"/>
      <c r="M82" s="383"/>
      <c r="N82" s="383"/>
      <c r="O82" s="139"/>
      <c r="P82" s="139"/>
      <c r="Q82" s="140"/>
      <c r="S82" s="108"/>
    </row>
    <row r="83" spans="1:19" ht="33" hidden="1" customHeight="1">
      <c r="A83" s="113">
        <v>3.4</v>
      </c>
      <c r="B83" s="256" t="s">
        <v>5</v>
      </c>
      <c r="C83" s="110" t="s">
        <v>89</v>
      </c>
      <c r="D83" s="110"/>
      <c r="E83" s="256" t="s">
        <v>57</v>
      </c>
      <c r="F83" s="256">
        <v>1</v>
      </c>
      <c r="G83" s="256" t="s">
        <v>58</v>
      </c>
      <c r="H83" s="114">
        <f>SUM(1420000/E$7)/1000</f>
        <v>376.11908671928802</v>
      </c>
      <c r="I83" s="115">
        <v>50</v>
      </c>
      <c r="J83" s="115">
        <v>50</v>
      </c>
      <c r="K83" s="256">
        <v>3.2</v>
      </c>
      <c r="L83" s="256" t="s">
        <v>67</v>
      </c>
      <c r="M83" s="380" t="s">
        <v>88</v>
      </c>
      <c r="N83" s="379" t="s">
        <v>58</v>
      </c>
      <c r="O83" s="256"/>
      <c r="P83" s="256" t="s">
        <v>58</v>
      </c>
      <c r="Q83" s="117" t="s">
        <v>123</v>
      </c>
    </row>
    <row r="84" spans="1:19" ht="49.5" hidden="1" customHeight="1">
      <c r="A84" s="113">
        <v>3.5</v>
      </c>
      <c r="B84" s="256" t="s">
        <v>5</v>
      </c>
      <c r="C84" s="110" t="s">
        <v>90</v>
      </c>
      <c r="D84" s="110"/>
      <c r="E84" s="256" t="s">
        <v>63</v>
      </c>
      <c r="F84" s="256">
        <v>1</v>
      </c>
      <c r="G84" s="256" t="s">
        <v>58</v>
      </c>
      <c r="H84" s="114">
        <f>SUM(200000/E$7)/1000</f>
        <v>52.974519256237748</v>
      </c>
      <c r="I84" s="119">
        <v>0</v>
      </c>
      <c r="J84" s="119">
        <v>100</v>
      </c>
      <c r="K84" s="256">
        <v>3.2</v>
      </c>
      <c r="L84" s="256" t="s">
        <v>64</v>
      </c>
      <c r="M84" s="381" t="s">
        <v>91</v>
      </c>
      <c r="N84" s="379" t="s">
        <v>58</v>
      </c>
      <c r="O84" s="256" t="s">
        <v>65</v>
      </c>
      <c r="P84" s="256" t="s">
        <v>58</v>
      </c>
      <c r="Q84" s="117" t="s">
        <v>66</v>
      </c>
      <c r="S84" s="108"/>
    </row>
    <row r="85" spans="1:19" s="178" customFormat="1" ht="69" hidden="1" customHeight="1">
      <c r="A85" s="113">
        <v>3.6</v>
      </c>
      <c r="B85" s="256" t="s">
        <v>5</v>
      </c>
      <c r="C85" s="110" t="s">
        <v>186</v>
      </c>
      <c r="D85" s="110"/>
      <c r="E85" s="256" t="s">
        <v>57</v>
      </c>
      <c r="F85" s="256">
        <v>1</v>
      </c>
      <c r="G85" s="256" t="s">
        <v>58</v>
      </c>
      <c r="H85" s="114">
        <f>SUM(1420000/E$7)/1000</f>
        <v>376.11908671928802</v>
      </c>
      <c r="I85" s="115">
        <v>62</v>
      </c>
      <c r="J85" s="115">
        <v>38</v>
      </c>
      <c r="K85" s="256">
        <v>3.2</v>
      </c>
      <c r="L85" s="256" t="s">
        <v>67</v>
      </c>
      <c r="M85" s="384">
        <v>43081</v>
      </c>
      <c r="N85" s="384">
        <v>43137</v>
      </c>
      <c r="O85" s="256"/>
      <c r="P85" s="256" t="s">
        <v>58</v>
      </c>
      <c r="Q85" s="117" t="s">
        <v>66</v>
      </c>
    </row>
    <row r="86" spans="1:19" s="178" customFormat="1" ht="33.75" hidden="1" customHeight="1" thickBot="1">
      <c r="A86" s="197">
        <v>3.7</v>
      </c>
      <c r="B86" s="193" t="s">
        <v>5</v>
      </c>
      <c r="C86" s="198" t="s">
        <v>187</v>
      </c>
      <c r="D86" s="198"/>
      <c r="E86" s="193" t="s">
        <v>63</v>
      </c>
      <c r="F86" s="193">
        <v>1</v>
      </c>
      <c r="G86" s="193" t="s">
        <v>58</v>
      </c>
      <c r="H86" s="199">
        <f>SUM(130000/E$7)/1000</f>
        <v>34.433437516554534</v>
      </c>
      <c r="I86" s="200">
        <v>0</v>
      </c>
      <c r="J86" s="200">
        <v>100</v>
      </c>
      <c r="K86" s="193">
        <v>3.2</v>
      </c>
      <c r="L86" s="193" t="s">
        <v>64</v>
      </c>
      <c r="M86" s="385">
        <v>43081</v>
      </c>
      <c r="N86" s="385">
        <v>43137</v>
      </c>
      <c r="O86" s="193" t="s">
        <v>65</v>
      </c>
      <c r="P86" s="193"/>
      <c r="Q86" s="196" t="s">
        <v>66</v>
      </c>
    </row>
    <row r="87" spans="1:19">
      <c r="A87" s="20"/>
      <c r="B87" s="24"/>
      <c r="C87" s="24"/>
      <c r="D87" s="24"/>
      <c r="E87" s="24"/>
      <c r="F87" s="24"/>
      <c r="G87" s="37" t="s">
        <v>76</v>
      </c>
      <c r="H87" s="50">
        <f>SUM(H79:H86)-H79-H81-H83-H84-H85-H86</f>
        <v>52.676537585421272</v>
      </c>
      <c r="I87" s="26"/>
      <c r="J87" s="26"/>
      <c r="K87" s="24"/>
      <c r="L87" s="24"/>
      <c r="M87" s="24"/>
      <c r="N87" s="24"/>
      <c r="O87" s="24"/>
      <c r="P87" s="24"/>
      <c r="Q87" s="24"/>
    </row>
    <row r="88" spans="1:19" ht="16.2" thickBot="1">
      <c r="A88" s="20"/>
    </row>
    <row r="89" spans="1:19" ht="15.75" customHeight="1">
      <c r="A89" s="71">
        <v>4</v>
      </c>
      <c r="B89" s="507" t="s">
        <v>92</v>
      </c>
      <c r="C89" s="508"/>
      <c r="D89" s="508"/>
      <c r="E89" s="508"/>
      <c r="F89" s="508"/>
      <c r="G89" s="508"/>
      <c r="H89" s="508"/>
      <c r="I89" s="508"/>
      <c r="J89" s="508"/>
      <c r="K89" s="508"/>
      <c r="L89" s="508"/>
      <c r="M89" s="508"/>
      <c r="N89" s="508"/>
      <c r="O89" s="508"/>
      <c r="P89" s="508"/>
      <c r="Q89" s="509"/>
    </row>
    <row r="90" spans="1:19" ht="35.25" customHeight="1">
      <c r="A90" s="64"/>
      <c r="B90" s="510" t="s">
        <v>78</v>
      </c>
      <c r="C90" s="497" t="s">
        <v>3</v>
      </c>
      <c r="D90" s="497" t="s">
        <v>41</v>
      </c>
      <c r="E90" s="497" t="s">
        <v>42</v>
      </c>
      <c r="F90" s="526"/>
      <c r="G90" s="526"/>
      <c r="H90" s="505" t="s">
        <v>79</v>
      </c>
      <c r="I90" s="527"/>
      <c r="J90" s="528"/>
      <c r="K90" s="497" t="s">
        <v>46</v>
      </c>
      <c r="L90" s="497" t="s">
        <v>80</v>
      </c>
      <c r="M90" s="497" t="s">
        <v>0</v>
      </c>
      <c r="N90" s="497"/>
      <c r="O90" s="505" t="s">
        <v>81</v>
      </c>
      <c r="P90" s="497" t="s">
        <v>50</v>
      </c>
      <c r="Q90" s="501" t="s">
        <v>17</v>
      </c>
    </row>
    <row r="91" spans="1:19" ht="75.75" customHeight="1" thickBot="1">
      <c r="A91" s="65"/>
      <c r="B91" s="511"/>
      <c r="C91" s="500"/>
      <c r="D91" s="500"/>
      <c r="E91" s="500"/>
      <c r="F91" s="500" t="s">
        <v>44</v>
      </c>
      <c r="G91" s="500"/>
      <c r="H91" s="249" t="s">
        <v>82</v>
      </c>
      <c r="I91" s="61" t="s">
        <v>52</v>
      </c>
      <c r="J91" s="250" t="s">
        <v>53</v>
      </c>
      <c r="K91" s="500"/>
      <c r="L91" s="500"/>
      <c r="M91" s="407" t="s">
        <v>93</v>
      </c>
      <c r="N91" s="407" t="s">
        <v>55</v>
      </c>
      <c r="O91" s="506"/>
      <c r="P91" s="500"/>
      <c r="Q91" s="502"/>
    </row>
    <row r="92" spans="1:19" ht="48.75" hidden="1" customHeight="1">
      <c r="A92" s="99">
        <v>4.0999999999999996</v>
      </c>
      <c r="B92" s="100" t="s">
        <v>5</v>
      </c>
      <c r="C92" s="101" t="s">
        <v>94</v>
      </c>
      <c r="D92" s="102"/>
      <c r="E92" s="100" t="s">
        <v>95</v>
      </c>
      <c r="F92" s="519" t="s">
        <v>154</v>
      </c>
      <c r="G92" s="520"/>
      <c r="H92" s="103">
        <f>SUM(9290368.77/E$7)/1000</f>
        <v>2460.7640965195742</v>
      </c>
      <c r="I92" s="104">
        <v>12</v>
      </c>
      <c r="J92" s="104">
        <v>88</v>
      </c>
      <c r="K92" s="105">
        <v>4.2</v>
      </c>
      <c r="L92" s="100" t="s">
        <v>59</v>
      </c>
      <c r="M92" s="410" t="s">
        <v>60</v>
      </c>
      <c r="N92" s="409" t="s">
        <v>149</v>
      </c>
      <c r="O92" s="100" t="s">
        <v>149</v>
      </c>
      <c r="P92" s="100" t="s">
        <v>149</v>
      </c>
      <c r="Q92" s="106" t="s">
        <v>123</v>
      </c>
    </row>
    <row r="93" spans="1:19" ht="36" customHeight="1">
      <c r="A93" s="74">
        <v>4.2</v>
      </c>
      <c r="B93" s="248" t="s">
        <v>5</v>
      </c>
      <c r="C93" s="68" t="s">
        <v>97</v>
      </c>
      <c r="D93" s="14"/>
      <c r="E93" s="248" t="s">
        <v>63</v>
      </c>
      <c r="F93" s="471" t="s">
        <v>155</v>
      </c>
      <c r="G93" s="472"/>
      <c r="H93" s="53">
        <f>SUM(169000/E$7)/1000</f>
        <v>44.763468771520898</v>
      </c>
      <c r="I93" s="51">
        <v>0</v>
      </c>
      <c r="J93" s="51">
        <v>100</v>
      </c>
      <c r="K93" s="52">
        <v>3.1</v>
      </c>
      <c r="L93" s="248" t="s">
        <v>64</v>
      </c>
      <c r="M93" s="405">
        <v>41957</v>
      </c>
      <c r="N93" s="408">
        <v>42011</v>
      </c>
      <c r="O93" s="248" t="s">
        <v>10</v>
      </c>
      <c r="P93" s="23" t="s">
        <v>58</v>
      </c>
      <c r="Q93" s="81" t="s">
        <v>126</v>
      </c>
    </row>
    <row r="94" spans="1:19" ht="31.2">
      <c r="A94" s="124">
        <v>4.3</v>
      </c>
      <c r="B94" s="23" t="s">
        <v>5</v>
      </c>
      <c r="C94" s="209" t="s">
        <v>303</v>
      </c>
      <c r="D94" s="125"/>
      <c r="E94" s="23" t="s">
        <v>63</v>
      </c>
      <c r="F94" s="521" t="s">
        <v>156</v>
      </c>
      <c r="G94" s="522"/>
      <c r="H94" s="121">
        <f>SUM(257800/E$7)/1000</f>
        <v>68.284155321290456</v>
      </c>
      <c r="I94" s="122">
        <v>0</v>
      </c>
      <c r="J94" s="122">
        <v>100</v>
      </c>
      <c r="K94" s="126">
        <v>4.0999999999999996</v>
      </c>
      <c r="L94" s="23" t="s">
        <v>64</v>
      </c>
      <c r="M94" s="406">
        <v>41225</v>
      </c>
      <c r="N94" s="412">
        <v>41227</v>
      </c>
      <c r="O94" s="23" t="s">
        <v>11</v>
      </c>
      <c r="P94" s="23" t="s">
        <v>58</v>
      </c>
      <c r="Q94" s="127" t="s">
        <v>126</v>
      </c>
    </row>
    <row r="95" spans="1:19" ht="31.2">
      <c r="A95" s="95">
        <v>4.4000000000000004</v>
      </c>
      <c r="B95" s="219" t="s">
        <v>5</v>
      </c>
      <c r="C95" s="94" t="s">
        <v>304</v>
      </c>
      <c r="D95" s="14"/>
      <c r="E95" s="219" t="s">
        <v>63</v>
      </c>
      <c r="F95" s="523" t="s">
        <v>58</v>
      </c>
      <c r="G95" s="524"/>
      <c r="H95" s="118">
        <f>SUM(200000/E$7)/1000</f>
        <v>52.974519256237748</v>
      </c>
      <c r="I95" s="97">
        <v>0</v>
      </c>
      <c r="J95" s="97">
        <v>100</v>
      </c>
      <c r="K95" s="219">
        <v>4.0999999999999996</v>
      </c>
      <c r="L95" s="219" t="s">
        <v>64</v>
      </c>
      <c r="M95" s="411">
        <v>43362</v>
      </c>
      <c r="N95" s="411">
        <v>43392</v>
      </c>
      <c r="O95" s="219" t="s">
        <v>11</v>
      </c>
      <c r="P95" s="219"/>
      <c r="Q95" s="219" t="s">
        <v>66</v>
      </c>
    </row>
    <row r="96" spans="1:19" s="178" customFormat="1" ht="31.2" hidden="1">
      <c r="A96" s="147">
        <v>4.4000000000000004</v>
      </c>
      <c r="B96" s="256" t="s">
        <v>5</v>
      </c>
      <c r="C96" s="110" t="s">
        <v>188</v>
      </c>
      <c r="D96" s="110"/>
      <c r="E96" s="256" t="s">
        <v>95</v>
      </c>
      <c r="F96" s="525" t="s">
        <v>222</v>
      </c>
      <c r="G96" s="525"/>
      <c r="H96" s="128">
        <f>SUM(5128850.07/E$7)/1000</f>
        <v>1358.4918339778567</v>
      </c>
      <c r="I96" s="129">
        <v>18</v>
      </c>
      <c r="J96" s="129">
        <v>82</v>
      </c>
      <c r="K96" s="175">
        <v>4.2</v>
      </c>
      <c r="L96" s="256" t="s">
        <v>59</v>
      </c>
      <c r="M96" s="116">
        <v>42360</v>
      </c>
      <c r="N96" s="179">
        <v>42909</v>
      </c>
      <c r="O96" s="256"/>
      <c r="P96" s="256"/>
      <c r="Q96" s="256" t="s">
        <v>96</v>
      </c>
    </row>
    <row r="97" spans="1:17" s="178" customFormat="1" ht="40.5" hidden="1" customHeight="1">
      <c r="A97" s="113">
        <v>4.5</v>
      </c>
      <c r="B97" s="256" t="s">
        <v>5</v>
      </c>
      <c r="C97" s="110" t="s">
        <v>234</v>
      </c>
      <c r="D97" s="110"/>
      <c r="E97" s="256" t="s">
        <v>98</v>
      </c>
      <c r="F97" s="515" t="s">
        <v>272</v>
      </c>
      <c r="G97" s="516"/>
      <c r="H97" s="128">
        <f>SUM(344883.34/E$7)/1000</f>
        <v>91.350145679927977</v>
      </c>
      <c r="I97" s="129">
        <v>24.3</v>
      </c>
      <c r="J97" s="129">
        <v>75.7</v>
      </c>
      <c r="K97" s="175" t="s">
        <v>237</v>
      </c>
      <c r="L97" s="256" t="s">
        <v>59</v>
      </c>
      <c r="M97" s="131">
        <v>42653</v>
      </c>
      <c r="N97" s="179">
        <v>42892</v>
      </c>
      <c r="O97" s="256"/>
      <c r="P97" s="256" t="s">
        <v>58</v>
      </c>
      <c r="Q97" s="117" t="s">
        <v>96</v>
      </c>
    </row>
    <row r="98" spans="1:17" s="178" customFormat="1" ht="42" hidden="1" customHeight="1">
      <c r="A98" s="113">
        <v>4.5999999999999996</v>
      </c>
      <c r="B98" s="256" t="s">
        <v>5</v>
      </c>
      <c r="C98" s="110" t="s">
        <v>235</v>
      </c>
      <c r="D98" s="110"/>
      <c r="E98" s="256" t="s">
        <v>98</v>
      </c>
      <c r="F98" s="515" t="s">
        <v>273</v>
      </c>
      <c r="G98" s="516"/>
      <c r="H98" s="128">
        <f>SUM(280066.03/E$7)/1000</f>
        <v>74.181816496265313</v>
      </c>
      <c r="I98" s="129">
        <v>100</v>
      </c>
      <c r="J98" s="129">
        <v>0</v>
      </c>
      <c r="K98" s="175" t="s">
        <v>238</v>
      </c>
      <c r="L98" s="256" t="s">
        <v>59</v>
      </c>
      <c r="M98" s="131">
        <v>42653</v>
      </c>
      <c r="N98" s="179">
        <v>42892</v>
      </c>
      <c r="O98" s="256"/>
      <c r="P98" s="256" t="s">
        <v>58</v>
      </c>
      <c r="Q98" s="117" t="s">
        <v>96</v>
      </c>
    </row>
    <row r="99" spans="1:17" s="178" customFormat="1" ht="42" hidden="1" customHeight="1" thickBot="1">
      <c r="A99" s="172">
        <v>4.7</v>
      </c>
      <c r="B99" s="173" t="s">
        <v>5</v>
      </c>
      <c r="C99" s="174" t="s">
        <v>236</v>
      </c>
      <c r="D99" s="174"/>
      <c r="E99" s="173" t="s">
        <v>98</v>
      </c>
      <c r="F99" s="517" t="s">
        <v>8</v>
      </c>
      <c r="G99" s="518"/>
      <c r="H99" s="180">
        <f>SUM(120000/E$7)/1000</f>
        <v>31.78471155374265</v>
      </c>
      <c r="I99" s="181">
        <v>100</v>
      </c>
      <c r="J99" s="181">
        <v>0</v>
      </c>
      <c r="K99" s="182" t="s">
        <v>239</v>
      </c>
      <c r="L99" s="173" t="s">
        <v>59</v>
      </c>
      <c r="M99" s="183">
        <v>42653</v>
      </c>
      <c r="N99" s="184">
        <v>42893</v>
      </c>
      <c r="O99" s="173"/>
      <c r="P99" s="193" t="s">
        <v>58</v>
      </c>
      <c r="Q99" s="176" t="s">
        <v>66</v>
      </c>
    </row>
    <row r="100" spans="1:17">
      <c r="A100" s="20"/>
      <c r="B100" s="24"/>
      <c r="C100" s="24"/>
      <c r="D100" s="24"/>
      <c r="E100" s="24"/>
      <c r="F100" s="24"/>
      <c r="G100" s="37" t="s">
        <v>76</v>
      </c>
      <c r="H100" s="50">
        <f>SUM(H92:H95)-H92</f>
        <v>166.0221433490492</v>
      </c>
      <c r="I100" s="25"/>
      <c r="J100" s="26"/>
      <c r="K100" s="26"/>
      <c r="L100" s="24"/>
      <c r="M100" s="24"/>
      <c r="N100" s="24"/>
      <c r="O100" s="24"/>
      <c r="P100" s="24"/>
      <c r="Q100" s="24"/>
    </row>
    <row r="101" spans="1:17" ht="15.75" customHeight="1" thickBot="1">
      <c r="A101" s="20"/>
    </row>
    <row r="102" spans="1:17" ht="15" customHeight="1">
      <c r="A102" s="71">
        <v>5</v>
      </c>
      <c r="B102" s="507" t="s">
        <v>99</v>
      </c>
      <c r="C102" s="508"/>
      <c r="D102" s="508"/>
      <c r="E102" s="508"/>
      <c r="F102" s="508"/>
      <c r="G102" s="508"/>
      <c r="H102" s="508"/>
      <c r="I102" s="508"/>
      <c r="J102" s="508"/>
      <c r="K102" s="508"/>
      <c r="L102" s="508"/>
      <c r="M102" s="508"/>
      <c r="N102" s="508"/>
      <c r="O102" s="508"/>
      <c r="P102" s="508"/>
      <c r="Q102" s="509"/>
    </row>
    <row r="103" spans="1:17">
      <c r="A103" s="64"/>
      <c r="B103" s="510" t="s">
        <v>78</v>
      </c>
      <c r="C103" s="497" t="s">
        <v>3</v>
      </c>
      <c r="D103" s="497" t="s">
        <v>41</v>
      </c>
      <c r="E103" s="497" t="s">
        <v>42</v>
      </c>
      <c r="F103" s="497" t="s">
        <v>44</v>
      </c>
      <c r="G103" s="512" t="s">
        <v>79</v>
      </c>
      <c r="H103" s="512"/>
      <c r="I103" s="512"/>
      <c r="J103" s="495" t="s">
        <v>100</v>
      </c>
      <c r="K103" s="497" t="s">
        <v>46</v>
      </c>
      <c r="L103" s="497" t="s">
        <v>80</v>
      </c>
      <c r="M103" s="497" t="s">
        <v>0</v>
      </c>
      <c r="N103" s="497"/>
      <c r="O103" s="505" t="s">
        <v>81</v>
      </c>
      <c r="P103" s="497" t="s">
        <v>50</v>
      </c>
      <c r="Q103" s="501" t="s">
        <v>17</v>
      </c>
    </row>
    <row r="104" spans="1:17" ht="75.75" customHeight="1" thickBot="1">
      <c r="A104" s="65"/>
      <c r="B104" s="511"/>
      <c r="C104" s="500"/>
      <c r="D104" s="500"/>
      <c r="E104" s="500"/>
      <c r="F104" s="500"/>
      <c r="G104" s="249" t="s">
        <v>82</v>
      </c>
      <c r="H104" s="194" t="s">
        <v>52</v>
      </c>
      <c r="I104" s="195" t="s">
        <v>53</v>
      </c>
      <c r="J104" s="496"/>
      <c r="K104" s="500"/>
      <c r="L104" s="500"/>
      <c r="M104" s="415" t="s">
        <v>101</v>
      </c>
      <c r="N104" s="415" t="s">
        <v>102</v>
      </c>
      <c r="O104" s="506"/>
      <c r="P104" s="500"/>
      <c r="Q104" s="502"/>
    </row>
    <row r="105" spans="1:17" ht="63.6" hidden="1" customHeight="1">
      <c r="A105" s="113">
        <v>5.0999999999999996</v>
      </c>
      <c r="B105" s="256" t="s">
        <v>5</v>
      </c>
      <c r="C105" s="154" t="s">
        <v>103</v>
      </c>
      <c r="D105" s="110"/>
      <c r="E105" s="256" t="s">
        <v>104</v>
      </c>
      <c r="F105" s="256" t="s">
        <v>243</v>
      </c>
      <c r="G105" s="103">
        <f>SUM((SUM(88000)/E$7)/1000)</f>
        <v>23.30878847274461</v>
      </c>
      <c r="H105" s="115" t="s">
        <v>18</v>
      </c>
      <c r="I105" s="147" t="s">
        <v>19</v>
      </c>
      <c r="J105" s="256">
        <v>1</v>
      </c>
      <c r="K105" s="154">
        <v>3.3</v>
      </c>
      <c r="L105" s="110" t="s">
        <v>67</v>
      </c>
      <c r="M105" s="417">
        <v>0</v>
      </c>
      <c r="N105" s="417">
        <v>0</v>
      </c>
      <c r="O105" s="103" t="s">
        <v>149</v>
      </c>
      <c r="P105" s="115" t="s">
        <v>58</v>
      </c>
      <c r="Q105" s="113" t="s">
        <v>123</v>
      </c>
    </row>
    <row r="106" spans="1:17" ht="153.6" customHeight="1">
      <c r="A106" s="136">
        <v>5.2</v>
      </c>
      <c r="B106" s="248" t="s">
        <v>5</v>
      </c>
      <c r="C106" s="68" t="s">
        <v>183</v>
      </c>
      <c r="D106" s="14" t="s">
        <v>192</v>
      </c>
      <c r="E106" s="248" t="s">
        <v>104</v>
      </c>
      <c r="F106" s="248" t="s">
        <v>274</v>
      </c>
      <c r="G106" s="76">
        <f>SUM((53600+10720)/$E$7)/1000</f>
        <v>17.036605392806059</v>
      </c>
      <c r="H106" s="51">
        <v>83.34</v>
      </c>
      <c r="I106" s="51">
        <v>16.66</v>
      </c>
      <c r="J106" s="248">
        <v>1</v>
      </c>
      <c r="K106" s="52">
        <v>4.2</v>
      </c>
      <c r="L106" s="248" t="s">
        <v>59</v>
      </c>
      <c r="M106" s="413">
        <v>42251</v>
      </c>
      <c r="N106" s="416">
        <v>42314</v>
      </c>
      <c r="O106" s="248"/>
      <c r="P106" s="248" t="s">
        <v>193</v>
      </c>
      <c r="Q106" s="81" t="s">
        <v>126</v>
      </c>
    </row>
    <row r="107" spans="1:17" ht="57" hidden="1" customHeight="1">
      <c r="A107" s="113">
        <v>5.3</v>
      </c>
      <c r="B107" s="256" t="s">
        <v>5</v>
      </c>
      <c r="C107" s="154" t="s">
        <v>184</v>
      </c>
      <c r="D107" s="110"/>
      <c r="E107" s="256" t="s">
        <v>104</v>
      </c>
      <c r="F107" s="256">
        <v>2</v>
      </c>
      <c r="G107" s="103">
        <f>SUM(61640/$E$7)/1000</f>
        <v>16.326746834772475</v>
      </c>
      <c r="H107" s="115">
        <v>100</v>
      </c>
      <c r="I107" s="115"/>
      <c r="J107" s="256"/>
      <c r="K107" s="147">
        <v>4.2</v>
      </c>
      <c r="L107" s="256" t="s">
        <v>59</v>
      </c>
      <c r="M107" s="414">
        <v>42237</v>
      </c>
      <c r="N107" s="416">
        <v>42430</v>
      </c>
      <c r="O107" s="256"/>
      <c r="P107" s="100"/>
      <c r="Q107" s="117" t="s">
        <v>123</v>
      </c>
    </row>
    <row r="108" spans="1:17" ht="93.75" customHeight="1">
      <c r="A108" s="136">
        <v>5.4</v>
      </c>
      <c r="B108" s="248" t="s">
        <v>5</v>
      </c>
      <c r="C108" s="68" t="s">
        <v>185</v>
      </c>
      <c r="D108" s="14" t="s">
        <v>244</v>
      </c>
      <c r="E108" s="248" t="s">
        <v>104</v>
      </c>
      <c r="F108" s="248" t="s">
        <v>275</v>
      </c>
      <c r="G108" s="276">
        <f>SUM((58960+121272-7037.02+34638.98)/$E$7)/1000</f>
        <v>55.049520580600735</v>
      </c>
      <c r="H108" s="275">
        <v>34.04</v>
      </c>
      <c r="I108" s="275">
        <v>65.959999999999994</v>
      </c>
      <c r="J108" s="271">
        <v>1</v>
      </c>
      <c r="K108" s="278">
        <v>4.2</v>
      </c>
      <c r="L108" s="271" t="s">
        <v>59</v>
      </c>
      <c r="M108" s="413">
        <v>42251</v>
      </c>
      <c r="N108" s="413">
        <v>42320</v>
      </c>
      <c r="O108" s="271"/>
      <c r="P108" s="271" t="s">
        <v>191</v>
      </c>
      <c r="Q108" s="277" t="s">
        <v>126</v>
      </c>
    </row>
    <row r="109" spans="1:17" ht="17.25" customHeight="1" thickBot="1">
      <c r="A109" s="107">
        <v>5.5</v>
      </c>
      <c r="B109" s="193" t="s">
        <v>5</v>
      </c>
      <c r="C109" s="214" t="s">
        <v>183</v>
      </c>
      <c r="D109" s="198"/>
      <c r="E109" s="193" t="s">
        <v>104</v>
      </c>
      <c r="F109" s="193"/>
      <c r="G109" s="279">
        <f>(SUM((500000/3)/$E$7)/1000)*3</f>
        <v>132.43629814059437</v>
      </c>
      <c r="H109" s="282">
        <v>12.987</v>
      </c>
      <c r="I109" s="282">
        <v>87.013000000000005</v>
      </c>
      <c r="J109" s="280">
        <v>3</v>
      </c>
      <c r="K109" s="283">
        <v>4.2</v>
      </c>
      <c r="L109" s="280" t="s">
        <v>67</v>
      </c>
      <c r="M109" s="418">
        <v>42948</v>
      </c>
      <c r="N109" s="418">
        <v>43009</v>
      </c>
      <c r="O109" s="280"/>
      <c r="P109" s="280" t="s">
        <v>58</v>
      </c>
      <c r="Q109" s="281" t="s">
        <v>66</v>
      </c>
    </row>
    <row r="110" spans="1:17" ht="17.25" customHeight="1">
      <c r="A110" s="20"/>
      <c r="B110" s="24"/>
      <c r="C110" s="24"/>
      <c r="D110" s="24"/>
      <c r="E110" s="24"/>
      <c r="F110" s="37" t="s">
        <v>76</v>
      </c>
      <c r="G110" s="274">
        <f>SUM(G105:G109)-G105-G107-G109</f>
        <v>72.08612597340678</v>
      </c>
      <c r="H110" s="269"/>
      <c r="I110" s="273"/>
      <c r="J110" s="273"/>
      <c r="K110" s="272"/>
      <c r="L110" s="272"/>
      <c r="M110" s="272"/>
      <c r="N110" s="272"/>
      <c r="O110" s="272"/>
      <c r="P110" s="272"/>
      <c r="Q110" s="272"/>
    </row>
    <row r="111" spans="1:17" ht="15.75" customHeight="1" thickBot="1">
      <c r="A111" s="20"/>
      <c r="G111" s="269"/>
      <c r="H111" s="269"/>
      <c r="I111" s="270"/>
      <c r="J111" s="270"/>
      <c r="K111" s="268"/>
      <c r="L111" s="268"/>
      <c r="M111" s="268"/>
      <c r="N111" s="268"/>
      <c r="O111" s="268"/>
      <c r="P111" s="268"/>
      <c r="Q111" s="268"/>
    </row>
    <row r="112" spans="1:17" ht="15" customHeight="1">
      <c r="A112" s="72">
        <v>6</v>
      </c>
      <c r="B112" s="507" t="s">
        <v>105</v>
      </c>
      <c r="C112" s="508"/>
      <c r="D112" s="508"/>
      <c r="E112" s="508"/>
      <c r="F112" s="508"/>
      <c r="G112" s="508"/>
      <c r="H112" s="508"/>
      <c r="I112" s="508"/>
      <c r="J112" s="508"/>
      <c r="K112" s="508"/>
      <c r="L112" s="508"/>
      <c r="M112" s="508"/>
      <c r="N112" s="508"/>
      <c r="O112" s="508"/>
      <c r="P112" s="508"/>
      <c r="Q112" s="509"/>
    </row>
    <row r="113" spans="1:17" ht="86.25" customHeight="1">
      <c r="A113" s="73"/>
      <c r="B113" s="510" t="s">
        <v>78</v>
      </c>
      <c r="C113" s="497" t="s">
        <v>3</v>
      </c>
      <c r="D113" s="497" t="s">
        <v>41</v>
      </c>
      <c r="E113" s="497" t="s">
        <v>42</v>
      </c>
      <c r="F113" s="498" t="s">
        <v>44</v>
      </c>
      <c r="G113" s="513"/>
      <c r="H113" s="512" t="s">
        <v>79</v>
      </c>
      <c r="I113" s="512"/>
      <c r="J113" s="512"/>
      <c r="K113" s="497" t="s">
        <v>46</v>
      </c>
      <c r="L113" s="497" t="s">
        <v>80</v>
      </c>
      <c r="M113" s="497" t="s">
        <v>0</v>
      </c>
      <c r="N113" s="497"/>
      <c r="O113" s="505" t="s">
        <v>81</v>
      </c>
      <c r="P113" s="497" t="s">
        <v>50</v>
      </c>
      <c r="Q113" s="501" t="s">
        <v>17</v>
      </c>
    </row>
    <row r="114" spans="1:17" ht="21" customHeight="1" thickBot="1">
      <c r="A114" s="65"/>
      <c r="B114" s="511"/>
      <c r="C114" s="500"/>
      <c r="D114" s="500"/>
      <c r="E114" s="500"/>
      <c r="F114" s="499"/>
      <c r="G114" s="514"/>
      <c r="H114" s="249" t="s">
        <v>82</v>
      </c>
      <c r="I114" s="61" t="s">
        <v>52</v>
      </c>
      <c r="J114" s="250" t="s">
        <v>53</v>
      </c>
      <c r="K114" s="500"/>
      <c r="L114" s="500"/>
      <c r="M114" s="439" t="s">
        <v>106</v>
      </c>
      <c r="N114" s="439" t="s">
        <v>55</v>
      </c>
      <c r="O114" s="506"/>
      <c r="P114" s="500"/>
      <c r="Q114" s="502"/>
    </row>
    <row r="115" spans="1:17" ht="91.95" hidden="1" customHeight="1">
      <c r="A115" s="99">
        <v>6.1</v>
      </c>
      <c r="B115" s="100" t="s">
        <v>5</v>
      </c>
      <c r="C115" s="152" t="s">
        <v>160</v>
      </c>
      <c r="D115" s="204"/>
      <c r="E115" s="100" t="s">
        <v>107</v>
      </c>
      <c r="F115" s="111" t="s">
        <v>247</v>
      </c>
      <c r="G115" s="205"/>
      <c r="H115" s="103">
        <f>SUM(20000/E$7)/1000</f>
        <v>5.2974519256237755</v>
      </c>
      <c r="I115" s="104">
        <v>100</v>
      </c>
      <c r="J115" s="104">
        <v>0</v>
      </c>
      <c r="K115" s="206">
        <v>3.3</v>
      </c>
      <c r="L115" s="205" t="s">
        <v>67</v>
      </c>
      <c r="M115" s="450">
        <v>42621</v>
      </c>
      <c r="N115" s="451">
        <v>42890</v>
      </c>
      <c r="O115" s="205"/>
      <c r="P115" s="205"/>
      <c r="Q115" s="106" t="s">
        <v>123</v>
      </c>
    </row>
    <row r="116" spans="1:17" ht="91.95" customHeight="1">
      <c r="A116" s="92">
        <v>6.1</v>
      </c>
      <c r="B116" s="219" t="s">
        <v>5</v>
      </c>
      <c r="C116" s="93" t="s">
        <v>160</v>
      </c>
      <c r="D116" s="94"/>
      <c r="E116" s="219" t="s">
        <v>107</v>
      </c>
      <c r="F116" s="219"/>
      <c r="G116" s="153"/>
      <c r="H116" s="235">
        <f>SUM(20000/E$7)/1000</f>
        <v>5.2974519256237755</v>
      </c>
      <c r="I116" s="97">
        <v>100</v>
      </c>
      <c r="J116" s="219">
        <v>0</v>
      </c>
      <c r="K116" s="95">
        <v>3.3</v>
      </c>
      <c r="L116" s="219" t="s">
        <v>67</v>
      </c>
      <c r="M116" s="452">
        <v>43354</v>
      </c>
      <c r="N116" s="452">
        <v>43376</v>
      </c>
      <c r="O116" s="219"/>
      <c r="P116" s="219"/>
      <c r="Q116" s="96" t="s">
        <v>66</v>
      </c>
    </row>
    <row r="117" spans="1:17" ht="177" customHeight="1">
      <c r="A117" s="252">
        <v>6.2</v>
      </c>
      <c r="B117" s="247" t="s">
        <v>5</v>
      </c>
      <c r="C117" s="21" t="s">
        <v>159</v>
      </c>
      <c r="D117" s="247" t="s">
        <v>194</v>
      </c>
      <c r="E117" s="247" t="s">
        <v>107</v>
      </c>
      <c r="F117" s="156" t="s">
        <v>157</v>
      </c>
      <c r="G117" s="226"/>
      <c r="H117" s="226">
        <f>SUM(61067.78/E$7)/1000</f>
        <v>16.175181437728455</v>
      </c>
      <c r="I117" s="261">
        <v>100</v>
      </c>
      <c r="J117" s="261">
        <v>0</v>
      </c>
      <c r="K117" s="227">
        <v>3.3</v>
      </c>
      <c r="L117" s="156" t="s">
        <v>59</v>
      </c>
      <c r="M117" s="440">
        <v>42231</v>
      </c>
      <c r="N117" s="440">
        <v>42342</v>
      </c>
      <c r="O117" s="156"/>
      <c r="P117" s="156" t="s">
        <v>195</v>
      </c>
      <c r="Q117" s="258" t="s">
        <v>126</v>
      </c>
    </row>
    <row r="118" spans="1:17" ht="34.950000000000003" customHeight="1">
      <c r="A118" s="74">
        <v>6.3</v>
      </c>
      <c r="B118" s="248" t="s">
        <v>5</v>
      </c>
      <c r="C118" s="14" t="s">
        <v>158</v>
      </c>
      <c r="D118" s="228"/>
      <c r="E118" s="23" t="s">
        <v>107</v>
      </c>
      <c r="F118" s="229" t="s">
        <v>58</v>
      </c>
      <c r="G118" s="87"/>
      <c r="H118" s="162">
        <f>SUM(300000/E$7)/1000</f>
        <v>79.461778884356619</v>
      </c>
      <c r="I118" s="51">
        <v>100</v>
      </c>
      <c r="J118" s="51">
        <v>0</v>
      </c>
      <c r="K118" s="133">
        <v>3.3</v>
      </c>
      <c r="L118" s="87" t="s">
        <v>59</v>
      </c>
      <c r="M118" s="443">
        <v>43354</v>
      </c>
      <c r="N118" s="443">
        <v>43376</v>
      </c>
      <c r="O118" s="87"/>
      <c r="P118" s="87"/>
      <c r="Q118" s="88" t="s">
        <v>66</v>
      </c>
    </row>
    <row r="119" spans="1:17" ht="32.25" hidden="1" customHeight="1">
      <c r="A119" s="99">
        <v>6.4</v>
      </c>
      <c r="B119" s="100" t="s">
        <v>5</v>
      </c>
      <c r="C119" s="152" t="s">
        <v>108</v>
      </c>
      <c r="D119" s="158"/>
      <c r="E119" s="100" t="s">
        <v>107</v>
      </c>
      <c r="F119" s="111" t="s">
        <v>58</v>
      </c>
      <c r="G119" s="111"/>
      <c r="H119" s="159">
        <f>SUM(10000/E$7)/1000</f>
        <v>2.6487259628118878</v>
      </c>
      <c r="I119" s="115">
        <v>100</v>
      </c>
      <c r="J119" s="115">
        <v>0</v>
      </c>
      <c r="K119" s="160">
        <v>3.3</v>
      </c>
      <c r="L119" s="111" t="s">
        <v>67</v>
      </c>
      <c r="M119" s="441">
        <v>42658</v>
      </c>
      <c r="N119" s="447">
        <v>42705</v>
      </c>
      <c r="O119" s="111"/>
      <c r="P119" s="111"/>
      <c r="Q119" s="161" t="s">
        <v>66</v>
      </c>
    </row>
    <row r="120" spans="1:17" ht="84.75" hidden="1" customHeight="1">
      <c r="A120" s="142">
        <v>6.4</v>
      </c>
      <c r="B120" s="207" t="s">
        <v>5</v>
      </c>
      <c r="C120" s="192" t="s">
        <v>223</v>
      </c>
      <c r="D120" s="157"/>
      <c r="E120" s="248"/>
      <c r="F120" s="89"/>
      <c r="G120" s="87"/>
      <c r="H120" s="162"/>
      <c r="I120" s="51"/>
      <c r="J120" s="51"/>
      <c r="K120" s="133"/>
      <c r="L120" s="87"/>
      <c r="M120" s="444"/>
      <c r="N120" s="448"/>
      <c r="O120" s="87"/>
      <c r="P120" s="87"/>
      <c r="Q120" s="88"/>
    </row>
    <row r="121" spans="1:17" ht="56.25" hidden="1" customHeight="1">
      <c r="A121" s="113">
        <v>6.5</v>
      </c>
      <c r="B121" s="256" t="s">
        <v>5</v>
      </c>
      <c r="C121" s="110" t="s">
        <v>33</v>
      </c>
      <c r="D121" s="158"/>
      <c r="E121" s="256" t="s">
        <v>107</v>
      </c>
      <c r="F121" s="111" t="s">
        <v>248</v>
      </c>
      <c r="G121" s="111"/>
      <c r="H121" s="159">
        <f>SUM(110000/E$7)/1000</f>
        <v>29.135985590930762</v>
      </c>
      <c r="I121" s="129">
        <v>100</v>
      </c>
      <c r="J121" s="129">
        <v>0</v>
      </c>
      <c r="K121" s="160">
        <v>3.3</v>
      </c>
      <c r="L121" s="111" t="s">
        <v>67</v>
      </c>
      <c r="M121" s="447">
        <v>42612</v>
      </c>
      <c r="N121" s="451">
        <v>42953</v>
      </c>
      <c r="O121" s="111"/>
      <c r="P121" s="111"/>
      <c r="Q121" s="106" t="s">
        <v>123</v>
      </c>
    </row>
    <row r="122" spans="1:17" ht="56.25" customHeight="1">
      <c r="A122" s="136">
        <v>6.5</v>
      </c>
      <c r="B122" s="248" t="s">
        <v>5</v>
      </c>
      <c r="C122" s="68" t="s">
        <v>33</v>
      </c>
      <c r="D122" s="14"/>
      <c r="E122" s="248" t="s">
        <v>107</v>
      </c>
      <c r="F122" s="248"/>
      <c r="G122" s="53"/>
      <c r="H122" s="234">
        <f>SUM(110000/E$7)/1000</f>
        <v>29.135985590930762</v>
      </c>
      <c r="I122" s="54">
        <v>100</v>
      </c>
      <c r="J122" s="248">
        <v>0</v>
      </c>
      <c r="K122" s="52">
        <v>3.3</v>
      </c>
      <c r="L122" s="248" t="s">
        <v>67</v>
      </c>
      <c r="M122" s="443">
        <v>43354</v>
      </c>
      <c r="N122" s="443">
        <v>43376</v>
      </c>
      <c r="O122" s="248"/>
      <c r="P122" s="248"/>
      <c r="Q122" s="81" t="s">
        <v>66</v>
      </c>
    </row>
    <row r="123" spans="1:17" ht="35.25" hidden="1" customHeight="1">
      <c r="A123" s="230">
        <v>6.7</v>
      </c>
      <c r="B123" s="100" t="s">
        <v>5</v>
      </c>
      <c r="C123" s="152" t="s">
        <v>109</v>
      </c>
      <c r="D123" s="204"/>
      <c r="E123" s="100" t="s">
        <v>107</v>
      </c>
      <c r="F123" s="205" t="s">
        <v>58</v>
      </c>
      <c r="G123" s="205"/>
      <c r="H123" s="231">
        <f>SUM(15000/E$7)/1000</f>
        <v>3.9730889442178312</v>
      </c>
      <c r="I123" s="104">
        <v>100</v>
      </c>
      <c r="J123" s="104">
        <v>0</v>
      </c>
      <c r="K123" s="224">
        <v>3.3</v>
      </c>
      <c r="L123" s="205" t="s">
        <v>67</v>
      </c>
      <c r="M123" s="451">
        <v>42522</v>
      </c>
      <c r="N123" s="451">
        <v>42583</v>
      </c>
      <c r="O123" s="205"/>
      <c r="P123" s="205"/>
      <c r="Q123" s="232" t="s">
        <v>66</v>
      </c>
    </row>
    <row r="124" spans="1:17" ht="57.75" hidden="1" customHeight="1">
      <c r="A124" s="75"/>
      <c r="B124" s="143" t="s">
        <v>5</v>
      </c>
      <c r="C124" s="207" t="s">
        <v>224</v>
      </c>
      <c r="D124" s="157"/>
      <c r="E124" s="248"/>
      <c r="F124" s="89"/>
      <c r="G124" s="87"/>
      <c r="H124" s="162"/>
      <c r="I124" s="51"/>
      <c r="J124" s="51"/>
      <c r="K124" s="133"/>
      <c r="L124" s="87"/>
      <c r="M124" s="448"/>
      <c r="N124" s="448"/>
      <c r="O124" s="87"/>
      <c r="P124" s="87"/>
      <c r="Q124" s="88"/>
    </row>
    <row r="125" spans="1:17" ht="57.75" customHeight="1">
      <c r="A125" s="113">
        <v>6.8</v>
      </c>
      <c r="B125" s="256" t="s">
        <v>5</v>
      </c>
      <c r="C125" s="110" t="s">
        <v>110</v>
      </c>
      <c r="D125" s="158"/>
      <c r="E125" s="256" t="s">
        <v>107</v>
      </c>
      <c r="F125" s="111" t="s">
        <v>58</v>
      </c>
      <c r="G125" s="111"/>
      <c r="H125" s="159">
        <f>SUM(150000/E$7)/1000</f>
        <v>39.730889442178309</v>
      </c>
      <c r="I125" s="129">
        <v>100</v>
      </c>
      <c r="J125" s="129">
        <v>0</v>
      </c>
      <c r="K125" s="160">
        <v>3.3</v>
      </c>
      <c r="L125" s="111" t="s">
        <v>67</v>
      </c>
      <c r="M125" s="442">
        <v>43188</v>
      </c>
      <c r="N125" s="442">
        <v>43210</v>
      </c>
      <c r="O125" s="111"/>
      <c r="P125" s="111"/>
      <c r="Q125" s="161" t="s">
        <v>66</v>
      </c>
    </row>
    <row r="126" spans="1:17" ht="80.25" customHeight="1">
      <c r="A126" s="113">
        <v>6.9</v>
      </c>
      <c r="B126" s="256" t="s">
        <v>5</v>
      </c>
      <c r="C126" s="110" t="s">
        <v>111</v>
      </c>
      <c r="D126" s="158"/>
      <c r="E126" s="256" t="s">
        <v>107</v>
      </c>
      <c r="F126" s="111" t="s">
        <v>58</v>
      </c>
      <c r="G126" s="111"/>
      <c r="H126" s="159">
        <f>SUM(100000/E$7)/1000</f>
        <v>26.487259628118874</v>
      </c>
      <c r="I126" s="129">
        <v>100</v>
      </c>
      <c r="J126" s="129">
        <v>0</v>
      </c>
      <c r="K126" s="160">
        <v>3.3</v>
      </c>
      <c r="L126" s="111" t="s">
        <v>67</v>
      </c>
      <c r="M126" s="447">
        <v>43138</v>
      </c>
      <c r="N126" s="447">
        <v>43168</v>
      </c>
      <c r="O126" s="111"/>
      <c r="P126" s="111"/>
      <c r="Q126" s="161" t="s">
        <v>66</v>
      </c>
    </row>
    <row r="127" spans="1:17" ht="46.8">
      <c r="A127" s="164">
        <v>6.1</v>
      </c>
      <c r="B127" s="248" t="s">
        <v>5</v>
      </c>
      <c r="C127" s="14" t="s">
        <v>112</v>
      </c>
      <c r="D127" s="157"/>
      <c r="E127" s="248" t="s">
        <v>107</v>
      </c>
      <c r="F127" s="87" t="s">
        <v>250</v>
      </c>
      <c r="G127" s="165"/>
      <c r="H127" s="162">
        <f>SUM(55936/E$7)/1000</f>
        <v>14.815913545584573</v>
      </c>
      <c r="I127" s="51">
        <v>100</v>
      </c>
      <c r="J127" s="51">
        <v>0</v>
      </c>
      <c r="K127" s="133">
        <v>3.3</v>
      </c>
      <c r="L127" s="87" t="s">
        <v>67</v>
      </c>
      <c r="M127" s="446">
        <v>42661</v>
      </c>
      <c r="N127" s="445">
        <v>43199</v>
      </c>
      <c r="O127" s="87"/>
      <c r="P127" s="87"/>
      <c r="Q127" s="254" t="s">
        <v>61</v>
      </c>
    </row>
    <row r="128" spans="1:17" ht="40.5" hidden="1" customHeight="1">
      <c r="A128" s="99">
        <v>6.11</v>
      </c>
      <c r="B128" s="100" t="s">
        <v>5</v>
      </c>
      <c r="C128" s="102" t="s">
        <v>113</v>
      </c>
      <c r="D128" s="204"/>
      <c r="E128" s="100" t="s">
        <v>107</v>
      </c>
      <c r="F128" s="205" t="s">
        <v>249</v>
      </c>
      <c r="G128" s="205"/>
      <c r="H128" s="223">
        <f>SUM(60000/E$7)/1000</f>
        <v>15.892355776871325</v>
      </c>
      <c r="I128" s="104">
        <v>100</v>
      </c>
      <c r="J128" s="104">
        <v>0</v>
      </c>
      <c r="K128" s="224">
        <v>3.3</v>
      </c>
      <c r="L128" s="205" t="s">
        <v>67</v>
      </c>
      <c r="M128" s="451">
        <v>42632</v>
      </c>
      <c r="N128" s="451">
        <v>42951</v>
      </c>
      <c r="O128" s="205"/>
      <c r="P128" s="205"/>
      <c r="Q128" s="106" t="s">
        <v>123</v>
      </c>
    </row>
    <row r="129" spans="1:17" ht="40.5" customHeight="1">
      <c r="A129" s="113">
        <v>6.11</v>
      </c>
      <c r="B129" s="256" t="s">
        <v>5</v>
      </c>
      <c r="C129" s="154" t="s">
        <v>113</v>
      </c>
      <c r="D129" s="110"/>
      <c r="E129" s="256" t="s">
        <v>107</v>
      </c>
      <c r="F129" s="256"/>
      <c r="G129" s="128"/>
      <c r="H129" s="188">
        <f>SUM(60000/E$7)/1000</f>
        <v>15.892355776871325</v>
      </c>
      <c r="I129" s="115">
        <v>100</v>
      </c>
      <c r="J129" s="256">
        <v>0</v>
      </c>
      <c r="K129" s="130">
        <v>3.3</v>
      </c>
      <c r="L129" s="256" t="s">
        <v>67</v>
      </c>
      <c r="M129" s="441">
        <v>43146</v>
      </c>
      <c r="N129" s="441">
        <v>43189</v>
      </c>
      <c r="O129" s="256"/>
      <c r="P129" s="256"/>
      <c r="Q129" s="117" t="s">
        <v>66</v>
      </c>
    </row>
    <row r="130" spans="1:17" ht="31.5" hidden="1" customHeight="1">
      <c r="A130" s="225">
        <v>6.12</v>
      </c>
      <c r="B130" s="100" t="s">
        <v>5</v>
      </c>
      <c r="C130" s="102" t="s">
        <v>114</v>
      </c>
      <c r="D130" s="204"/>
      <c r="E130" s="100" t="s">
        <v>107</v>
      </c>
      <c r="F130" s="205" t="s">
        <v>58</v>
      </c>
      <c r="G130" s="205"/>
      <c r="H130" s="223">
        <f>SUM(40000/$E$7)/1000</f>
        <v>10.594903851247551</v>
      </c>
      <c r="I130" s="104">
        <v>100</v>
      </c>
      <c r="J130" s="104">
        <v>0</v>
      </c>
      <c r="K130" s="224">
        <v>3.3</v>
      </c>
      <c r="L130" s="205" t="s">
        <v>67</v>
      </c>
      <c r="M130" s="449" t="s">
        <v>115</v>
      </c>
      <c r="N130" s="449" t="s">
        <v>58</v>
      </c>
      <c r="O130" s="205"/>
      <c r="P130" s="205"/>
      <c r="Q130" s="100" t="s">
        <v>123</v>
      </c>
    </row>
    <row r="131" spans="1:17">
      <c r="A131" s="20"/>
      <c r="B131" s="24"/>
      <c r="C131" s="24"/>
      <c r="D131" s="24"/>
      <c r="E131" s="24"/>
      <c r="F131" s="24"/>
      <c r="G131" s="37" t="s">
        <v>76</v>
      </c>
      <c r="H131" s="50">
        <f>SUM(H115:H130)-H115-H119-H121-H125-H126-H128-H129-H130</f>
        <v>148.85940032844209</v>
      </c>
      <c r="I131" s="25"/>
      <c r="J131" s="26"/>
      <c r="K131" s="26"/>
      <c r="L131" s="24"/>
      <c r="M131" s="24"/>
      <c r="N131" s="24"/>
      <c r="O131" s="24"/>
      <c r="P131" s="24"/>
      <c r="Q131" s="24"/>
    </row>
    <row r="132" spans="1:17" ht="15.75" customHeight="1">
      <c r="A132" s="20"/>
      <c r="F132" s="24"/>
      <c r="G132" s="24"/>
      <c r="H132" s="24"/>
      <c r="I132" s="25"/>
      <c r="J132" s="26"/>
      <c r="K132" s="26"/>
      <c r="L132" s="24"/>
      <c r="M132" s="24"/>
      <c r="N132" s="24"/>
      <c r="O132" s="24"/>
      <c r="P132" s="24"/>
      <c r="Q132" s="24"/>
    </row>
    <row r="133" spans="1:17" ht="15" hidden="1" customHeight="1">
      <c r="A133" s="72">
        <v>7</v>
      </c>
      <c r="B133" s="507" t="s">
        <v>116</v>
      </c>
      <c r="C133" s="508"/>
      <c r="D133" s="508"/>
      <c r="E133" s="508"/>
      <c r="F133" s="508"/>
      <c r="G133" s="508"/>
      <c r="H133" s="508"/>
      <c r="I133" s="508"/>
      <c r="J133" s="508"/>
      <c r="K133" s="508"/>
      <c r="L133" s="508"/>
      <c r="M133" s="508"/>
      <c r="N133" s="508"/>
      <c r="O133" s="508"/>
      <c r="P133" s="508"/>
      <c r="Q133" s="509"/>
    </row>
    <row r="134" spans="1:17" ht="49.2" hidden="1" customHeight="1">
      <c r="A134" s="64"/>
      <c r="B134" s="510" t="s">
        <v>78</v>
      </c>
      <c r="C134" s="497" t="s">
        <v>117</v>
      </c>
      <c r="D134" s="497" t="s">
        <v>41</v>
      </c>
      <c r="E134" s="497"/>
      <c r="F134" s="497" t="s">
        <v>44</v>
      </c>
      <c r="G134" s="497"/>
      <c r="H134" s="512" t="s">
        <v>79</v>
      </c>
      <c r="I134" s="512"/>
      <c r="J134" s="512"/>
      <c r="K134" s="497" t="s">
        <v>46</v>
      </c>
      <c r="L134" s="495" t="s">
        <v>118</v>
      </c>
      <c r="M134" s="497" t="s">
        <v>0</v>
      </c>
      <c r="N134" s="497"/>
      <c r="O134" s="498" t="s">
        <v>1</v>
      </c>
      <c r="P134" s="497" t="s">
        <v>50</v>
      </c>
      <c r="Q134" s="501" t="s">
        <v>17</v>
      </c>
    </row>
    <row r="135" spans="1:17" ht="60" hidden="1" customHeight="1" thickBot="1">
      <c r="A135" s="65"/>
      <c r="B135" s="511"/>
      <c r="C135" s="500"/>
      <c r="D135" s="500"/>
      <c r="E135" s="500"/>
      <c r="F135" s="500"/>
      <c r="G135" s="500"/>
      <c r="H135" s="249" t="s">
        <v>82</v>
      </c>
      <c r="I135" s="249" t="s">
        <v>52</v>
      </c>
      <c r="J135" s="61" t="s">
        <v>53</v>
      </c>
      <c r="K135" s="500"/>
      <c r="L135" s="496"/>
      <c r="M135" s="249" t="s">
        <v>119</v>
      </c>
      <c r="N135" s="249" t="s">
        <v>120</v>
      </c>
      <c r="O135" s="499"/>
      <c r="P135" s="500"/>
      <c r="Q135" s="502"/>
    </row>
    <row r="136" spans="1:17" ht="56.25" hidden="1" customHeight="1">
      <c r="A136" s="252">
        <v>7.1</v>
      </c>
      <c r="B136" s="247" t="s">
        <v>5</v>
      </c>
      <c r="C136" s="149" t="s">
        <v>163</v>
      </c>
      <c r="D136" s="503" t="s">
        <v>225</v>
      </c>
      <c r="E136" s="504"/>
      <c r="F136" s="475" t="s">
        <v>227</v>
      </c>
      <c r="G136" s="475"/>
      <c r="H136" s="83">
        <f>SUM(1880000/E$7)/1000</f>
        <v>497.96048100863487</v>
      </c>
      <c r="I136" s="247"/>
      <c r="J136" s="261">
        <v>100</v>
      </c>
      <c r="K136" s="133" t="s">
        <v>164</v>
      </c>
      <c r="L136" s="86">
        <v>1</v>
      </c>
      <c r="M136" s="247"/>
      <c r="N136" s="247"/>
      <c r="O136" s="144" t="s">
        <v>228</v>
      </c>
      <c r="P136" s="247"/>
      <c r="Q136" s="254" t="s">
        <v>126</v>
      </c>
    </row>
    <row r="137" spans="1:17" ht="22.5" hidden="1" customHeight="1">
      <c r="A137" s="240">
        <v>7.2</v>
      </c>
      <c r="B137" s="100" t="s">
        <v>5</v>
      </c>
      <c r="C137" s="102" t="s">
        <v>165</v>
      </c>
      <c r="D137" s="487"/>
      <c r="E137" s="488"/>
      <c r="F137" s="487"/>
      <c r="G137" s="488"/>
      <c r="H137" s="223">
        <f>SUM(280343/E$7)/1000</f>
        <v>74.255178259257306</v>
      </c>
      <c r="I137" s="104">
        <v>100</v>
      </c>
      <c r="J137" s="104"/>
      <c r="K137" s="224" t="s">
        <v>166</v>
      </c>
      <c r="L137" s="205">
        <v>1</v>
      </c>
      <c r="M137" s="205"/>
      <c r="N137" s="205"/>
      <c r="O137" s="205"/>
      <c r="P137" s="205"/>
      <c r="Q137" s="100" t="s">
        <v>66</v>
      </c>
    </row>
    <row r="138" spans="1:17" ht="28.2" hidden="1" customHeight="1">
      <c r="A138" s="74">
        <v>7.3</v>
      </c>
      <c r="B138" s="248" t="s">
        <v>5</v>
      </c>
      <c r="C138" s="123" t="s">
        <v>167</v>
      </c>
      <c r="D138" s="489"/>
      <c r="E138" s="490"/>
      <c r="F138" s="489"/>
      <c r="G138" s="490"/>
      <c r="H138" s="493">
        <f>SUM(920000/E$7)/1000</f>
        <v>243.68278857869367</v>
      </c>
      <c r="I138" s="248"/>
      <c r="J138" s="248">
        <v>100</v>
      </c>
      <c r="K138" s="133" t="s">
        <v>168</v>
      </c>
      <c r="L138" s="86">
        <v>1</v>
      </c>
      <c r="M138" s="474"/>
      <c r="N138" s="474"/>
      <c r="O138" s="474"/>
      <c r="P138" s="474"/>
      <c r="Q138" s="469" t="s">
        <v>96</v>
      </c>
    </row>
    <row r="139" spans="1:17" ht="33.6" hidden="1" customHeight="1">
      <c r="A139" s="74">
        <v>7.4</v>
      </c>
      <c r="B139" s="248" t="s">
        <v>5</v>
      </c>
      <c r="C139" s="123" t="s">
        <v>169</v>
      </c>
      <c r="D139" s="491"/>
      <c r="E139" s="492"/>
      <c r="F139" s="491"/>
      <c r="G139" s="492"/>
      <c r="H139" s="494"/>
      <c r="I139" s="248"/>
      <c r="J139" s="248">
        <v>100</v>
      </c>
      <c r="K139" s="133" t="s">
        <v>170</v>
      </c>
      <c r="L139" s="86">
        <v>1</v>
      </c>
      <c r="M139" s="475"/>
      <c r="N139" s="475"/>
      <c r="O139" s="475"/>
      <c r="P139" s="475"/>
      <c r="Q139" s="470"/>
    </row>
    <row r="140" spans="1:17" ht="32.25" hidden="1" customHeight="1">
      <c r="A140" s="251">
        <v>7.5</v>
      </c>
      <c r="B140" s="248" t="s">
        <v>5</v>
      </c>
      <c r="C140" s="150" t="s">
        <v>171</v>
      </c>
      <c r="D140" s="471"/>
      <c r="E140" s="472"/>
      <c r="F140" s="473" t="s">
        <v>174</v>
      </c>
      <c r="G140" s="473"/>
      <c r="H140" s="83">
        <f>SUM(1445000/3.0653)/1000</f>
        <v>471.4057351645842</v>
      </c>
      <c r="I140" s="248"/>
      <c r="J140" s="248">
        <v>100</v>
      </c>
      <c r="K140" s="85" t="s">
        <v>172</v>
      </c>
      <c r="L140" s="86">
        <v>1</v>
      </c>
      <c r="M140" s="246"/>
      <c r="N140" s="246"/>
      <c r="O140" s="90" t="s">
        <v>173</v>
      </c>
      <c r="P140" s="246"/>
      <c r="Q140" s="259" t="s">
        <v>126</v>
      </c>
    </row>
    <row r="141" spans="1:17" ht="39.75" hidden="1" customHeight="1">
      <c r="A141" s="251">
        <v>7.6</v>
      </c>
      <c r="B141" s="248" t="s">
        <v>5</v>
      </c>
      <c r="C141" s="150" t="s">
        <v>175</v>
      </c>
      <c r="D141" s="471"/>
      <c r="E141" s="472"/>
      <c r="F141" s="473"/>
      <c r="G141" s="473"/>
      <c r="H141" s="255">
        <f>SUM(15000/E$7)/1000</f>
        <v>3.9730889442178312</v>
      </c>
      <c r="I141" s="248"/>
      <c r="J141" s="248">
        <v>100</v>
      </c>
      <c r="K141" s="246" t="s">
        <v>176</v>
      </c>
      <c r="L141" s="86">
        <v>1</v>
      </c>
      <c r="M141" s="246"/>
      <c r="N141" s="246"/>
      <c r="O141" s="246"/>
      <c r="P141" s="246"/>
      <c r="Q141" s="253" t="s">
        <v>126</v>
      </c>
    </row>
    <row r="142" spans="1:17" ht="36" hidden="1" customHeight="1">
      <c r="A142" s="251">
        <v>7.7</v>
      </c>
      <c r="B142" s="248" t="s">
        <v>5</v>
      </c>
      <c r="C142" s="150" t="s">
        <v>177</v>
      </c>
      <c r="D142" s="471"/>
      <c r="E142" s="472"/>
      <c r="F142" s="473"/>
      <c r="G142" s="473"/>
      <c r="H142" s="255">
        <f>SUM(1216599.86/E$7)/1000</f>
        <v>322.24396355353082</v>
      </c>
      <c r="I142" s="248"/>
      <c r="J142" s="248">
        <v>100</v>
      </c>
      <c r="K142" s="246" t="s">
        <v>178</v>
      </c>
      <c r="L142" s="86">
        <v>1</v>
      </c>
      <c r="M142" s="246"/>
      <c r="N142" s="246"/>
      <c r="O142" s="246"/>
      <c r="P142" s="246"/>
      <c r="Q142" s="253" t="s">
        <v>96</v>
      </c>
    </row>
    <row r="143" spans="1:17" ht="211.2" hidden="1">
      <c r="A143" s="251">
        <v>7.8</v>
      </c>
      <c r="B143" s="248" t="s">
        <v>5</v>
      </c>
      <c r="C143" s="150" t="s">
        <v>179</v>
      </c>
      <c r="D143" s="471" t="s">
        <v>190</v>
      </c>
      <c r="E143" s="472"/>
      <c r="F143" s="473" t="s">
        <v>229</v>
      </c>
      <c r="G143" s="473"/>
      <c r="H143" s="83">
        <f>SUM((1462062.03)/E$7)/1000</f>
        <v>387.26016581024533</v>
      </c>
      <c r="I143" s="248"/>
      <c r="J143" s="248">
        <v>100</v>
      </c>
      <c r="K143" s="85" t="s">
        <v>180</v>
      </c>
      <c r="L143" s="86">
        <v>1</v>
      </c>
      <c r="M143" s="246"/>
      <c r="N143" s="246"/>
      <c r="O143" s="90" t="s">
        <v>189</v>
      </c>
      <c r="P143" s="246"/>
      <c r="Q143" s="259" t="s">
        <v>126</v>
      </c>
    </row>
    <row r="144" spans="1:17" ht="409.5" hidden="1" customHeight="1">
      <c r="A144" s="222">
        <v>7.9</v>
      </c>
      <c r="B144" s="248"/>
      <c r="C144" s="150" t="s">
        <v>179</v>
      </c>
      <c r="D144" s="471"/>
      <c r="E144" s="472"/>
      <c r="F144" s="471" t="s">
        <v>267</v>
      </c>
      <c r="G144" s="472"/>
      <c r="H144" s="83">
        <f>SUM((43606)/E$7)/1000</f>
        <v>11.550034433437517</v>
      </c>
      <c r="I144" s="248">
        <v>100</v>
      </c>
      <c r="J144" s="248">
        <v>0</v>
      </c>
      <c r="K144" s="85" t="s">
        <v>180</v>
      </c>
      <c r="L144" s="86">
        <v>1</v>
      </c>
      <c r="M144" s="246"/>
      <c r="N144" s="246"/>
      <c r="O144" s="90" t="s">
        <v>266</v>
      </c>
      <c r="P144" s="246"/>
      <c r="Q144" s="259" t="s">
        <v>126</v>
      </c>
    </row>
    <row r="145" spans="1:17" ht="198" hidden="1">
      <c r="A145" s="164">
        <v>7.1</v>
      </c>
      <c r="B145" s="248" t="s">
        <v>5</v>
      </c>
      <c r="C145" s="150" t="s">
        <v>181</v>
      </c>
      <c r="D145" s="471"/>
      <c r="E145" s="472"/>
      <c r="F145" s="473" t="s">
        <v>226</v>
      </c>
      <c r="G145" s="473"/>
      <c r="H145" s="83">
        <f>SUM(507000/E$7)/1000</f>
        <v>134.29040631456269</v>
      </c>
      <c r="I145" s="248"/>
      <c r="J145" s="248">
        <v>100</v>
      </c>
      <c r="K145" s="85" t="s">
        <v>182</v>
      </c>
      <c r="L145" s="86">
        <v>1</v>
      </c>
      <c r="M145" s="246"/>
      <c r="N145" s="246"/>
      <c r="O145" s="90" t="s">
        <v>281</v>
      </c>
      <c r="P145" s="246"/>
      <c r="Q145" s="259" t="s">
        <v>126</v>
      </c>
    </row>
    <row r="146" spans="1:17" ht="213.75" hidden="1" customHeight="1" thickBot="1">
      <c r="A146" s="233">
        <v>7.11</v>
      </c>
      <c r="B146" s="27" t="s">
        <v>5</v>
      </c>
      <c r="C146" s="155" t="s">
        <v>179</v>
      </c>
      <c r="D146" s="485"/>
      <c r="E146" s="486"/>
      <c r="F146" s="485" t="s">
        <v>280</v>
      </c>
      <c r="G146" s="486"/>
      <c r="H146" s="236">
        <f>SUM((80000)/E$7)/1000</f>
        <v>21.189807702495102</v>
      </c>
      <c r="I146" s="27"/>
      <c r="J146" s="27">
        <v>100</v>
      </c>
      <c r="K146" s="237" t="s">
        <v>180</v>
      </c>
      <c r="L146" s="238">
        <v>1</v>
      </c>
      <c r="M146" s="27"/>
      <c r="N146" s="27"/>
      <c r="O146" s="239" t="s">
        <v>279</v>
      </c>
      <c r="P146" s="27"/>
      <c r="Q146" s="82" t="s">
        <v>126</v>
      </c>
    </row>
    <row r="147" spans="1:17" hidden="1">
      <c r="G147" s="8" t="s">
        <v>76</v>
      </c>
      <c r="H147" s="185">
        <f>H59+H74+H87+H100+G110+H131</f>
        <v>44682.525605233903</v>
      </c>
    </row>
    <row r="148" spans="1:17">
      <c r="B148" s="11" t="s">
        <v>37</v>
      </c>
    </row>
    <row r="149" spans="1:17" hidden="1"/>
    <row r="150" spans="1:17" ht="15.75" hidden="1" customHeight="1"/>
    <row r="151" spans="1:17" hidden="1">
      <c r="A151" s="476" t="s">
        <v>121</v>
      </c>
      <c r="B151" s="477"/>
      <c r="C151" s="29" t="s">
        <v>64</v>
      </c>
    </row>
    <row r="152" spans="1:17" hidden="1">
      <c r="A152" s="476"/>
      <c r="B152" s="477"/>
      <c r="C152" s="29" t="s">
        <v>67</v>
      </c>
    </row>
    <row r="153" spans="1:17" hidden="1">
      <c r="A153" s="476"/>
      <c r="B153" s="477"/>
      <c r="C153" s="30" t="s">
        <v>59</v>
      </c>
    </row>
    <row r="154" spans="1:17" ht="15.75" hidden="1" customHeight="1"/>
    <row r="155" spans="1:17" hidden="1">
      <c r="A155" s="476" t="s">
        <v>17</v>
      </c>
      <c r="B155" s="477"/>
      <c r="C155" s="29" t="s">
        <v>66</v>
      </c>
    </row>
    <row r="156" spans="1:17" hidden="1">
      <c r="A156" s="476"/>
      <c r="B156" s="477"/>
      <c r="C156" s="29" t="s">
        <v>96</v>
      </c>
    </row>
    <row r="157" spans="1:17" hidden="1">
      <c r="A157" s="476"/>
      <c r="B157" s="477"/>
      <c r="C157" s="29" t="s">
        <v>122</v>
      </c>
      <c r="H157" s="2"/>
      <c r="I157" s="2"/>
      <c r="J157" s="2"/>
    </row>
    <row r="158" spans="1:17" hidden="1">
      <c r="A158" s="476"/>
      <c r="B158" s="477"/>
      <c r="C158" s="29" t="s">
        <v>123</v>
      </c>
      <c r="H158" s="2"/>
      <c r="I158" s="2"/>
      <c r="J158" s="2"/>
    </row>
    <row r="159" spans="1:17" hidden="1">
      <c r="A159" s="476"/>
      <c r="B159" s="477"/>
      <c r="C159" s="29" t="s">
        <v>124</v>
      </c>
      <c r="H159" s="2"/>
      <c r="I159" s="2"/>
      <c r="J159" s="2"/>
    </row>
    <row r="160" spans="1:17" hidden="1">
      <c r="A160" s="476"/>
      <c r="B160" s="477"/>
      <c r="C160" s="29" t="s">
        <v>125</v>
      </c>
      <c r="H160" s="2"/>
      <c r="I160" s="2"/>
      <c r="J160" s="2"/>
    </row>
    <row r="161" spans="1:10" hidden="1">
      <c r="A161" s="476"/>
      <c r="B161" s="477"/>
      <c r="C161" s="29" t="s">
        <v>61</v>
      </c>
      <c r="H161" s="2"/>
      <c r="I161" s="2"/>
      <c r="J161" s="2"/>
    </row>
    <row r="162" spans="1:10" hidden="1">
      <c r="A162" s="476"/>
      <c r="B162" s="477"/>
      <c r="C162" s="29" t="s">
        <v>126</v>
      </c>
      <c r="H162" s="2"/>
      <c r="I162" s="2"/>
      <c r="J162" s="2"/>
    </row>
    <row r="163" spans="1:10" hidden="1"/>
    <row r="164" spans="1:10" ht="46.8" hidden="1">
      <c r="A164" s="478" t="s">
        <v>127</v>
      </c>
      <c r="B164" s="479"/>
      <c r="C164" s="480" t="s">
        <v>128</v>
      </c>
      <c r="D164" s="29" t="s">
        <v>95</v>
      </c>
      <c r="E164" s="29" t="s">
        <v>95</v>
      </c>
      <c r="H164" s="2"/>
      <c r="I164" s="2"/>
      <c r="J164" s="2"/>
    </row>
    <row r="165" spans="1:10" ht="31.2" hidden="1">
      <c r="A165" s="478"/>
      <c r="B165" s="479"/>
      <c r="C165" s="480"/>
      <c r="D165" s="29" t="s">
        <v>129</v>
      </c>
      <c r="E165" s="29" t="s">
        <v>129</v>
      </c>
      <c r="H165" s="2"/>
      <c r="I165" s="2"/>
      <c r="J165" s="2"/>
    </row>
    <row r="166" spans="1:10" ht="46.8" hidden="1">
      <c r="A166" s="478"/>
      <c r="B166" s="479"/>
      <c r="C166" s="480"/>
      <c r="D166" s="29" t="s">
        <v>98</v>
      </c>
      <c r="E166" s="29" t="s">
        <v>98</v>
      </c>
      <c r="H166" s="2"/>
      <c r="I166" s="2"/>
      <c r="J166" s="2"/>
    </row>
    <row r="167" spans="1:10" ht="31.2" hidden="1">
      <c r="A167" s="478"/>
      <c r="B167" s="479"/>
      <c r="C167" s="480"/>
      <c r="D167" s="29" t="s">
        <v>83</v>
      </c>
      <c r="E167" s="29" t="s">
        <v>83</v>
      </c>
      <c r="H167" s="2"/>
      <c r="I167" s="2"/>
      <c r="J167" s="2"/>
    </row>
    <row r="168" spans="1:10" ht="31.2" hidden="1">
      <c r="A168" s="478"/>
      <c r="B168" s="479"/>
      <c r="C168" s="480"/>
      <c r="D168" s="29" t="s">
        <v>63</v>
      </c>
      <c r="E168" s="29" t="s">
        <v>63</v>
      </c>
      <c r="H168" s="2"/>
      <c r="I168" s="2"/>
      <c r="J168" s="2"/>
    </row>
    <row r="169" spans="1:10" ht="46.8" hidden="1">
      <c r="A169" s="478"/>
      <c r="B169" s="479"/>
      <c r="C169" s="480"/>
      <c r="D169" s="29" t="s">
        <v>130</v>
      </c>
      <c r="E169" s="29" t="s">
        <v>130</v>
      </c>
      <c r="H169" s="2"/>
      <c r="I169" s="2"/>
      <c r="J169" s="2"/>
    </row>
    <row r="170" spans="1:10" ht="46.8" hidden="1">
      <c r="A170" s="478"/>
      <c r="B170" s="479"/>
      <c r="C170" s="480"/>
      <c r="D170" s="29" t="s">
        <v>131</v>
      </c>
      <c r="E170" s="29" t="s">
        <v>131</v>
      </c>
      <c r="H170" s="2"/>
      <c r="I170" s="2"/>
      <c r="J170" s="2"/>
    </row>
    <row r="171" spans="1:10" ht="31.2" hidden="1">
      <c r="A171" s="478"/>
      <c r="B171" s="479"/>
      <c r="C171" s="481" t="s">
        <v>132</v>
      </c>
      <c r="D171" s="29" t="s">
        <v>68</v>
      </c>
      <c r="E171" s="29" t="s">
        <v>57</v>
      </c>
      <c r="H171" s="2"/>
      <c r="I171" s="2"/>
      <c r="J171" s="2"/>
    </row>
    <row r="172" spans="1:10" ht="31.2" hidden="1">
      <c r="A172" s="478"/>
      <c r="B172" s="479"/>
      <c r="C172" s="481"/>
      <c r="D172" s="29" t="s">
        <v>57</v>
      </c>
      <c r="E172" s="29" t="s">
        <v>107</v>
      </c>
      <c r="H172" s="2"/>
      <c r="I172" s="2"/>
      <c r="J172" s="2"/>
    </row>
    <row r="173" spans="1:10" ht="31.2" hidden="1">
      <c r="A173" s="478"/>
      <c r="B173" s="479"/>
      <c r="C173" s="481"/>
      <c r="D173" s="29" t="s">
        <v>107</v>
      </c>
      <c r="H173" s="2"/>
      <c r="I173" s="2"/>
      <c r="J173" s="2"/>
    </row>
    <row r="174" spans="1:10" ht="31.2" hidden="1">
      <c r="A174" s="478"/>
      <c r="B174" s="479"/>
      <c r="C174" s="481"/>
      <c r="D174" s="29" t="s">
        <v>83</v>
      </c>
      <c r="H174" s="2"/>
      <c r="I174" s="2"/>
      <c r="J174" s="2"/>
    </row>
    <row r="175" spans="1:10" ht="31.2" hidden="1">
      <c r="A175" s="478"/>
      <c r="B175" s="479"/>
      <c r="C175" s="481"/>
      <c r="D175" s="29" t="s">
        <v>63</v>
      </c>
      <c r="H175" s="2"/>
      <c r="I175" s="2"/>
      <c r="J175" s="2"/>
    </row>
    <row r="176" spans="1:10" ht="46.8" hidden="1">
      <c r="A176" s="478"/>
      <c r="B176" s="479"/>
      <c r="C176" s="481"/>
      <c r="D176" s="29" t="s">
        <v>133</v>
      </c>
      <c r="H176" s="2"/>
      <c r="I176" s="2"/>
      <c r="J176" s="2"/>
    </row>
    <row r="177" spans="1:10" ht="46.8" hidden="1">
      <c r="A177" s="478"/>
      <c r="B177" s="479"/>
      <c r="C177" s="481"/>
      <c r="D177" s="29" t="s">
        <v>134</v>
      </c>
      <c r="H177" s="2"/>
      <c r="I177" s="2"/>
      <c r="J177" s="2"/>
    </row>
    <row r="178" spans="1:10" ht="46.8" hidden="1">
      <c r="A178" s="478"/>
      <c r="B178" s="479"/>
      <c r="C178" s="481"/>
      <c r="D178" s="29" t="s">
        <v>135</v>
      </c>
      <c r="H178" s="2"/>
      <c r="I178" s="2"/>
      <c r="J178" s="2"/>
    </row>
    <row r="179" spans="1:10" ht="46.8" hidden="1">
      <c r="A179" s="478"/>
      <c r="B179" s="479"/>
      <c r="C179" s="481"/>
      <c r="D179" s="29" t="s">
        <v>136</v>
      </c>
      <c r="H179" s="2"/>
      <c r="I179" s="2"/>
      <c r="J179" s="2"/>
    </row>
    <row r="180" spans="1:10" ht="46.8" hidden="1">
      <c r="A180" s="478"/>
      <c r="B180" s="479"/>
      <c r="C180" s="481"/>
      <c r="D180" s="29" t="s">
        <v>137</v>
      </c>
      <c r="H180" s="2"/>
      <c r="I180" s="2"/>
      <c r="J180" s="2"/>
    </row>
    <row r="181" spans="1:10" ht="31.2" hidden="1">
      <c r="A181" s="478"/>
      <c r="B181" s="479"/>
      <c r="C181" s="482" t="s">
        <v>138</v>
      </c>
      <c r="D181" s="29" t="s">
        <v>104</v>
      </c>
      <c r="H181" s="2"/>
      <c r="I181" s="2"/>
      <c r="J181" s="2"/>
    </row>
    <row r="182" spans="1:10" ht="31.2" hidden="1">
      <c r="A182" s="478"/>
      <c r="B182" s="479"/>
      <c r="C182" s="483"/>
      <c r="D182" s="29" t="s">
        <v>83</v>
      </c>
      <c r="H182" s="2"/>
      <c r="I182" s="2"/>
      <c r="J182" s="2"/>
    </row>
    <row r="183" spans="1:10" ht="31.2" hidden="1">
      <c r="A183" s="478"/>
      <c r="B183" s="479"/>
      <c r="C183" s="484"/>
      <c r="D183" s="29" t="s">
        <v>63</v>
      </c>
      <c r="H183" s="2"/>
      <c r="I183" s="2"/>
      <c r="J183" s="2"/>
    </row>
  </sheetData>
  <mergeCells count="163">
    <mergeCell ref="J17:J28"/>
    <mergeCell ref="K17:K27"/>
    <mergeCell ref="L17:L27"/>
    <mergeCell ref="P17:P27"/>
    <mergeCell ref="B12:Q12"/>
    <mergeCell ref="B14:Q14"/>
    <mergeCell ref="B15:B16"/>
    <mergeCell ref="C15:C16"/>
    <mergeCell ref="D15:D16"/>
    <mergeCell ref="E15:E16"/>
    <mergeCell ref="F15:F16"/>
    <mergeCell ref="G15:G16"/>
    <mergeCell ref="H15:J15"/>
    <mergeCell ref="K15:K16"/>
    <mergeCell ref="L15:L16"/>
    <mergeCell ref="M15:N15"/>
    <mergeCell ref="O15:O16"/>
    <mergeCell ref="P15:P16"/>
    <mergeCell ref="Q15:Q16"/>
    <mergeCell ref="M34:M39"/>
    <mergeCell ref="N34:N39"/>
    <mergeCell ref="M17:M27"/>
    <mergeCell ref="A17:A28"/>
    <mergeCell ref="B17:B28"/>
    <mergeCell ref="C17:C28"/>
    <mergeCell ref="E17:E27"/>
    <mergeCell ref="G17:G25"/>
    <mergeCell ref="B61:Q61"/>
    <mergeCell ref="Q34:Q39"/>
    <mergeCell ref="A34:A39"/>
    <mergeCell ref="B34:B39"/>
    <mergeCell ref="C34:C39"/>
    <mergeCell ref="E34:E39"/>
    <mergeCell ref="F34:F39"/>
    <mergeCell ref="G34:G39"/>
    <mergeCell ref="I34:I39"/>
    <mergeCell ref="J34:J39"/>
    <mergeCell ref="K34:K39"/>
    <mergeCell ref="L34:L39"/>
    <mergeCell ref="O34:O39"/>
    <mergeCell ref="P34:P39"/>
    <mergeCell ref="Q17:Q28"/>
    <mergeCell ref="I17:I28"/>
    <mergeCell ref="M62:N62"/>
    <mergeCell ref="O62:O63"/>
    <mergeCell ref="P62:P63"/>
    <mergeCell ref="Q62:Q63"/>
    <mergeCell ref="B76:Q76"/>
    <mergeCell ref="B77:B78"/>
    <mergeCell ref="C77:C78"/>
    <mergeCell ref="D77:D78"/>
    <mergeCell ref="E77:E78"/>
    <mergeCell ref="F77:F78"/>
    <mergeCell ref="B62:B63"/>
    <mergeCell ref="C62:C63"/>
    <mergeCell ref="D62:D63"/>
    <mergeCell ref="E62:E63"/>
    <mergeCell ref="F62:F63"/>
    <mergeCell ref="G62:G63"/>
    <mergeCell ref="H62:J62"/>
    <mergeCell ref="K62:K63"/>
    <mergeCell ref="L62:L63"/>
    <mergeCell ref="P90:P91"/>
    <mergeCell ref="Q90:Q91"/>
    <mergeCell ref="F91:G91"/>
    <mergeCell ref="P77:P78"/>
    <mergeCell ref="Q77:Q78"/>
    <mergeCell ref="B89:Q89"/>
    <mergeCell ref="B90:B91"/>
    <mergeCell ref="C90:C91"/>
    <mergeCell ref="D90:D91"/>
    <mergeCell ref="E90:E91"/>
    <mergeCell ref="F90:G90"/>
    <mergeCell ref="H90:J90"/>
    <mergeCell ref="K90:K91"/>
    <mergeCell ref="G77:G78"/>
    <mergeCell ref="H77:J77"/>
    <mergeCell ref="K77:K78"/>
    <mergeCell ref="L77:L78"/>
    <mergeCell ref="M77:N77"/>
    <mergeCell ref="O77:O78"/>
    <mergeCell ref="F92:G92"/>
    <mergeCell ref="F93:G93"/>
    <mergeCell ref="F94:G94"/>
    <mergeCell ref="F95:G95"/>
    <mergeCell ref="F96:G96"/>
    <mergeCell ref="F97:G97"/>
    <mergeCell ref="L90:L91"/>
    <mergeCell ref="M90:N90"/>
    <mergeCell ref="O90:O91"/>
    <mergeCell ref="K103:K104"/>
    <mergeCell ref="L103:L104"/>
    <mergeCell ref="M103:N103"/>
    <mergeCell ref="O103:O104"/>
    <mergeCell ref="P103:P104"/>
    <mergeCell ref="Q103:Q104"/>
    <mergeCell ref="F98:G98"/>
    <mergeCell ref="F99:G99"/>
    <mergeCell ref="B102:Q102"/>
    <mergeCell ref="B103:B104"/>
    <mergeCell ref="C103:C104"/>
    <mergeCell ref="D103:D104"/>
    <mergeCell ref="E103:E104"/>
    <mergeCell ref="F103:F104"/>
    <mergeCell ref="G103:I103"/>
    <mergeCell ref="J103:J104"/>
    <mergeCell ref="B112:Q112"/>
    <mergeCell ref="B113:B114"/>
    <mergeCell ref="C113:C114"/>
    <mergeCell ref="D113:D114"/>
    <mergeCell ref="E113:E114"/>
    <mergeCell ref="F113:G114"/>
    <mergeCell ref="H113:J113"/>
    <mergeCell ref="K113:K114"/>
    <mergeCell ref="L113:L114"/>
    <mergeCell ref="M113:N113"/>
    <mergeCell ref="P134:P135"/>
    <mergeCell ref="Q134:Q135"/>
    <mergeCell ref="D136:E136"/>
    <mergeCell ref="F136:G136"/>
    <mergeCell ref="O113:O114"/>
    <mergeCell ref="P113:P114"/>
    <mergeCell ref="Q113:Q114"/>
    <mergeCell ref="B133:Q133"/>
    <mergeCell ref="B134:B135"/>
    <mergeCell ref="C134:C135"/>
    <mergeCell ref="D134:E135"/>
    <mergeCell ref="F134:G135"/>
    <mergeCell ref="H134:J134"/>
    <mergeCell ref="K134:K135"/>
    <mergeCell ref="D137:E137"/>
    <mergeCell ref="F137:G137"/>
    <mergeCell ref="D138:E139"/>
    <mergeCell ref="F138:G139"/>
    <mergeCell ref="H138:H139"/>
    <mergeCell ref="M138:M139"/>
    <mergeCell ref="L134:L135"/>
    <mergeCell ref="M134:N134"/>
    <mergeCell ref="O134:O135"/>
    <mergeCell ref="A151:B153"/>
    <mergeCell ref="A155:B162"/>
    <mergeCell ref="A164:B183"/>
    <mergeCell ref="C164:C170"/>
    <mergeCell ref="C171:C180"/>
    <mergeCell ref="C181:C183"/>
    <mergeCell ref="D144:E144"/>
    <mergeCell ref="F144:G144"/>
    <mergeCell ref="D145:E145"/>
    <mergeCell ref="F145:G145"/>
    <mergeCell ref="D146:E146"/>
    <mergeCell ref="F146:G146"/>
    <mergeCell ref="Q138:Q139"/>
    <mergeCell ref="D140:E140"/>
    <mergeCell ref="D141:E141"/>
    <mergeCell ref="F141:G141"/>
    <mergeCell ref="D142:E142"/>
    <mergeCell ref="F142:G142"/>
    <mergeCell ref="D143:E143"/>
    <mergeCell ref="F143:G143"/>
    <mergeCell ref="N138:N139"/>
    <mergeCell ref="O138:O139"/>
    <mergeCell ref="P138:P139"/>
    <mergeCell ref="F140:G140"/>
  </mergeCells>
  <dataValidations count="12">
    <dataValidation type="list" allowBlank="1" showInputMessage="1" showErrorMessage="1" sqref="L115:L130 L105:L110 L92:L100 L48:L60 L41:L44 L79:L87 L64:L74 L17 L29:L37" xr:uid="{00000000-0002-0000-0000-000000000000}">
      <formula1>$C$151:$C$153</formula1>
    </dataValidation>
    <dataValidation type="list" allowBlank="1" showInputMessage="1" showErrorMessage="1" sqref="Q136:Q138 Q65:Q74 Q92:Q100 Q79:Q87 Q105:Q110 Q29:Q37 Q140:Q146 Q17 Q115:Q130 Q48:Q53 Q55:Q60 Q41:Q44" xr:uid="{00000000-0002-0000-0000-000001000000}">
      <formula1>$C$155:$C$162</formula1>
    </dataValidation>
    <dataValidation type="list" allowBlank="1" showInputMessage="1" showErrorMessage="1" sqref="Q40" xr:uid="{00000000-0002-0000-0000-000002000000}">
      <formula1>$C$140:$C$147</formula1>
    </dataValidation>
    <dataValidation type="list" allowBlank="1" showInputMessage="1" showErrorMessage="1" sqref="E40" xr:uid="{00000000-0002-0000-0000-000003000000}">
      <formula1>$D$156:$D$165</formula1>
    </dataValidation>
    <dataValidation type="list" allowBlank="1" showInputMessage="1" showErrorMessage="1" sqref="L40" xr:uid="{00000000-0002-0000-0000-000004000000}">
      <formula1>$C$136:$C$138</formula1>
    </dataValidation>
    <dataValidation type="list" allowBlank="1" showInputMessage="1" showErrorMessage="1" sqref="L45:L47" xr:uid="{00000000-0002-0000-0000-000005000000}">
      <formula1>$C$149:$C$151</formula1>
    </dataValidation>
    <dataValidation type="list" allowBlank="1" showInputMessage="1" showErrorMessage="1" sqref="E45:E47" xr:uid="{00000000-0002-0000-0000-000006000000}">
      <formula1>$D$169:$D$178</formula1>
    </dataValidation>
    <dataValidation type="list" allowBlank="1" showInputMessage="1" showErrorMessage="1" sqref="Q45:Q47 Q54" xr:uid="{00000000-0002-0000-0000-000007000000}">
      <formula1>$C$153:$C$160</formula1>
    </dataValidation>
    <dataValidation type="list" allowBlank="1" showInputMessage="1" showErrorMessage="1" sqref="Q64" xr:uid="{00000000-0002-0000-0000-000008000000}">
      <formula1>$C$145:$C$152</formula1>
    </dataValidation>
    <dataValidation type="list" allowBlank="1" showInputMessage="1" showErrorMessage="1" sqref="E64:E74 E79:E87 E48:E60 E41:E44 E17 E29:E37" xr:uid="{00000000-0002-0000-0000-000009000000}">
      <formula1>$D$171:$D$180</formula1>
    </dataValidation>
    <dataValidation type="list" allowBlank="1" showInputMessage="1" showErrorMessage="1" sqref="E92:E100" xr:uid="{00000000-0002-0000-0000-00000A000000}">
      <formula1>$D$164:$D$170</formula1>
    </dataValidation>
    <dataValidation type="list" allowBlank="1" showInputMessage="1" showErrorMessage="1" sqref="E105:E110" xr:uid="{00000000-0002-0000-0000-00000B000000}">
      <formula1>$D$181:$D$183</formula1>
    </dataValidation>
  </dataValidations>
  <pageMargins left="0.51181102362204722" right="0.51181102362204722" top="0.78740157480314965" bottom="0.78740157480314965" header="0.31496062992125984" footer="0.31496062992125984"/>
  <pageSetup paperSize="8" scale="5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E183"/>
  <sheetViews>
    <sheetView topLeftCell="A43" zoomScale="50" zoomScaleNormal="50" zoomScaleSheetLayoutView="44" workbookViewId="0">
      <selection activeCell="A46" sqref="A46"/>
    </sheetView>
  </sheetViews>
  <sheetFormatPr defaultColWidth="9.109375" defaultRowHeight="15.6"/>
  <cols>
    <col min="1" max="1" width="8.44140625" style="2" customWidth="1"/>
    <col min="2" max="2" width="6.88671875" style="2" customWidth="1"/>
    <col min="3" max="3" width="64.88671875" style="2" customWidth="1"/>
    <col min="4" max="4" width="21" style="2" customWidth="1"/>
    <col min="5" max="5" width="38.109375" style="2" customWidth="1"/>
    <col min="6" max="6" width="15.88671875" style="2" customWidth="1"/>
    <col min="7" max="7" width="12.88671875" style="2" customWidth="1"/>
    <col min="8" max="8" width="15.6640625" style="4" customWidth="1"/>
    <col min="9" max="9" width="15.6640625" style="5" customWidth="1"/>
    <col min="10" max="10" width="18" style="5" customWidth="1"/>
    <col min="11" max="11" width="12.6640625" style="2" customWidth="1"/>
    <col min="12" max="12" width="19.5546875" style="2" customWidth="1"/>
    <col min="13" max="13" width="15.5546875" style="2" customWidth="1"/>
    <col min="14" max="14" width="16.33203125" style="2" customWidth="1"/>
    <col min="15" max="17" width="18.88671875" style="2" customWidth="1"/>
    <col min="18" max="18" width="13" style="2" bestFit="1" customWidth="1"/>
    <col min="19" max="16384" width="9.109375" style="2"/>
  </cols>
  <sheetData>
    <row r="1" spans="1:20">
      <c r="B1" s="3"/>
    </row>
    <row r="2" spans="1:20" ht="25.5" customHeight="1">
      <c r="B2" s="91"/>
      <c r="C2" s="171"/>
      <c r="D2" s="171" t="s">
        <v>15</v>
      </c>
      <c r="E2" s="171"/>
      <c r="F2" s="171"/>
      <c r="G2" s="171"/>
      <c r="H2" s="171"/>
      <c r="I2" s="171"/>
      <c r="J2" s="171"/>
      <c r="K2" s="171"/>
      <c r="L2" s="171"/>
      <c r="M2" s="171"/>
      <c r="N2" s="171"/>
      <c r="O2"/>
    </row>
    <row r="3" spans="1:20">
      <c r="B3" s="32"/>
      <c r="C3"/>
      <c r="D3" s="171" t="s">
        <v>162</v>
      </c>
      <c r="E3" s="1"/>
      <c r="F3" s="1"/>
      <c r="G3" s="1"/>
      <c r="H3" s="1"/>
      <c r="I3" s="1"/>
      <c r="J3" s="1"/>
      <c r="K3" s="1"/>
      <c r="L3" s="1"/>
      <c r="M3" s="1"/>
      <c r="N3" s="1"/>
      <c r="O3" s="1"/>
    </row>
    <row r="4" spans="1:20">
      <c r="B4" s="39"/>
      <c r="C4"/>
      <c r="D4" s="171" t="s">
        <v>21</v>
      </c>
      <c r="E4" s="1"/>
      <c r="F4" s="1"/>
      <c r="G4" s="1"/>
      <c r="H4" s="1"/>
      <c r="I4" s="1"/>
      <c r="J4" s="1"/>
      <c r="K4" s="1"/>
      <c r="L4" s="1"/>
      <c r="M4" s="1"/>
      <c r="N4" s="1"/>
      <c r="O4" s="1"/>
    </row>
    <row r="5" spans="1:20">
      <c r="B5" s="7"/>
      <c r="C5" s="171"/>
      <c r="D5" s="171" t="s">
        <v>161</v>
      </c>
      <c r="E5" s="1"/>
      <c r="F5" s="1"/>
      <c r="G5" s="1"/>
      <c r="H5" s="1"/>
      <c r="I5" s="1"/>
      <c r="J5" s="1"/>
      <c r="K5" s="1"/>
      <c r="L5" s="1"/>
      <c r="M5" s="1"/>
      <c r="N5" s="1"/>
      <c r="O5"/>
    </row>
    <row r="6" spans="1:20">
      <c r="B6" s="3"/>
    </row>
    <row r="7" spans="1:20">
      <c r="A7" s="267" t="s">
        <v>329</v>
      </c>
      <c r="B7" s="9"/>
      <c r="C7" s="166"/>
      <c r="D7" s="241" t="s">
        <v>148</v>
      </c>
      <c r="E7" s="284">
        <v>3.7753999999999999</v>
      </c>
    </row>
    <row r="8" spans="1:20">
      <c r="A8" s="8" t="s">
        <v>288</v>
      </c>
      <c r="B8" s="10"/>
      <c r="C8" s="10"/>
      <c r="G8" s="203"/>
    </row>
    <row r="9" spans="1:20">
      <c r="A9" s="8" t="s">
        <v>36</v>
      </c>
      <c r="B9" s="10"/>
      <c r="C9" s="10"/>
      <c r="D9" s="49"/>
      <c r="E9" s="8"/>
      <c r="G9" s="203"/>
    </row>
    <row r="11" spans="1:20" hidden="1">
      <c r="B11" s="11"/>
    </row>
    <row r="12" spans="1:20" ht="15.75" hidden="1" customHeight="1">
      <c r="B12" s="559"/>
      <c r="C12" s="559"/>
      <c r="D12" s="559"/>
      <c r="E12" s="559"/>
      <c r="F12" s="559"/>
      <c r="G12" s="559"/>
      <c r="H12" s="559"/>
      <c r="I12" s="559"/>
      <c r="J12" s="559"/>
      <c r="K12" s="559"/>
      <c r="L12" s="559"/>
      <c r="M12" s="559"/>
      <c r="N12" s="559"/>
      <c r="O12" s="559"/>
      <c r="P12" s="559"/>
      <c r="Q12" s="559"/>
      <c r="R12" s="13"/>
      <c r="S12" s="13"/>
      <c r="T12" s="13"/>
    </row>
    <row r="13" spans="1:20" ht="15.75" customHeight="1" thickBot="1">
      <c r="B13" s="12"/>
      <c r="C13" s="12"/>
      <c r="D13" s="12"/>
      <c r="E13" s="12"/>
      <c r="F13" s="12"/>
      <c r="G13" s="12"/>
      <c r="H13" s="12"/>
      <c r="I13" s="12"/>
      <c r="J13" s="12"/>
      <c r="K13" s="12"/>
      <c r="L13" s="12"/>
      <c r="M13" s="12"/>
      <c r="N13" s="12"/>
      <c r="O13" s="12"/>
      <c r="P13" s="12"/>
      <c r="Q13" s="12"/>
      <c r="R13" s="13"/>
      <c r="S13" s="13"/>
      <c r="T13" s="13"/>
    </row>
    <row r="14" spans="1:20" ht="16.2" thickBot="1">
      <c r="A14" s="67">
        <v>1</v>
      </c>
      <c r="B14" s="560" t="s">
        <v>38</v>
      </c>
      <c r="C14" s="561"/>
      <c r="D14" s="561"/>
      <c r="E14" s="561"/>
      <c r="F14" s="561"/>
      <c r="G14" s="561"/>
      <c r="H14" s="561"/>
      <c r="I14" s="561"/>
      <c r="J14" s="561"/>
      <c r="K14" s="561"/>
      <c r="L14" s="561"/>
      <c r="M14" s="561"/>
      <c r="N14" s="561"/>
      <c r="O14" s="561"/>
      <c r="P14" s="561"/>
      <c r="Q14" s="562"/>
      <c r="R14" s="13"/>
      <c r="S14" s="13"/>
      <c r="T14" s="13"/>
    </row>
    <row r="15" spans="1:20" ht="14.4" customHeight="1">
      <c r="A15" s="28"/>
      <c r="B15" s="563" t="s">
        <v>39</v>
      </c>
      <c r="C15" s="529" t="s">
        <v>40</v>
      </c>
      <c r="D15" s="529" t="s">
        <v>41</v>
      </c>
      <c r="E15" s="529" t="s">
        <v>42</v>
      </c>
      <c r="F15" s="529" t="s">
        <v>43</v>
      </c>
      <c r="G15" s="529" t="s">
        <v>44</v>
      </c>
      <c r="H15" s="536" t="s">
        <v>45</v>
      </c>
      <c r="I15" s="536"/>
      <c r="J15" s="536"/>
      <c r="K15" s="564" t="s">
        <v>46</v>
      </c>
      <c r="L15" s="529" t="s">
        <v>47</v>
      </c>
      <c r="M15" s="529" t="s">
        <v>48</v>
      </c>
      <c r="N15" s="529"/>
      <c r="O15" s="529" t="s">
        <v>49</v>
      </c>
      <c r="P15" s="529" t="s">
        <v>50</v>
      </c>
      <c r="Q15" s="531" t="s">
        <v>17</v>
      </c>
      <c r="R15" s="13"/>
      <c r="S15" s="13"/>
      <c r="T15" s="13"/>
    </row>
    <row r="16" spans="1:20" ht="73.5" customHeight="1" thickBot="1">
      <c r="A16" s="66"/>
      <c r="B16" s="500"/>
      <c r="C16" s="500"/>
      <c r="D16" s="500"/>
      <c r="E16" s="500"/>
      <c r="F16" s="500"/>
      <c r="G16" s="500"/>
      <c r="H16" s="306" t="s">
        <v>51</v>
      </c>
      <c r="I16" s="62" t="s">
        <v>52</v>
      </c>
      <c r="J16" s="62" t="s">
        <v>53</v>
      </c>
      <c r="K16" s="565"/>
      <c r="L16" s="500"/>
      <c r="M16" s="348" t="s">
        <v>54</v>
      </c>
      <c r="N16" s="348" t="s">
        <v>55</v>
      </c>
      <c r="O16" s="500"/>
      <c r="P16" s="500"/>
      <c r="Q16" s="502"/>
      <c r="R16" s="13"/>
      <c r="S16" s="13"/>
      <c r="T16" s="13"/>
    </row>
    <row r="17" spans="1:20" ht="31.5" customHeight="1">
      <c r="A17" s="544">
        <v>1.1000000000000001</v>
      </c>
      <c r="B17" s="547" t="s">
        <v>5</v>
      </c>
      <c r="C17" s="547" t="s">
        <v>56</v>
      </c>
      <c r="D17" s="21" t="s">
        <v>151</v>
      </c>
      <c r="E17" s="547" t="s">
        <v>57</v>
      </c>
      <c r="F17" s="59">
        <v>1</v>
      </c>
      <c r="G17" s="547" t="s">
        <v>151</v>
      </c>
      <c r="H17" s="305">
        <v>10926.762592043229</v>
      </c>
      <c r="I17" s="567">
        <v>60.76</v>
      </c>
      <c r="J17" s="567">
        <f>100-I17</f>
        <v>39.24</v>
      </c>
      <c r="K17" s="570" t="s">
        <v>22</v>
      </c>
      <c r="L17" s="547" t="s">
        <v>59</v>
      </c>
      <c r="M17" s="573" t="s">
        <v>60</v>
      </c>
      <c r="N17" s="346">
        <v>42082</v>
      </c>
      <c r="O17" s="59" t="s">
        <v>149</v>
      </c>
      <c r="P17" s="547" t="s">
        <v>150</v>
      </c>
      <c r="Q17" s="566" t="s">
        <v>126</v>
      </c>
      <c r="R17" s="13"/>
      <c r="S17" s="13"/>
      <c r="T17" s="13"/>
    </row>
    <row r="18" spans="1:20" ht="84" customHeight="1">
      <c r="A18" s="545"/>
      <c r="B18" s="548"/>
      <c r="C18" s="548"/>
      <c r="D18" s="21" t="s">
        <v>196</v>
      </c>
      <c r="E18" s="548"/>
      <c r="F18" s="59" t="s">
        <v>212</v>
      </c>
      <c r="G18" s="548"/>
      <c r="H18" s="305">
        <v>1713.4646421571224</v>
      </c>
      <c r="I18" s="568"/>
      <c r="J18" s="568"/>
      <c r="K18" s="571"/>
      <c r="L18" s="548"/>
      <c r="M18" s="574"/>
      <c r="N18" s="346">
        <v>42342</v>
      </c>
      <c r="O18" s="59"/>
      <c r="P18" s="548"/>
      <c r="Q18" s="553"/>
      <c r="R18" s="13"/>
      <c r="S18" s="13"/>
      <c r="T18" s="13"/>
    </row>
    <row r="19" spans="1:20" ht="31.2">
      <c r="A19" s="545"/>
      <c r="B19" s="548"/>
      <c r="C19" s="548"/>
      <c r="D19" s="21" t="s">
        <v>209</v>
      </c>
      <c r="E19" s="548"/>
      <c r="F19" s="59" t="s">
        <v>214</v>
      </c>
      <c r="G19" s="548"/>
      <c r="H19" s="305">
        <v>824.0897865126874</v>
      </c>
      <c r="I19" s="568"/>
      <c r="J19" s="568"/>
      <c r="K19" s="571"/>
      <c r="L19" s="548"/>
      <c r="M19" s="574"/>
      <c r="N19" s="346">
        <v>42429</v>
      </c>
      <c r="O19" s="59"/>
      <c r="P19" s="548"/>
      <c r="Q19" s="553"/>
      <c r="R19" s="13"/>
      <c r="S19" s="13"/>
      <c r="T19" s="13"/>
    </row>
    <row r="20" spans="1:20" ht="88.95" customHeight="1">
      <c r="A20" s="545"/>
      <c r="B20" s="548"/>
      <c r="C20" s="548"/>
      <c r="D20" s="21" t="s">
        <v>210</v>
      </c>
      <c r="E20" s="548"/>
      <c r="F20" s="59" t="s">
        <v>213</v>
      </c>
      <c r="G20" s="548"/>
      <c r="H20" s="305">
        <v>2743.0617470996453</v>
      </c>
      <c r="I20" s="568"/>
      <c r="J20" s="568"/>
      <c r="K20" s="571"/>
      <c r="L20" s="548"/>
      <c r="M20" s="574"/>
      <c r="N20" s="346">
        <v>42473</v>
      </c>
      <c r="O20" s="59"/>
      <c r="P20" s="548"/>
      <c r="Q20" s="553"/>
      <c r="R20" s="13"/>
      <c r="S20" s="13"/>
      <c r="T20" s="13"/>
    </row>
    <row r="21" spans="1:20" ht="46.8">
      <c r="A21" s="545"/>
      <c r="B21" s="548"/>
      <c r="C21" s="548"/>
      <c r="D21" s="21" t="s">
        <v>211</v>
      </c>
      <c r="E21" s="548"/>
      <c r="F21" s="59" t="s">
        <v>215</v>
      </c>
      <c r="G21" s="548"/>
      <c r="H21" s="305">
        <v>204.632407162155</v>
      </c>
      <c r="I21" s="568"/>
      <c r="J21" s="568"/>
      <c r="K21" s="571"/>
      <c r="L21" s="548"/>
      <c r="M21" s="574"/>
      <c r="N21" s="346">
        <v>42521</v>
      </c>
      <c r="O21" s="59"/>
      <c r="P21" s="548"/>
      <c r="Q21" s="553"/>
      <c r="R21" s="13"/>
      <c r="S21" s="13"/>
      <c r="T21" s="13"/>
    </row>
    <row r="22" spans="1:20" ht="140.4">
      <c r="A22" s="545"/>
      <c r="B22" s="548"/>
      <c r="C22" s="548"/>
      <c r="D22" s="21" t="s">
        <v>259</v>
      </c>
      <c r="E22" s="548"/>
      <c r="F22" s="59" t="s">
        <v>259</v>
      </c>
      <c r="G22" s="548"/>
      <c r="H22" s="305">
        <v>0</v>
      </c>
      <c r="I22" s="568"/>
      <c r="J22" s="568"/>
      <c r="K22" s="571"/>
      <c r="L22" s="548"/>
      <c r="M22" s="574"/>
      <c r="N22" s="346">
        <v>42657</v>
      </c>
      <c r="O22" s="59"/>
      <c r="P22" s="548"/>
      <c r="Q22" s="553"/>
      <c r="R22" s="13"/>
      <c r="S22" s="13"/>
      <c r="T22" s="13"/>
    </row>
    <row r="23" spans="1:20" ht="109.2">
      <c r="A23" s="545"/>
      <c r="B23" s="548"/>
      <c r="C23" s="548"/>
      <c r="D23" s="21" t="s">
        <v>260</v>
      </c>
      <c r="E23" s="548"/>
      <c r="F23" s="59" t="s">
        <v>260</v>
      </c>
      <c r="G23" s="548"/>
      <c r="H23" s="305">
        <v>267.65781903904224</v>
      </c>
      <c r="I23" s="568"/>
      <c r="J23" s="568"/>
      <c r="K23" s="571"/>
      <c r="L23" s="548"/>
      <c r="M23" s="574"/>
      <c r="N23" s="349">
        <v>42704</v>
      </c>
      <c r="O23" s="59"/>
      <c r="P23" s="548"/>
      <c r="Q23" s="553"/>
      <c r="R23" s="13"/>
      <c r="S23" s="13"/>
      <c r="T23" s="13"/>
    </row>
    <row r="24" spans="1:20" ht="69" customHeight="1">
      <c r="A24" s="545"/>
      <c r="B24" s="548"/>
      <c r="C24" s="548"/>
      <c r="D24" s="21" t="s">
        <v>263</v>
      </c>
      <c r="E24" s="548"/>
      <c r="F24" s="59" t="s">
        <v>262</v>
      </c>
      <c r="G24" s="548"/>
      <c r="H24" s="305">
        <v>297.98632197912804</v>
      </c>
      <c r="I24" s="568"/>
      <c r="J24" s="568"/>
      <c r="K24" s="571"/>
      <c r="L24" s="548"/>
      <c r="M24" s="574"/>
      <c r="N24" s="349">
        <v>42817</v>
      </c>
      <c r="O24" s="59"/>
      <c r="P24" s="548"/>
      <c r="Q24" s="553"/>
      <c r="R24" s="13"/>
      <c r="S24" s="13"/>
      <c r="T24" s="13"/>
    </row>
    <row r="25" spans="1:20" ht="144.75" customHeight="1">
      <c r="A25" s="545"/>
      <c r="B25" s="548"/>
      <c r="C25" s="548"/>
      <c r="D25" s="21" t="s">
        <v>276</v>
      </c>
      <c r="E25" s="548"/>
      <c r="F25" s="59" t="s">
        <v>277</v>
      </c>
      <c r="G25" s="475"/>
      <c r="H25" s="305">
        <v>0</v>
      </c>
      <c r="I25" s="568"/>
      <c r="J25" s="568"/>
      <c r="K25" s="571"/>
      <c r="L25" s="548"/>
      <c r="M25" s="574"/>
      <c r="N25" s="349">
        <v>42829</v>
      </c>
      <c r="O25" s="59"/>
      <c r="P25" s="548"/>
      <c r="Q25" s="553"/>
      <c r="R25" s="13"/>
      <c r="S25" s="13"/>
      <c r="T25" s="13"/>
    </row>
    <row r="26" spans="1:20" ht="144.75" customHeight="1">
      <c r="A26" s="545"/>
      <c r="B26" s="548"/>
      <c r="C26" s="548"/>
      <c r="D26" s="21" t="s">
        <v>289</v>
      </c>
      <c r="E26" s="548"/>
      <c r="F26" s="59" t="s">
        <v>290</v>
      </c>
      <c r="G26" s="59"/>
      <c r="H26" s="305">
        <v>-667.71504476346877</v>
      </c>
      <c r="I26" s="568"/>
      <c r="J26" s="568"/>
      <c r="K26" s="571"/>
      <c r="L26" s="548"/>
      <c r="M26" s="574"/>
      <c r="N26" s="349">
        <v>42949</v>
      </c>
      <c r="O26" s="59"/>
      <c r="P26" s="548"/>
      <c r="Q26" s="553"/>
      <c r="R26" s="13"/>
      <c r="S26" s="13"/>
      <c r="T26" s="13"/>
    </row>
    <row r="27" spans="1:20" ht="192.75" customHeight="1">
      <c r="A27" s="545"/>
      <c r="B27" s="548"/>
      <c r="C27" s="548"/>
      <c r="D27" s="21" t="s">
        <v>291</v>
      </c>
      <c r="E27" s="475"/>
      <c r="F27" s="59" t="s">
        <v>292</v>
      </c>
      <c r="G27" s="59"/>
      <c r="H27" s="305">
        <v>-878.06382899825189</v>
      </c>
      <c r="I27" s="568"/>
      <c r="J27" s="568"/>
      <c r="K27" s="572"/>
      <c r="L27" s="475"/>
      <c r="M27" s="575"/>
      <c r="N27" s="349">
        <v>43011</v>
      </c>
      <c r="O27" s="59"/>
      <c r="P27" s="475"/>
      <c r="Q27" s="553"/>
      <c r="R27" s="13"/>
      <c r="S27" s="13"/>
      <c r="T27" s="13"/>
    </row>
    <row r="28" spans="1:20" ht="192.75" customHeight="1">
      <c r="A28" s="546"/>
      <c r="B28" s="475"/>
      <c r="C28" s="475"/>
      <c r="D28" s="21" t="s">
        <v>294</v>
      </c>
      <c r="E28" s="59"/>
      <c r="F28" s="59" t="s">
        <v>295</v>
      </c>
      <c r="G28" s="59"/>
      <c r="H28" s="305">
        <v>-212.75322349949676</v>
      </c>
      <c r="I28" s="569"/>
      <c r="J28" s="569"/>
      <c r="K28" s="58"/>
      <c r="L28" s="59"/>
      <c r="M28" s="350"/>
      <c r="N28" s="349">
        <v>43025</v>
      </c>
      <c r="O28" s="59"/>
      <c r="P28" s="59"/>
      <c r="Q28" s="554"/>
      <c r="R28" s="13"/>
      <c r="S28" s="13"/>
      <c r="T28" s="13"/>
    </row>
    <row r="29" spans="1:20" ht="33" customHeight="1">
      <c r="A29" s="74">
        <v>1.2</v>
      </c>
      <c r="B29" s="17" t="s">
        <v>5</v>
      </c>
      <c r="C29" s="14" t="s">
        <v>62</v>
      </c>
      <c r="D29" s="125" t="s">
        <v>313</v>
      </c>
      <c r="E29" s="17" t="s">
        <v>57</v>
      </c>
      <c r="F29" s="17">
        <v>1</v>
      </c>
      <c r="G29" s="23" t="s">
        <v>297</v>
      </c>
      <c r="H29" s="311">
        <v>3568.434052020978</v>
      </c>
      <c r="I29" s="122">
        <v>63.66</v>
      </c>
      <c r="J29" s="122">
        <v>36.340000000000003</v>
      </c>
      <c r="K29" s="52" t="s">
        <v>23</v>
      </c>
      <c r="L29" s="17" t="s">
        <v>67</v>
      </c>
      <c r="M29" s="354">
        <v>43014</v>
      </c>
      <c r="N29" s="354">
        <v>43091</v>
      </c>
      <c r="O29" s="17" t="s">
        <v>197</v>
      </c>
      <c r="P29" s="23" t="s">
        <v>58</v>
      </c>
      <c r="Q29" s="468" t="s">
        <v>61</v>
      </c>
      <c r="R29" s="13"/>
      <c r="S29" s="13"/>
      <c r="T29" s="13"/>
    </row>
    <row r="30" spans="1:20" ht="31.2">
      <c r="A30" s="74">
        <v>1.3</v>
      </c>
      <c r="B30" s="17" t="s">
        <v>5</v>
      </c>
      <c r="C30" s="123" t="s">
        <v>230</v>
      </c>
      <c r="D30" s="125" t="s">
        <v>251</v>
      </c>
      <c r="E30" s="17" t="s">
        <v>57</v>
      </c>
      <c r="F30" s="23">
        <v>1</v>
      </c>
      <c r="G30" s="23" t="s">
        <v>251</v>
      </c>
      <c r="H30" s="311">
        <v>1694.7000105949039</v>
      </c>
      <c r="I30" s="54">
        <v>43</v>
      </c>
      <c r="J30" s="54">
        <v>57</v>
      </c>
      <c r="K30" s="55" t="s">
        <v>24</v>
      </c>
      <c r="L30" s="17" t="s">
        <v>67</v>
      </c>
      <c r="M30" s="354">
        <v>42579</v>
      </c>
      <c r="N30" s="347">
        <v>42678</v>
      </c>
      <c r="O30" s="17"/>
      <c r="P30" s="23" t="s">
        <v>264</v>
      </c>
      <c r="Q30" s="468" t="s">
        <v>126</v>
      </c>
      <c r="R30" s="13"/>
      <c r="S30" s="13"/>
      <c r="T30" s="13"/>
    </row>
    <row r="31" spans="1:20" ht="218.25" customHeight="1">
      <c r="A31" s="136">
        <v>1.4</v>
      </c>
      <c r="B31" s="17" t="s">
        <v>5</v>
      </c>
      <c r="C31" s="14" t="s">
        <v>198</v>
      </c>
      <c r="D31" s="14" t="s">
        <v>293</v>
      </c>
      <c r="E31" s="17" t="s">
        <v>57</v>
      </c>
      <c r="F31" s="17">
        <v>1</v>
      </c>
      <c r="G31" s="17" t="s">
        <v>252</v>
      </c>
      <c r="H31" s="304">
        <v>1051.629708110399</v>
      </c>
      <c r="I31" s="51">
        <v>100</v>
      </c>
      <c r="J31" s="51">
        <v>0</v>
      </c>
      <c r="K31" s="52" t="s">
        <v>25</v>
      </c>
      <c r="L31" s="17" t="s">
        <v>67</v>
      </c>
      <c r="M31" s="349">
        <v>42572</v>
      </c>
      <c r="N31" s="346">
        <v>42713</v>
      </c>
      <c r="O31" s="17"/>
      <c r="P31" s="17" t="s">
        <v>265</v>
      </c>
      <c r="Q31" s="462" t="s">
        <v>126</v>
      </c>
      <c r="R31" s="13"/>
      <c r="S31" s="13"/>
      <c r="T31" s="13"/>
    </row>
    <row r="32" spans="1:20" ht="24.75" customHeight="1">
      <c r="A32" s="113">
        <v>1.4</v>
      </c>
      <c r="B32" s="109" t="s">
        <v>5</v>
      </c>
      <c r="C32" s="138" t="s">
        <v>202</v>
      </c>
      <c r="D32" s="14"/>
      <c r="E32" s="109" t="s">
        <v>68</v>
      </c>
      <c r="F32" s="109">
        <v>4</v>
      </c>
      <c r="G32" s="109" t="s">
        <v>58</v>
      </c>
      <c r="H32" s="312">
        <v>3828.7333792445838</v>
      </c>
      <c r="I32" s="109">
        <v>100</v>
      </c>
      <c r="J32" s="109">
        <v>0</v>
      </c>
      <c r="K32" s="109" t="s">
        <v>25</v>
      </c>
      <c r="L32" s="109" t="s">
        <v>67</v>
      </c>
      <c r="M32" s="351">
        <v>42685</v>
      </c>
      <c r="N32" s="351">
        <v>42712</v>
      </c>
      <c r="O32" s="109"/>
      <c r="P32" s="109" t="s">
        <v>58</v>
      </c>
      <c r="Q32" s="466" t="s">
        <v>66</v>
      </c>
      <c r="R32" s="13"/>
      <c r="S32" s="13"/>
      <c r="T32" s="13"/>
    </row>
    <row r="33" spans="1:213" ht="31.2">
      <c r="A33" s="74">
        <v>1.5</v>
      </c>
      <c r="B33" s="17" t="s">
        <v>5</v>
      </c>
      <c r="C33" s="14" t="s">
        <v>207</v>
      </c>
      <c r="D33" s="14"/>
      <c r="E33" s="17" t="s">
        <v>57</v>
      </c>
      <c r="F33" s="17">
        <v>1</v>
      </c>
      <c r="G33" s="23" t="s">
        <v>58</v>
      </c>
      <c r="H33" s="310">
        <v>1138.9521640091118</v>
      </c>
      <c r="I33" s="132">
        <v>70</v>
      </c>
      <c r="J33" s="132">
        <v>30</v>
      </c>
      <c r="K33" s="17" t="s">
        <v>69</v>
      </c>
      <c r="L33" s="17" t="s">
        <v>67</v>
      </c>
      <c r="M33" s="354">
        <v>43305</v>
      </c>
      <c r="N33" s="354">
        <v>43332</v>
      </c>
      <c r="O33" s="17"/>
      <c r="P33" s="23" t="s">
        <v>58</v>
      </c>
      <c r="Q33" s="462" t="s">
        <v>66</v>
      </c>
      <c r="R33" s="13"/>
      <c r="S33" s="13"/>
      <c r="T33" s="13"/>
    </row>
    <row r="34" spans="1:213" s="19" customFormat="1" ht="30" customHeight="1">
      <c r="A34" s="555">
        <v>1.6</v>
      </c>
      <c r="B34" s="474" t="s">
        <v>5</v>
      </c>
      <c r="C34" s="474" t="s">
        <v>70</v>
      </c>
      <c r="D34" s="14" t="s">
        <v>216</v>
      </c>
      <c r="E34" s="474" t="s">
        <v>57</v>
      </c>
      <c r="F34" s="474">
        <v>1</v>
      </c>
      <c r="G34" s="474" t="s">
        <v>216</v>
      </c>
      <c r="H34" s="303">
        <v>1588.0245801769352</v>
      </c>
      <c r="I34" s="556">
        <f>94.18</f>
        <v>94.18</v>
      </c>
      <c r="J34" s="556">
        <f>5.82</f>
        <v>5.82</v>
      </c>
      <c r="K34" s="474" t="s">
        <v>26</v>
      </c>
      <c r="L34" s="474" t="s">
        <v>67</v>
      </c>
      <c r="M34" s="576">
        <v>42384</v>
      </c>
      <c r="N34" s="577">
        <v>42419</v>
      </c>
      <c r="O34" s="474"/>
      <c r="P34" s="474" t="s">
        <v>217</v>
      </c>
      <c r="Q34" s="552" t="s">
        <v>126</v>
      </c>
      <c r="R34" s="18"/>
      <c r="S34" s="18"/>
      <c r="T34" s="18"/>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row>
    <row r="35" spans="1:213" s="148" customFormat="1" ht="56.25" customHeight="1">
      <c r="A35" s="545"/>
      <c r="B35" s="548"/>
      <c r="C35" s="548"/>
      <c r="D35" s="21" t="s">
        <v>233</v>
      </c>
      <c r="E35" s="548"/>
      <c r="F35" s="548"/>
      <c r="G35" s="548"/>
      <c r="H35" s="303">
        <v>115.81516925358903</v>
      </c>
      <c r="I35" s="557"/>
      <c r="J35" s="557"/>
      <c r="K35" s="548"/>
      <c r="L35" s="548"/>
      <c r="M35" s="574"/>
      <c r="N35" s="578"/>
      <c r="O35" s="548"/>
      <c r="P35" s="548"/>
      <c r="Q35" s="553"/>
      <c r="R35" s="18"/>
      <c r="S35" s="18"/>
      <c r="T35" s="18"/>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row>
    <row r="36" spans="1:213" s="148" customFormat="1" ht="74.25" customHeight="1">
      <c r="A36" s="545"/>
      <c r="B36" s="548"/>
      <c r="C36" s="548"/>
      <c r="D36" s="14" t="s">
        <v>268</v>
      </c>
      <c r="E36" s="548"/>
      <c r="F36" s="548"/>
      <c r="G36" s="548"/>
      <c r="H36" s="303">
        <v>0</v>
      </c>
      <c r="I36" s="557"/>
      <c r="J36" s="557"/>
      <c r="K36" s="548"/>
      <c r="L36" s="548"/>
      <c r="M36" s="574"/>
      <c r="N36" s="578"/>
      <c r="O36" s="548"/>
      <c r="P36" s="548"/>
      <c r="Q36" s="553"/>
      <c r="R36" s="18"/>
      <c r="S36" s="18"/>
      <c r="T36" s="18"/>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row>
    <row r="37" spans="1:213" s="148" customFormat="1" ht="68.25" customHeight="1">
      <c r="A37" s="545"/>
      <c r="B37" s="548"/>
      <c r="C37" s="548"/>
      <c r="D37" s="14" t="s">
        <v>269</v>
      </c>
      <c r="E37" s="548"/>
      <c r="F37" s="548"/>
      <c r="G37" s="548"/>
      <c r="H37" s="303">
        <v>0</v>
      </c>
      <c r="I37" s="557"/>
      <c r="J37" s="557"/>
      <c r="K37" s="548"/>
      <c r="L37" s="548"/>
      <c r="M37" s="574"/>
      <c r="N37" s="578"/>
      <c r="O37" s="548"/>
      <c r="P37" s="548"/>
      <c r="Q37" s="553"/>
      <c r="R37" s="18"/>
      <c r="S37" s="18"/>
      <c r="T37" s="18"/>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row>
    <row r="38" spans="1:213" s="148" customFormat="1" ht="122.25" customHeight="1">
      <c r="A38" s="545"/>
      <c r="B38" s="548"/>
      <c r="C38" s="548"/>
      <c r="D38" s="14" t="s">
        <v>278</v>
      </c>
      <c r="E38" s="548"/>
      <c r="F38" s="548"/>
      <c r="G38" s="548"/>
      <c r="H38" s="303">
        <v>0</v>
      </c>
      <c r="I38" s="557"/>
      <c r="J38" s="557"/>
      <c r="K38" s="548"/>
      <c r="L38" s="548"/>
      <c r="M38" s="574"/>
      <c r="N38" s="578"/>
      <c r="O38" s="548"/>
      <c r="P38" s="548"/>
      <c r="Q38" s="553"/>
      <c r="R38" s="18"/>
      <c r="S38" s="18"/>
      <c r="T38" s="18"/>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row>
    <row r="39" spans="1:213" s="148" customFormat="1" ht="57.75" customHeight="1">
      <c r="A39" s="546"/>
      <c r="B39" s="475"/>
      <c r="C39" s="475"/>
      <c r="D39" s="14" t="s">
        <v>282</v>
      </c>
      <c r="E39" s="475"/>
      <c r="F39" s="475"/>
      <c r="G39" s="475"/>
      <c r="H39" s="303">
        <v>142.14530910631987</v>
      </c>
      <c r="I39" s="558"/>
      <c r="J39" s="558"/>
      <c r="K39" s="475"/>
      <c r="L39" s="475"/>
      <c r="M39" s="575"/>
      <c r="N39" s="579"/>
      <c r="O39" s="475"/>
      <c r="P39" s="475"/>
      <c r="Q39" s="554"/>
      <c r="R39" s="18"/>
      <c r="S39" s="18"/>
      <c r="T39" s="18"/>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row>
    <row r="40" spans="1:213" s="148" customFormat="1" ht="100.5" customHeight="1">
      <c r="A40" s="113">
        <v>1.7</v>
      </c>
      <c r="B40" s="109" t="s">
        <v>5</v>
      </c>
      <c r="C40" s="154" t="s">
        <v>71</v>
      </c>
      <c r="D40" s="110"/>
      <c r="E40" s="109" t="s">
        <v>57</v>
      </c>
      <c r="F40" s="109">
        <v>1</v>
      </c>
      <c r="G40" s="128" t="s">
        <v>58</v>
      </c>
      <c r="H40" s="313">
        <v>794.61778884356636</v>
      </c>
      <c r="I40" s="115">
        <v>10</v>
      </c>
      <c r="J40" s="109">
        <v>90</v>
      </c>
      <c r="K40" s="190" t="s">
        <v>72</v>
      </c>
      <c r="L40" s="109" t="s">
        <v>67</v>
      </c>
      <c r="M40" s="355">
        <v>42914</v>
      </c>
      <c r="N40" s="351">
        <v>42969</v>
      </c>
      <c r="O40" s="154"/>
      <c r="P40" s="110" t="s">
        <v>58</v>
      </c>
      <c r="Q40" s="466" t="s">
        <v>66</v>
      </c>
      <c r="R40" s="18"/>
      <c r="S40" s="18"/>
      <c r="T40" s="18"/>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row>
    <row r="41" spans="1:213" ht="36.75" customHeight="1">
      <c r="A41" s="92">
        <v>1.7</v>
      </c>
      <c r="B41" s="186" t="s">
        <v>5</v>
      </c>
      <c r="C41" s="93" t="s">
        <v>284</v>
      </c>
      <c r="D41" s="94"/>
      <c r="E41" s="186" t="s">
        <v>57</v>
      </c>
      <c r="F41" s="98">
        <v>1</v>
      </c>
      <c r="G41" s="186" t="s">
        <v>58</v>
      </c>
      <c r="H41" s="315">
        <v>948.78353022196313</v>
      </c>
      <c r="I41" s="186">
        <v>60</v>
      </c>
      <c r="J41" s="186">
        <v>40</v>
      </c>
      <c r="K41" s="189" t="s">
        <v>286</v>
      </c>
      <c r="L41" s="186" t="s">
        <v>67</v>
      </c>
      <c r="M41" s="354">
        <v>43349</v>
      </c>
      <c r="N41" s="354">
        <v>43377</v>
      </c>
      <c r="O41" s="186"/>
      <c r="P41" s="98" t="s">
        <v>58</v>
      </c>
      <c r="Q41" s="463" t="s">
        <v>66</v>
      </c>
      <c r="R41" s="13"/>
      <c r="S41" s="13"/>
      <c r="T41" s="13"/>
    </row>
    <row r="42" spans="1:213" ht="31.2">
      <c r="A42" s="113">
        <v>1.8</v>
      </c>
      <c r="B42" s="109" t="s">
        <v>5</v>
      </c>
      <c r="C42" s="110" t="s">
        <v>73</v>
      </c>
      <c r="D42" s="110"/>
      <c r="E42" s="109" t="s">
        <v>63</v>
      </c>
      <c r="F42" s="109">
        <v>4</v>
      </c>
      <c r="G42" s="109" t="s">
        <v>58</v>
      </c>
      <c r="H42" s="308">
        <v>794.61778884356636</v>
      </c>
      <c r="I42" s="129">
        <v>0</v>
      </c>
      <c r="J42" s="129">
        <v>100</v>
      </c>
      <c r="K42" s="109">
        <v>1.3</v>
      </c>
      <c r="L42" s="109" t="s">
        <v>64</v>
      </c>
      <c r="M42" s="352">
        <v>42200</v>
      </c>
      <c r="N42" s="353" t="s">
        <v>58</v>
      </c>
      <c r="O42" s="109" t="s">
        <v>65</v>
      </c>
      <c r="P42" s="109" t="s">
        <v>58</v>
      </c>
      <c r="Q42" s="467" t="s">
        <v>66</v>
      </c>
      <c r="R42" s="13"/>
      <c r="S42" s="13"/>
      <c r="T42" s="13"/>
    </row>
    <row r="43" spans="1:213" ht="62.4">
      <c r="A43" s="136">
        <v>1.8</v>
      </c>
      <c r="B43" s="17" t="s">
        <v>5</v>
      </c>
      <c r="C43" s="14" t="s">
        <v>203</v>
      </c>
      <c r="D43" s="14"/>
      <c r="E43" s="17" t="s">
        <v>63</v>
      </c>
      <c r="F43" s="17">
        <v>4</v>
      </c>
      <c r="G43" s="23" t="s">
        <v>218</v>
      </c>
      <c r="H43" s="303">
        <v>289.38254224717912</v>
      </c>
      <c r="I43" s="51">
        <v>0</v>
      </c>
      <c r="J43" s="51">
        <v>100</v>
      </c>
      <c r="K43" s="17">
        <v>1.3</v>
      </c>
      <c r="L43" s="17" t="s">
        <v>64</v>
      </c>
      <c r="M43" s="349">
        <v>42434</v>
      </c>
      <c r="N43" s="345">
        <v>42529</v>
      </c>
      <c r="O43" s="17" t="s">
        <v>218</v>
      </c>
      <c r="P43" s="17" t="s">
        <v>253</v>
      </c>
      <c r="Q43" s="468" t="s">
        <v>126</v>
      </c>
      <c r="R43" s="13"/>
      <c r="S43" s="13"/>
      <c r="T43" s="13"/>
    </row>
    <row r="44" spans="1:213" ht="31.5" customHeight="1">
      <c r="A44" s="74">
        <v>1.9</v>
      </c>
      <c r="B44" s="17" t="s">
        <v>5</v>
      </c>
      <c r="C44" s="14" t="s">
        <v>256</v>
      </c>
      <c r="D44" s="14"/>
      <c r="E44" s="17" t="s">
        <v>57</v>
      </c>
      <c r="F44" s="17">
        <v>2</v>
      </c>
      <c r="G44" s="17" t="s">
        <v>300</v>
      </c>
      <c r="H44" s="310">
        <v>4627.9975923080992</v>
      </c>
      <c r="I44" s="132">
        <v>88</v>
      </c>
      <c r="J44" s="132">
        <v>12</v>
      </c>
      <c r="K44" s="17" t="s">
        <v>20</v>
      </c>
      <c r="L44" s="17" t="s">
        <v>67</v>
      </c>
      <c r="M44" s="344">
        <v>42762</v>
      </c>
      <c r="N44" s="344">
        <v>42818</v>
      </c>
      <c r="O44" s="17"/>
      <c r="P44" s="17" t="s">
        <v>58</v>
      </c>
      <c r="Q44" s="468" t="s">
        <v>61</v>
      </c>
      <c r="R44" s="13"/>
      <c r="S44" s="13"/>
      <c r="T44" s="13"/>
    </row>
    <row r="45" spans="1:213" s="178" customFormat="1" ht="42.6" customHeight="1">
      <c r="A45" s="112">
        <v>1.1000000000000001</v>
      </c>
      <c r="B45" s="109" t="s">
        <v>5</v>
      </c>
      <c r="C45" s="110" t="s">
        <v>257</v>
      </c>
      <c r="D45" s="110"/>
      <c r="E45" s="109" t="s">
        <v>57</v>
      </c>
      <c r="F45" s="109">
        <v>2</v>
      </c>
      <c r="G45" s="109" t="s">
        <v>58</v>
      </c>
      <c r="H45" s="308">
        <v>2139.6437463580019</v>
      </c>
      <c r="I45" s="129">
        <v>5</v>
      </c>
      <c r="J45" s="129">
        <v>95</v>
      </c>
      <c r="K45" s="109" t="s">
        <v>242</v>
      </c>
      <c r="L45" s="109" t="s">
        <v>67</v>
      </c>
      <c r="M45" s="353">
        <v>42957</v>
      </c>
      <c r="N45" s="353">
        <v>43012</v>
      </c>
      <c r="O45" s="109"/>
      <c r="P45" s="109" t="s">
        <v>58</v>
      </c>
      <c r="Q45" s="467" t="s">
        <v>66</v>
      </c>
      <c r="R45" s="177"/>
      <c r="S45" s="177"/>
      <c r="T45" s="177"/>
    </row>
    <row r="46" spans="1:213" s="178" customFormat="1" ht="42" customHeight="1">
      <c r="A46" s="113">
        <v>1.1100000000000001</v>
      </c>
      <c r="B46" s="109" t="s">
        <v>5</v>
      </c>
      <c r="C46" s="110" t="s">
        <v>258</v>
      </c>
      <c r="D46" s="110"/>
      <c r="E46" s="109" t="s">
        <v>57</v>
      </c>
      <c r="F46" s="109">
        <v>2</v>
      </c>
      <c r="G46" s="109" t="s">
        <v>58</v>
      </c>
      <c r="H46" s="308">
        <v>1612.5286247814804</v>
      </c>
      <c r="I46" s="119">
        <v>13</v>
      </c>
      <c r="J46" s="119">
        <v>87</v>
      </c>
      <c r="K46" s="109" t="s">
        <v>240</v>
      </c>
      <c r="L46" s="109" t="s">
        <v>67</v>
      </c>
      <c r="M46" s="353">
        <v>42933</v>
      </c>
      <c r="N46" s="353">
        <v>42979</v>
      </c>
      <c r="O46" s="109"/>
      <c r="P46" s="109" t="s">
        <v>58</v>
      </c>
      <c r="Q46" s="467" t="s">
        <v>66</v>
      </c>
      <c r="R46" s="177"/>
      <c r="S46" s="177"/>
      <c r="T46" s="177"/>
    </row>
    <row r="47" spans="1:213" s="178" customFormat="1" ht="31.5" customHeight="1">
      <c r="A47" s="113">
        <v>1.1200000000000001</v>
      </c>
      <c r="B47" s="109" t="s">
        <v>5</v>
      </c>
      <c r="C47" s="110" t="s">
        <v>255</v>
      </c>
      <c r="D47" s="110"/>
      <c r="E47" s="109" t="s">
        <v>57</v>
      </c>
      <c r="F47" s="109">
        <v>1</v>
      </c>
      <c r="G47" s="109" t="s">
        <v>58</v>
      </c>
      <c r="H47" s="308">
        <v>2389.1508184563222</v>
      </c>
      <c r="I47" s="129">
        <v>10</v>
      </c>
      <c r="J47" s="129">
        <v>90</v>
      </c>
      <c r="K47" s="109" t="s">
        <v>241</v>
      </c>
      <c r="L47" s="109" t="s">
        <v>67</v>
      </c>
      <c r="M47" s="353">
        <v>42987</v>
      </c>
      <c r="N47" s="353">
        <v>43042</v>
      </c>
      <c r="O47" s="109"/>
      <c r="P47" s="109" t="s">
        <v>58</v>
      </c>
      <c r="Q47" s="467" t="s">
        <v>66</v>
      </c>
      <c r="R47" s="177"/>
      <c r="S47" s="177"/>
      <c r="T47" s="177"/>
    </row>
    <row r="48" spans="1:213" ht="31.5" customHeight="1">
      <c r="A48" s="74">
        <v>1.1299999999999999</v>
      </c>
      <c r="B48" s="17" t="s">
        <v>5</v>
      </c>
      <c r="C48" s="14" t="s">
        <v>74</v>
      </c>
      <c r="D48" s="14"/>
      <c r="E48" s="17" t="s">
        <v>57</v>
      </c>
      <c r="F48" s="17">
        <v>1</v>
      </c>
      <c r="G48" s="23" t="s">
        <v>302</v>
      </c>
      <c r="H48" s="310">
        <v>606.31221592414056</v>
      </c>
      <c r="I48" s="132">
        <v>82.5</v>
      </c>
      <c r="J48" s="132">
        <v>17.5</v>
      </c>
      <c r="K48" s="17" t="s">
        <v>20</v>
      </c>
      <c r="L48" s="17" t="s">
        <v>67</v>
      </c>
      <c r="M48" s="344">
        <v>43006</v>
      </c>
      <c r="N48" s="344">
        <v>43091</v>
      </c>
      <c r="O48" s="17"/>
      <c r="P48" s="23" t="s">
        <v>58</v>
      </c>
      <c r="Q48" s="468" t="s">
        <v>61</v>
      </c>
      <c r="R48" s="13"/>
      <c r="S48" s="13"/>
      <c r="T48" s="13"/>
    </row>
    <row r="49" spans="1:20" ht="210.75" customHeight="1">
      <c r="A49" s="74">
        <v>1.1399999999999999</v>
      </c>
      <c r="B49" s="17" t="s">
        <v>5</v>
      </c>
      <c r="C49" s="14" t="s">
        <v>75</v>
      </c>
      <c r="D49" s="14" t="s">
        <v>270</v>
      </c>
      <c r="E49" s="17" t="s">
        <v>63</v>
      </c>
      <c r="F49" s="17">
        <v>1</v>
      </c>
      <c r="G49" s="17" t="s">
        <v>219</v>
      </c>
      <c r="H49" s="303">
        <v>1341.7558139534885</v>
      </c>
      <c r="I49" s="51">
        <v>0</v>
      </c>
      <c r="J49" s="51">
        <v>100</v>
      </c>
      <c r="K49" s="17" t="s">
        <v>27</v>
      </c>
      <c r="L49" s="17" t="s">
        <v>64</v>
      </c>
      <c r="M49" s="345">
        <v>42389</v>
      </c>
      <c r="N49" s="345">
        <v>42431</v>
      </c>
      <c r="O49" s="17" t="s">
        <v>220</v>
      </c>
      <c r="P49" s="17" t="s">
        <v>58</v>
      </c>
      <c r="Q49" s="462" t="s">
        <v>126</v>
      </c>
      <c r="R49" s="13"/>
      <c r="S49" s="13"/>
      <c r="T49" s="13"/>
    </row>
    <row r="50" spans="1:20" ht="30.75" customHeight="1">
      <c r="A50" s="124">
        <v>1.1499999999999999</v>
      </c>
      <c r="B50" s="17" t="s">
        <v>5</v>
      </c>
      <c r="C50" s="14" t="s">
        <v>199</v>
      </c>
      <c r="D50" s="125"/>
      <c r="E50" s="17" t="s">
        <v>57</v>
      </c>
      <c r="F50" s="17">
        <v>1</v>
      </c>
      <c r="G50" s="23" t="s">
        <v>298</v>
      </c>
      <c r="H50" s="311">
        <v>1326.9630502728189</v>
      </c>
      <c r="I50" s="122">
        <v>100</v>
      </c>
      <c r="J50" s="122">
        <v>0</v>
      </c>
      <c r="K50" s="52" t="s">
        <v>25</v>
      </c>
      <c r="L50" s="17" t="s">
        <v>67</v>
      </c>
      <c r="M50" s="354">
        <v>42957</v>
      </c>
      <c r="N50" s="354">
        <v>42996</v>
      </c>
      <c r="O50" s="23"/>
      <c r="P50" s="23" t="s">
        <v>58</v>
      </c>
      <c r="Q50" s="462" t="s">
        <v>61</v>
      </c>
      <c r="R50" s="13"/>
      <c r="S50" s="13"/>
      <c r="T50" s="13"/>
    </row>
    <row r="51" spans="1:20" ht="30" customHeight="1">
      <c r="A51" s="124">
        <v>1.1599999999999999</v>
      </c>
      <c r="B51" s="17" t="s">
        <v>5</v>
      </c>
      <c r="C51" s="14" t="s">
        <v>200</v>
      </c>
      <c r="D51" s="125"/>
      <c r="E51" s="17" t="s">
        <v>57</v>
      </c>
      <c r="F51" s="17">
        <v>1</v>
      </c>
      <c r="G51" s="23" t="s">
        <v>299</v>
      </c>
      <c r="H51" s="311">
        <v>1392.4038538962759</v>
      </c>
      <c r="I51" s="122">
        <v>80.149000000000001</v>
      </c>
      <c r="J51" s="122">
        <v>19.850999999999999</v>
      </c>
      <c r="K51" s="52" t="s">
        <v>25</v>
      </c>
      <c r="L51" s="17" t="s">
        <v>67</v>
      </c>
      <c r="M51" s="354">
        <v>42877</v>
      </c>
      <c r="N51" s="354">
        <v>42915</v>
      </c>
      <c r="O51" s="23"/>
      <c r="P51" s="23" t="s">
        <v>58</v>
      </c>
      <c r="Q51" s="468" t="s">
        <v>61</v>
      </c>
      <c r="R51" s="13"/>
      <c r="S51" s="13"/>
      <c r="T51" s="13"/>
    </row>
    <row r="52" spans="1:20" ht="34.5" customHeight="1">
      <c r="A52" s="124">
        <v>1.17</v>
      </c>
      <c r="B52" s="17" t="s">
        <v>5</v>
      </c>
      <c r="C52" s="14" t="s">
        <v>201</v>
      </c>
      <c r="D52" s="125"/>
      <c r="E52" s="17" t="s">
        <v>57</v>
      </c>
      <c r="F52" s="17">
        <v>1</v>
      </c>
      <c r="G52" s="23" t="s">
        <v>301</v>
      </c>
      <c r="H52" s="311">
        <v>1128.0157705143827</v>
      </c>
      <c r="I52" s="122">
        <v>80</v>
      </c>
      <c r="J52" s="122">
        <v>20</v>
      </c>
      <c r="K52" s="52" t="s">
        <v>25</v>
      </c>
      <c r="L52" s="17" t="s">
        <v>67</v>
      </c>
      <c r="M52" s="354">
        <v>43007</v>
      </c>
      <c r="N52" s="354">
        <v>43091</v>
      </c>
      <c r="O52" s="23"/>
      <c r="P52" s="23" t="s">
        <v>58</v>
      </c>
      <c r="Q52" s="468" t="s">
        <v>61</v>
      </c>
      <c r="R52" s="13"/>
      <c r="S52" s="13"/>
      <c r="T52" s="13"/>
    </row>
    <row r="53" spans="1:20" ht="31.2">
      <c r="A53" s="136">
        <v>1.18</v>
      </c>
      <c r="B53" s="17" t="s">
        <v>5</v>
      </c>
      <c r="C53" s="14" t="s">
        <v>204</v>
      </c>
      <c r="D53" s="14"/>
      <c r="E53" s="17" t="s">
        <v>63</v>
      </c>
      <c r="F53" s="17">
        <v>1</v>
      </c>
      <c r="G53" s="23" t="s">
        <v>58</v>
      </c>
      <c r="H53" s="310">
        <v>394.77473380304076</v>
      </c>
      <c r="I53" s="51">
        <v>0</v>
      </c>
      <c r="J53" s="122">
        <v>100</v>
      </c>
      <c r="K53" s="17">
        <v>1.3</v>
      </c>
      <c r="L53" s="17" t="s">
        <v>64</v>
      </c>
      <c r="M53" s="354">
        <v>43255</v>
      </c>
      <c r="N53" s="354">
        <v>43296</v>
      </c>
      <c r="O53" s="17" t="s">
        <v>65</v>
      </c>
      <c r="P53" s="17" t="s">
        <v>58</v>
      </c>
      <c r="Q53" s="468" t="s">
        <v>96</v>
      </c>
      <c r="R53" s="13"/>
      <c r="S53" s="13"/>
      <c r="T53" s="13"/>
    </row>
    <row r="54" spans="1:20" ht="31.2">
      <c r="A54" s="113">
        <v>1.19</v>
      </c>
      <c r="B54" s="109" t="s">
        <v>5</v>
      </c>
      <c r="C54" s="110" t="s">
        <v>231</v>
      </c>
      <c r="D54" s="110"/>
      <c r="E54" s="109" t="s">
        <v>57</v>
      </c>
      <c r="F54" s="109">
        <v>1</v>
      </c>
      <c r="G54" s="109" t="s">
        <v>58</v>
      </c>
      <c r="H54" s="308">
        <v>91.38104571701011</v>
      </c>
      <c r="I54" s="119">
        <v>5</v>
      </c>
      <c r="J54" s="119">
        <v>95</v>
      </c>
      <c r="K54" s="109" t="s">
        <v>20</v>
      </c>
      <c r="L54" s="109" t="s">
        <v>67</v>
      </c>
      <c r="M54" s="356" t="s">
        <v>149</v>
      </c>
      <c r="N54" s="356" t="s">
        <v>149</v>
      </c>
      <c r="O54" s="109"/>
      <c r="P54" s="109" t="s">
        <v>58</v>
      </c>
      <c r="Q54" s="467" t="s">
        <v>66</v>
      </c>
      <c r="R54" s="13"/>
      <c r="S54" s="13"/>
      <c r="T54" s="13"/>
    </row>
    <row r="55" spans="1:20" s="287" customFormat="1" ht="49.5" customHeight="1">
      <c r="A55" s="289" t="s">
        <v>285</v>
      </c>
      <c r="B55" s="290"/>
      <c r="C55" s="291" t="s">
        <v>283</v>
      </c>
      <c r="D55" s="292" t="s">
        <v>321</v>
      </c>
      <c r="E55" s="290" t="s">
        <v>57</v>
      </c>
      <c r="F55" s="294">
        <v>1</v>
      </c>
      <c r="G55" s="290" t="s">
        <v>322</v>
      </c>
      <c r="H55" s="314">
        <v>937.25840440748004</v>
      </c>
      <c r="I55" s="290">
        <v>80</v>
      </c>
      <c r="J55" s="290">
        <v>20</v>
      </c>
      <c r="K55" s="297" t="s">
        <v>287</v>
      </c>
      <c r="L55" s="290" t="s">
        <v>67</v>
      </c>
      <c r="M55" s="354">
        <v>43232</v>
      </c>
      <c r="N55" s="354">
        <v>43297</v>
      </c>
      <c r="O55" s="290"/>
      <c r="P55" s="294" t="s">
        <v>58</v>
      </c>
      <c r="Q55" s="461" t="s">
        <v>96</v>
      </c>
      <c r="R55" s="288"/>
      <c r="S55" s="288"/>
      <c r="T55" s="288"/>
    </row>
    <row r="56" spans="1:20" s="287" customFormat="1" ht="47.25" customHeight="1">
      <c r="A56" s="298">
        <v>1.21</v>
      </c>
      <c r="B56" s="290" t="s">
        <v>5</v>
      </c>
      <c r="C56" s="292" t="s">
        <v>314</v>
      </c>
      <c r="D56" s="292"/>
      <c r="E56" s="290" t="s">
        <v>57</v>
      </c>
      <c r="F56" s="290">
        <v>1</v>
      </c>
      <c r="G56" s="290" t="s">
        <v>58</v>
      </c>
      <c r="H56" s="309">
        <v>927.05408698416068</v>
      </c>
      <c r="I56" s="299">
        <v>95</v>
      </c>
      <c r="J56" s="299">
        <v>5</v>
      </c>
      <c r="K56" s="290" t="s">
        <v>22</v>
      </c>
      <c r="L56" s="290" t="s">
        <v>296</v>
      </c>
      <c r="M56" s="357">
        <v>43301</v>
      </c>
      <c r="N56" s="357">
        <v>43369</v>
      </c>
      <c r="O56" s="290"/>
      <c r="P56" s="290" t="s">
        <v>58</v>
      </c>
      <c r="Q56" s="464" t="s">
        <v>66</v>
      </c>
      <c r="R56" s="288"/>
      <c r="S56" s="288"/>
      <c r="T56" s="288"/>
    </row>
    <row r="57" spans="1:20" s="287" customFormat="1" ht="45.75" customHeight="1">
      <c r="A57" s="298">
        <v>1.22</v>
      </c>
      <c r="B57" s="290" t="s">
        <v>5</v>
      </c>
      <c r="C57" s="292" t="s">
        <v>330</v>
      </c>
      <c r="D57" s="292"/>
      <c r="E57" s="290" t="s">
        <v>57</v>
      </c>
      <c r="F57" s="290">
        <v>1</v>
      </c>
      <c r="G57" s="290" t="s">
        <v>58</v>
      </c>
      <c r="H57" s="309">
        <v>158.92355776871324</v>
      </c>
      <c r="I57" s="299">
        <v>50</v>
      </c>
      <c r="J57" s="299">
        <v>50</v>
      </c>
      <c r="K57" s="290" t="s">
        <v>22</v>
      </c>
      <c r="L57" s="290" t="s">
        <v>59</v>
      </c>
      <c r="M57" s="357">
        <v>43313</v>
      </c>
      <c r="N57" s="357">
        <v>43358</v>
      </c>
      <c r="O57" s="290"/>
      <c r="P57" s="290" t="s">
        <v>58</v>
      </c>
      <c r="Q57" s="464" t="s">
        <v>66</v>
      </c>
      <c r="R57" s="288"/>
      <c r="S57" s="288"/>
      <c r="T57" s="288"/>
    </row>
    <row r="58" spans="1:20" s="287" customFormat="1" ht="45.75" customHeight="1" thickBot="1">
      <c r="A58" s="296">
        <v>1.23</v>
      </c>
      <c r="B58" s="293" t="s">
        <v>5</v>
      </c>
      <c r="C58" s="300" t="s">
        <v>331</v>
      </c>
      <c r="D58" s="295"/>
      <c r="E58" s="293" t="s">
        <v>57</v>
      </c>
      <c r="F58" s="293">
        <v>1</v>
      </c>
      <c r="G58" s="293" t="s">
        <v>58</v>
      </c>
      <c r="H58" s="307">
        <v>900.56682735604181</v>
      </c>
      <c r="I58" s="301">
        <v>50</v>
      </c>
      <c r="J58" s="301">
        <v>50</v>
      </c>
      <c r="K58" s="293" t="s">
        <v>168</v>
      </c>
      <c r="L58" s="293" t="s">
        <v>67</v>
      </c>
      <c r="M58" s="358">
        <v>43286</v>
      </c>
      <c r="N58" s="358">
        <v>43342</v>
      </c>
      <c r="O58" s="293"/>
      <c r="P58" s="293" t="s">
        <v>58</v>
      </c>
      <c r="Q58" s="465" t="s">
        <v>66</v>
      </c>
      <c r="R58" s="288"/>
      <c r="S58" s="288"/>
      <c r="T58" s="288"/>
    </row>
    <row r="59" spans="1:20">
      <c r="D59" s="24"/>
      <c r="E59" s="24"/>
      <c r="F59" s="24"/>
      <c r="G59" s="37" t="s">
        <v>76</v>
      </c>
      <c r="H59" s="50">
        <f>SUM(H17:H58)-H32-H40-H42-H45-H46-H47-H54</f>
        <v>39499.016191661824</v>
      </c>
      <c r="I59" s="26"/>
      <c r="J59" s="26"/>
      <c r="K59" s="24"/>
      <c r="L59" s="24"/>
      <c r="M59" s="24"/>
      <c r="N59" s="24"/>
      <c r="O59" s="24"/>
      <c r="P59" s="24"/>
      <c r="Q59" s="24"/>
      <c r="R59" s="13"/>
      <c r="S59" s="13"/>
      <c r="T59" s="13"/>
    </row>
    <row r="60" spans="1:20" ht="16.2" thickBot="1">
      <c r="D60" s="24"/>
      <c r="E60" s="24"/>
      <c r="F60" s="24"/>
      <c r="G60" s="24"/>
      <c r="H60" s="40"/>
      <c r="I60" s="26"/>
      <c r="J60" s="26"/>
      <c r="K60" s="24"/>
      <c r="L60" s="24"/>
      <c r="M60" s="24"/>
      <c r="N60" s="24"/>
      <c r="O60" s="24"/>
      <c r="P60" s="24"/>
      <c r="Q60" s="24"/>
      <c r="R60" s="13"/>
      <c r="S60" s="13"/>
      <c r="T60" s="13"/>
    </row>
    <row r="61" spans="1:20" ht="39.9" customHeight="1" thickBot="1">
      <c r="A61" s="63">
        <v>2</v>
      </c>
      <c r="B61" s="549" t="s">
        <v>77</v>
      </c>
      <c r="C61" s="550"/>
      <c r="D61" s="550"/>
      <c r="E61" s="550"/>
      <c r="F61" s="550"/>
      <c r="G61" s="550"/>
      <c r="H61" s="550"/>
      <c r="I61" s="550"/>
      <c r="J61" s="550"/>
      <c r="K61" s="550"/>
      <c r="L61" s="550"/>
      <c r="M61" s="550"/>
      <c r="N61" s="550"/>
      <c r="O61" s="550"/>
      <c r="P61" s="550"/>
      <c r="Q61" s="551"/>
      <c r="R61" s="13"/>
      <c r="S61" s="13"/>
      <c r="T61" s="13"/>
    </row>
    <row r="62" spans="1:20" ht="15" customHeight="1">
      <c r="A62" s="64"/>
      <c r="B62" s="534" t="s">
        <v>78</v>
      </c>
      <c r="C62" s="529" t="s">
        <v>3</v>
      </c>
      <c r="D62" s="535" t="s">
        <v>41</v>
      </c>
      <c r="E62" s="529" t="s">
        <v>42</v>
      </c>
      <c r="F62" s="529" t="s">
        <v>43</v>
      </c>
      <c r="G62" s="529" t="s">
        <v>44</v>
      </c>
      <c r="H62" s="536" t="s">
        <v>79</v>
      </c>
      <c r="I62" s="536"/>
      <c r="J62" s="536"/>
      <c r="K62" s="529" t="s">
        <v>46</v>
      </c>
      <c r="L62" s="529" t="s">
        <v>80</v>
      </c>
      <c r="M62" s="529" t="s">
        <v>0</v>
      </c>
      <c r="N62" s="529"/>
      <c r="O62" s="530" t="s">
        <v>81</v>
      </c>
      <c r="P62" s="529" t="s">
        <v>50</v>
      </c>
      <c r="Q62" s="531" t="s">
        <v>17</v>
      </c>
      <c r="R62" s="13"/>
      <c r="S62" s="13"/>
      <c r="T62" s="13"/>
    </row>
    <row r="63" spans="1:20" ht="63.6" customHeight="1" thickBot="1">
      <c r="A63" s="65"/>
      <c r="B63" s="511"/>
      <c r="C63" s="500"/>
      <c r="D63" s="533"/>
      <c r="E63" s="500"/>
      <c r="F63" s="500"/>
      <c r="G63" s="500"/>
      <c r="H63" s="61" t="s">
        <v>82</v>
      </c>
      <c r="I63" s="62" t="s">
        <v>52</v>
      </c>
      <c r="J63" s="62" t="s">
        <v>53</v>
      </c>
      <c r="K63" s="500"/>
      <c r="L63" s="500"/>
      <c r="M63" s="362" t="s">
        <v>54</v>
      </c>
      <c r="N63" s="362" t="s">
        <v>55</v>
      </c>
      <c r="O63" s="506"/>
      <c r="P63" s="500"/>
      <c r="Q63" s="502"/>
      <c r="R63" s="13"/>
      <c r="S63" s="13"/>
      <c r="T63" s="13"/>
    </row>
    <row r="64" spans="1:20" s="217" customFormat="1" ht="41.25" customHeight="1">
      <c r="A64" s="163">
        <v>2.1</v>
      </c>
      <c r="B64" s="59" t="s">
        <v>5</v>
      </c>
      <c r="C64" s="21" t="s">
        <v>7</v>
      </c>
      <c r="D64" s="21"/>
      <c r="E64" s="59" t="s">
        <v>68</v>
      </c>
      <c r="F64" s="59">
        <v>1</v>
      </c>
      <c r="G64" s="216" t="s">
        <v>305</v>
      </c>
      <c r="H64" s="135">
        <f>SUM((16229785.76)/E$7)/1000</f>
        <v>4298.8254913386663</v>
      </c>
      <c r="I64" s="77">
        <v>30</v>
      </c>
      <c r="J64" s="77">
        <v>70</v>
      </c>
      <c r="K64" s="78" t="s">
        <v>28</v>
      </c>
      <c r="L64" s="59" t="s">
        <v>59</v>
      </c>
      <c r="M64" s="363">
        <v>42461</v>
      </c>
      <c r="N64" s="360">
        <v>42593</v>
      </c>
      <c r="O64" s="59"/>
      <c r="P64" s="59" t="s">
        <v>254</v>
      </c>
      <c r="Q64" s="80" t="s">
        <v>61</v>
      </c>
      <c r="R64" s="13"/>
      <c r="S64" s="13"/>
      <c r="T64" s="13"/>
    </row>
    <row r="65" spans="1:20" ht="32.4" customHeight="1">
      <c r="A65" s="109">
        <v>2.2000000000000002</v>
      </c>
      <c r="B65" s="109" t="s">
        <v>5</v>
      </c>
      <c r="C65" s="138" t="s">
        <v>4</v>
      </c>
      <c r="D65" s="109"/>
      <c r="E65" s="109" t="s">
        <v>63</v>
      </c>
      <c r="F65" s="109">
        <v>1</v>
      </c>
      <c r="G65" s="100" t="s">
        <v>58</v>
      </c>
      <c r="H65" s="114">
        <f>SUM(100000/E$7)/1000</f>
        <v>26.487259628118874</v>
      </c>
      <c r="I65" s="109">
        <v>0</v>
      </c>
      <c r="J65" s="109">
        <v>100</v>
      </c>
      <c r="K65" s="109">
        <v>3.4</v>
      </c>
      <c r="L65" s="109" t="s">
        <v>64</v>
      </c>
      <c r="M65" s="361">
        <v>42583</v>
      </c>
      <c r="N65" s="364">
        <v>42658</v>
      </c>
      <c r="O65" s="109" t="s">
        <v>9</v>
      </c>
      <c r="P65" s="109" t="s">
        <v>58</v>
      </c>
      <c r="Q65" s="109" t="s">
        <v>66</v>
      </c>
      <c r="R65" s="13"/>
      <c r="S65" s="13"/>
      <c r="T65" s="13"/>
    </row>
    <row r="66" spans="1:20" s="178" customFormat="1" ht="32.4" customHeight="1">
      <c r="A66" s="109">
        <v>2.2000000000000002</v>
      </c>
      <c r="B66" s="109" t="s">
        <v>5</v>
      </c>
      <c r="C66" s="138" t="s">
        <v>232</v>
      </c>
      <c r="D66" s="109"/>
      <c r="E66" s="109" t="s">
        <v>63</v>
      </c>
      <c r="F66" s="109">
        <v>1</v>
      </c>
      <c r="G66" s="109" t="s">
        <v>58</v>
      </c>
      <c r="H66" s="114">
        <f>SUM((80000+200000)/E$7)/1000</f>
        <v>74.164326958732858</v>
      </c>
      <c r="I66" s="109">
        <v>0</v>
      </c>
      <c r="J66" s="109">
        <v>100</v>
      </c>
      <c r="K66" s="109">
        <v>3.4</v>
      </c>
      <c r="L66" s="109" t="s">
        <v>64</v>
      </c>
      <c r="M66" s="365">
        <v>42912</v>
      </c>
      <c r="N66" s="366">
        <v>42968</v>
      </c>
      <c r="O66" s="109" t="s">
        <v>9</v>
      </c>
      <c r="P66" s="109" t="s">
        <v>58</v>
      </c>
      <c r="Q66" s="109" t="s">
        <v>66</v>
      </c>
      <c r="R66" s="177"/>
      <c r="S66" s="177"/>
      <c r="T66" s="177"/>
    </row>
    <row r="67" spans="1:20" ht="54.75" customHeight="1">
      <c r="A67" s="74">
        <v>2.2999999999999998</v>
      </c>
      <c r="B67" s="17" t="s">
        <v>5</v>
      </c>
      <c r="C67" s="14" t="s">
        <v>208</v>
      </c>
      <c r="D67" s="14"/>
      <c r="E67" s="17" t="s">
        <v>83</v>
      </c>
      <c r="F67" s="17">
        <v>1</v>
      </c>
      <c r="G67" s="17" t="s">
        <v>271</v>
      </c>
      <c r="H67" s="56">
        <f>SUM(47203.94/E$7)/1000</f>
        <v>12.503030142501458</v>
      </c>
      <c r="I67" s="22">
        <v>50</v>
      </c>
      <c r="J67" s="22">
        <v>50</v>
      </c>
      <c r="K67" s="17">
        <v>3.2</v>
      </c>
      <c r="L67" s="17" t="s">
        <v>59</v>
      </c>
      <c r="M67" s="360">
        <v>42522</v>
      </c>
      <c r="N67" s="360">
        <v>42669</v>
      </c>
      <c r="O67" s="17"/>
      <c r="P67" s="17" t="s">
        <v>261</v>
      </c>
      <c r="Q67" s="81" t="s">
        <v>126</v>
      </c>
      <c r="R67" s="13"/>
      <c r="S67" s="13"/>
      <c r="T67" s="13"/>
    </row>
    <row r="68" spans="1:20" s="178" customFormat="1" ht="36" customHeight="1">
      <c r="A68" s="113">
        <v>2.4</v>
      </c>
      <c r="B68" s="109" t="s">
        <v>5</v>
      </c>
      <c r="C68" s="110" t="s">
        <v>12</v>
      </c>
      <c r="D68" s="110"/>
      <c r="E68" s="109" t="s">
        <v>63</v>
      </c>
      <c r="F68" s="109">
        <v>1</v>
      </c>
      <c r="G68" s="109" t="s">
        <v>58</v>
      </c>
      <c r="H68" s="114">
        <f>SUM(450000/E$7)/1000</f>
        <v>119.19266832653494</v>
      </c>
      <c r="I68" s="119">
        <v>0</v>
      </c>
      <c r="J68" s="119">
        <v>100</v>
      </c>
      <c r="K68" s="109" t="s">
        <v>29</v>
      </c>
      <c r="L68" s="109" t="s">
        <v>64</v>
      </c>
      <c r="M68" s="367">
        <v>43165</v>
      </c>
      <c r="N68" s="366">
        <v>43220</v>
      </c>
      <c r="O68" s="109" t="s">
        <v>9</v>
      </c>
      <c r="P68" s="109" t="s">
        <v>58</v>
      </c>
      <c r="Q68" s="117" t="s">
        <v>66</v>
      </c>
      <c r="R68" s="177"/>
      <c r="S68" s="177"/>
      <c r="T68" s="177"/>
    </row>
    <row r="69" spans="1:20" ht="41.25" customHeight="1">
      <c r="A69" s="113">
        <v>2.5</v>
      </c>
      <c r="B69" s="210" t="s">
        <v>5</v>
      </c>
      <c r="C69" s="110" t="s">
        <v>6</v>
      </c>
      <c r="D69" s="110"/>
      <c r="E69" s="100" t="s">
        <v>57</v>
      </c>
      <c r="F69" s="210">
        <v>1</v>
      </c>
      <c r="G69" s="210" t="s">
        <v>58</v>
      </c>
      <c r="H69" s="114">
        <f>SUM(1200000/E$7)/1000</f>
        <v>317.84711553742648</v>
      </c>
      <c r="I69" s="119">
        <v>95</v>
      </c>
      <c r="J69" s="119">
        <v>5</v>
      </c>
      <c r="K69" s="210">
        <v>3.1</v>
      </c>
      <c r="L69" s="210" t="s">
        <v>67</v>
      </c>
      <c r="M69" s="366">
        <v>43175</v>
      </c>
      <c r="N69" s="366">
        <v>43202</v>
      </c>
      <c r="O69" s="210"/>
      <c r="P69" s="210" t="s">
        <v>58</v>
      </c>
      <c r="Q69" s="117" t="s">
        <v>66</v>
      </c>
      <c r="R69" s="13"/>
      <c r="S69" s="13"/>
      <c r="T69" s="13"/>
    </row>
    <row r="70" spans="1:20" ht="31.5" customHeight="1">
      <c r="A70" s="74">
        <v>2.6</v>
      </c>
      <c r="B70" s="17" t="s">
        <v>5</v>
      </c>
      <c r="C70" s="14" t="s">
        <v>84</v>
      </c>
      <c r="D70" s="14"/>
      <c r="E70" s="207" t="s">
        <v>57</v>
      </c>
      <c r="F70" s="17">
        <v>1</v>
      </c>
      <c r="G70" s="23" t="s">
        <v>58</v>
      </c>
      <c r="H70" s="120">
        <f>SUM((900000)/E$7)/1000</f>
        <v>238.38533665306988</v>
      </c>
      <c r="I70" s="22">
        <v>0</v>
      </c>
      <c r="J70" s="22">
        <v>100</v>
      </c>
      <c r="K70" s="17" t="s">
        <v>30</v>
      </c>
      <c r="L70" s="17" t="s">
        <v>64</v>
      </c>
      <c r="M70" s="359">
        <v>43287</v>
      </c>
      <c r="N70" s="359">
        <v>43341</v>
      </c>
      <c r="O70" s="17"/>
      <c r="P70" s="23" t="s">
        <v>58</v>
      </c>
      <c r="Q70" s="81" t="s">
        <v>66</v>
      </c>
      <c r="R70" s="13"/>
      <c r="S70" s="13"/>
      <c r="T70" s="13"/>
    </row>
    <row r="71" spans="1:20" s="178" customFormat="1" ht="33" customHeight="1">
      <c r="A71" s="151">
        <v>2.7</v>
      </c>
      <c r="B71" s="109" t="s">
        <v>5</v>
      </c>
      <c r="C71" s="110" t="s">
        <v>13</v>
      </c>
      <c r="D71" s="110"/>
      <c r="E71" s="109" t="s">
        <v>63</v>
      </c>
      <c r="F71" s="109">
        <v>1</v>
      </c>
      <c r="G71" s="109" t="s">
        <v>58</v>
      </c>
      <c r="H71" s="114">
        <f>SUM(450000/E$7)/1000</f>
        <v>119.19266832653494</v>
      </c>
      <c r="I71" s="119">
        <v>0</v>
      </c>
      <c r="J71" s="119">
        <v>100</v>
      </c>
      <c r="K71" s="109" t="s">
        <v>31</v>
      </c>
      <c r="L71" s="109" t="s">
        <v>64</v>
      </c>
      <c r="M71" s="365">
        <v>43202</v>
      </c>
      <c r="N71" s="366">
        <v>43257</v>
      </c>
      <c r="O71" s="109" t="s">
        <v>9</v>
      </c>
      <c r="P71" s="109" t="s">
        <v>58</v>
      </c>
      <c r="Q71" s="117" t="s">
        <v>66</v>
      </c>
      <c r="R71" s="177"/>
      <c r="S71" s="177"/>
      <c r="T71" s="177"/>
    </row>
    <row r="72" spans="1:20" ht="33" customHeight="1">
      <c r="A72" s="75">
        <v>2.8</v>
      </c>
      <c r="B72" s="17" t="s">
        <v>5</v>
      </c>
      <c r="C72" s="14" t="s">
        <v>14</v>
      </c>
      <c r="D72" s="14"/>
      <c r="E72" s="207" t="s">
        <v>57</v>
      </c>
      <c r="F72" s="17">
        <v>1</v>
      </c>
      <c r="G72" s="23" t="s">
        <v>58</v>
      </c>
      <c r="H72" s="120">
        <f>SUM(700000/E$7)/1000</f>
        <v>185.41081739683213</v>
      </c>
      <c r="I72" s="22">
        <v>0</v>
      </c>
      <c r="J72" s="22">
        <v>100</v>
      </c>
      <c r="K72" s="17" t="s">
        <v>32</v>
      </c>
      <c r="L72" s="17" t="s">
        <v>64</v>
      </c>
      <c r="M72" s="359">
        <v>43287</v>
      </c>
      <c r="N72" s="359">
        <v>43341</v>
      </c>
      <c r="O72" s="17"/>
      <c r="P72" s="23" t="s">
        <v>58</v>
      </c>
      <c r="Q72" s="81" t="s">
        <v>66</v>
      </c>
      <c r="R72" s="13"/>
      <c r="S72" s="13"/>
      <c r="T72" s="13"/>
    </row>
    <row r="73" spans="1:20" ht="31.2">
      <c r="A73" s="137">
        <v>2.9</v>
      </c>
      <c r="B73" s="17" t="s">
        <v>5</v>
      </c>
      <c r="C73" s="14" t="s">
        <v>206</v>
      </c>
      <c r="D73" s="14"/>
      <c r="E73" s="17" t="s">
        <v>63</v>
      </c>
      <c r="F73" s="17">
        <v>1</v>
      </c>
      <c r="G73" s="17" t="s">
        <v>246</v>
      </c>
      <c r="H73" s="16">
        <f>SUM(32999/E$7)/1000</f>
        <v>8.7405308046829493</v>
      </c>
      <c r="I73" s="54">
        <v>0</v>
      </c>
      <c r="J73" s="54">
        <v>100</v>
      </c>
      <c r="K73" s="17">
        <v>3.2</v>
      </c>
      <c r="L73" s="17" t="s">
        <v>64</v>
      </c>
      <c r="M73" s="360">
        <v>42656</v>
      </c>
      <c r="N73" s="360">
        <v>42711</v>
      </c>
      <c r="O73" s="17" t="s">
        <v>245</v>
      </c>
      <c r="P73" s="17"/>
      <c r="Q73" s="81" t="s">
        <v>126</v>
      </c>
      <c r="R73" s="13"/>
      <c r="S73" s="13"/>
      <c r="T73" s="13"/>
    </row>
    <row r="74" spans="1:20">
      <c r="A74" s="20"/>
      <c r="B74" s="24"/>
      <c r="C74" s="24"/>
      <c r="D74" s="24"/>
      <c r="E74" s="24"/>
      <c r="F74" s="24"/>
      <c r="G74" s="37" t="s">
        <v>76</v>
      </c>
      <c r="H74" s="50">
        <f>SUM(H64:H73)-H65-H66-H68-H69-H71</f>
        <v>4743.8652063357531</v>
      </c>
      <c r="I74" s="26"/>
      <c r="J74" s="26"/>
      <c r="K74" s="24"/>
      <c r="L74" s="24"/>
      <c r="M74" s="24"/>
      <c r="N74" s="24"/>
      <c r="O74" s="24"/>
      <c r="P74" s="24"/>
      <c r="Q74" s="24"/>
      <c r="R74" s="13"/>
      <c r="S74" s="13"/>
      <c r="T74" s="13"/>
    </row>
    <row r="75" spans="1:20" ht="16.2" thickBot="1">
      <c r="A75" s="20"/>
    </row>
    <row r="76" spans="1:20" ht="15.75" customHeight="1">
      <c r="A76" s="69">
        <v>3</v>
      </c>
      <c r="B76" s="507" t="s">
        <v>85</v>
      </c>
      <c r="C76" s="508"/>
      <c r="D76" s="508"/>
      <c r="E76" s="508"/>
      <c r="F76" s="508"/>
      <c r="G76" s="508"/>
      <c r="H76" s="508"/>
      <c r="I76" s="508"/>
      <c r="J76" s="508"/>
      <c r="K76" s="508"/>
      <c r="L76" s="508"/>
      <c r="M76" s="508"/>
      <c r="N76" s="508"/>
      <c r="O76" s="508"/>
      <c r="P76" s="508"/>
      <c r="Q76" s="509"/>
    </row>
    <row r="77" spans="1:20" ht="15" customHeight="1">
      <c r="A77" s="70"/>
      <c r="B77" s="510" t="s">
        <v>78</v>
      </c>
      <c r="C77" s="497" t="s">
        <v>3</v>
      </c>
      <c r="D77" s="532" t="s">
        <v>41</v>
      </c>
      <c r="E77" s="497" t="s">
        <v>42</v>
      </c>
      <c r="F77" s="497" t="s">
        <v>43</v>
      </c>
      <c r="G77" s="497" t="s">
        <v>44</v>
      </c>
      <c r="H77" s="512" t="s">
        <v>79</v>
      </c>
      <c r="I77" s="512"/>
      <c r="J77" s="512"/>
      <c r="K77" s="497" t="s">
        <v>46</v>
      </c>
      <c r="L77" s="497" t="s">
        <v>80</v>
      </c>
      <c r="M77" s="497" t="s">
        <v>0</v>
      </c>
      <c r="N77" s="497"/>
      <c r="O77" s="505" t="s">
        <v>81</v>
      </c>
      <c r="P77" s="497" t="s">
        <v>50</v>
      </c>
      <c r="Q77" s="501" t="s">
        <v>17</v>
      </c>
    </row>
    <row r="78" spans="1:20" ht="47.4" customHeight="1" thickBot="1">
      <c r="A78" s="79"/>
      <c r="B78" s="511"/>
      <c r="C78" s="500"/>
      <c r="D78" s="533"/>
      <c r="E78" s="500"/>
      <c r="F78" s="500"/>
      <c r="G78" s="500"/>
      <c r="H78" s="61" t="s">
        <v>82</v>
      </c>
      <c r="I78" s="62" t="s">
        <v>52</v>
      </c>
      <c r="J78" s="62" t="s">
        <v>53</v>
      </c>
      <c r="K78" s="500"/>
      <c r="L78" s="500"/>
      <c r="M78" s="387" t="s">
        <v>54</v>
      </c>
      <c r="N78" s="387" t="s">
        <v>55</v>
      </c>
      <c r="O78" s="506"/>
      <c r="P78" s="500"/>
      <c r="Q78" s="502"/>
    </row>
    <row r="79" spans="1:20" ht="34.5" customHeight="1">
      <c r="A79" s="99">
        <v>3.1</v>
      </c>
      <c r="B79" s="100" t="s">
        <v>5</v>
      </c>
      <c r="C79" s="102" t="s">
        <v>86</v>
      </c>
      <c r="D79" s="102"/>
      <c r="E79" s="100" t="s">
        <v>57</v>
      </c>
      <c r="F79" s="100">
        <v>1</v>
      </c>
      <c r="G79" s="100" t="s">
        <v>58</v>
      </c>
      <c r="H79" s="103">
        <f>SUM(4868779.83/E$7)/1000</f>
        <v>1289.6063542935849</v>
      </c>
      <c r="I79" s="213">
        <v>60</v>
      </c>
      <c r="J79" s="213">
        <v>40</v>
      </c>
      <c r="K79" s="206">
        <v>3.1</v>
      </c>
      <c r="L79" s="100" t="s">
        <v>67</v>
      </c>
      <c r="M79" s="396">
        <v>43161</v>
      </c>
      <c r="N79" s="396">
        <v>43217</v>
      </c>
      <c r="O79" s="100"/>
      <c r="P79" s="100" t="s">
        <v>58</v>
      </c>
      <c r="Q79" s="106" t="s">
        <v>66</v>
      </c>
    </row>
    <row r="80" spans="1:20" ht="32.4" customHeight="1">
      <c r="A80" s="146">
        <v>3.2</v>
      </c>
      <c r="B80" s="17" t="s">
        <v>5</v>
      </c>
      <c r="C80" s="14" t="s">
        <v>205</v>
      </c>
      <c r="D80" s="14"/>
      <c r="E80" s="17" t="s">
        <v>57</v>
      </c>
      <c r="F80" s="17">
        <v>1</v>
      </c>
      <c r="G80" s="17" t="s">
        <v>152</v>
      </c>
      <c r="H80" s="53">
        <f>SUM(198875/E$7)/1000</f>
        <v>52.676537585421414</v>
      </c>
      <c r="I80" s="54">
        <v>50</v>
      </c>
      <c r="J80" s="54">
        <v>50</v>
      </c>
      <c r="K80" s="55">
        <v>3.2</v>
      </c>
      <c r="L80" s="17" t="s">
        <v>67</v>
      </c>
      <c r="M80" s="392">
        <v>41789</v>
      </c>
      <c r="N80" s="388">
        <v>41857</v>
      </c>
      <c r="O80" s="17" t="s">
        <v>149</v>
      </c>
      <c r="P80" s="17" t="s">
        <v>153</v>
      </c>
      <c r="Q80" s="17" t="s">
        <v>126</v>
      </c>
    </row>
    <row r="81" spans="1:19" ht="37.950000000000003" customHeight="1">
      <c r="A81" s="147">
        <v>3.3</v>
      </c>
      <c r="B81" s="147" t="s">
        <v>5</v>
      </c>
      <c r="C81" s="110" t="s">
        <v>87</v>
      </c>
      <c r="D81" s="147"/>
      <c r="E81" s="147" t="s">
        <v>63</v>
      </c>
      <c r="F81" s="147">
        <v>1</v>
      </c>
      <c r="G81" s="147" t="s">
        <v>58</v>
      </c>
      <c r="H81" s="114">
        <f>SUM(100000/$E$7)/1000</f>
        <v>26.487259628118874</v>
      </c>
      <c r="I81" s="147">
        <v>0</v>
      </c>
      <c r="J81" s="147">
        <v>100</v>
      </c>
      <c r="K81" s="147">
        <v>3.4</v>
      </c>
      <c r="L81" s="147" t="s">
        <v>67</v>
      </c>
      <c r="M81" s="391">
        <v>42583</v>
      </c>
      <c r="N81" s="391">
        <v>42644</v>
      </c>
      <c r="O81" s="147"/>
      <c r="P81" s="147" t="s">
        <v>58</v>
      </c>
      <c r="Q81" s="147" t="s">
        <v>66</v>
      </c>
      <c r="S81" s="108"/>
    </row>
    <row r="82" spans="1:19" ht="42" hidden="1" customHeight="1">
      <c r="A82" s="124">
        <v>3.3</v>
      </c>
      <c r="B82" s="141" t="s">
        <v>5</v>
      </c>
      <c r="C82" s="125" t="s">
        <v>221</v>
      </c>
      <c r="D82" s="139"/>
      <c r="E82" s="139"/>
      <c r="F82" s="139"/>
      <c r="G82" s="139"/>
      <c r="H82" s="139"/>
      <c r="I82" s="139"/>
      <c r="J82" s="139"/>
      <c r="K82" s="139"/>
      <c r="L82" s="139"/>
      <c r="M82" s="393"/>
      <c r="N82" s="393"/>
      <c r="O82" s="139"/>
      <c r="P82" s="139"/>
      <c r="Q82" s="140"/>
      <c r="S82" s="108"/>
    </row>
    <row r="83" spans="1:19" ht="33" customHeight="1">
      <c r="A83" s="113">
        <v>3.4</v>
      </c>
      <c r="B83" s="109" t="s">
        <v>5</v>
      </c>
      <c r="C83" s="110" t="s">
        <v>89</v>
      </c>
      <c r="D83" s="110"/>
      <c r="E83" s="109" t="s">
        <v>57</v>
      </c>
      <c r="F83" s="109">
        <v>1</v>
      </c>
      <c r="G83" s="109" t="s">
        <v>58</v>
      </c>
      <c r="H83" s="114">
        <f>SUM(1420000/E$7)/1000</f>
        <v>376.11908671928802</v>
      </c>
      <c r="I83" s="115">
        <v>50</v>
      </c>
      <c r="J83" s="115">
        <v>50</v>
      </c>
      <c r="K83" s="109">
        <v>3.2</v>
      </c>
      <c r="L83" s="109" t="s">
        <v>67</v>
      </c>
      <c r="M83" s="390" t="s">
        <v>88</v>
      </c>
      <c r="N83" s="389" t="s">
        <v>58</v>
      </c>
      <c r="O83" s="109"/>
      <c r="P83" s="109" t="s">
        <v>58</v>
      </c>
      <c r="Q83" s="117" t="s">
        <v>123</v>
      </c>
    </row>
    <row r="84" spans="1:19" ht="49.5" customHeight="1">
      <c r="A84" s="113">
        <v>3.5</v>
      </c>
      <c r="B84" s="109" t="s">
        <v>5</v>
      </c>
      <c r="C84" s="110" t="s">
        <v>90</v>
      </c>
      <c r="D84" s="110"/>
      <c r="E84" s="109" t="s">
        <v>63</v>
      </c>
      <c r="F84" s="109">
        <v>1</v>
      </c>
      <c r="G84" s="109" t="s">
        <v>58</v>
      </c>
      <c r="H84" s="114">
        <f>SUM(200000/E$7)/1000</f>
        <v>52.974519256237748</v>
      </c>
      <c r="I84" s="119">
        <v>0</v>
      </c>
      <c r="J84" s="119">
        <v>100</v>
      </c>
      <c r="K84" s="109">
        <v>3.2</v>
      </c>
      <c r="L84" s="109" t="s">
        <v>64</v>
      </c>
      <c r="M84" s="391" t="s">
        <v>91</v>
      </c>
      <c r="N84" s="389" t="s">
        <v>58</v>
      </c>
      <c r="O84" s="109" t="s">
        <v>65</v>
      </c>
      <c r="P84" s="109" t="s">
        <v>58</v>
      </c>
      <c r="Q84" s="117" t="s">
        <v>66</v>
      </c>
      <c r="S84" s="108"/>
    </row>
    <row r="85" spans="1:19" s="178" customFormat="1" ht="69" customHeight="1">
      <c r="A85" s="113">
        <v>3.6</v>
      </c>
      <c r="B85" s="109" t="s">
        <v>5</v>
      </c>
      <c r="C85" s="110" t="s">
        <v>186</v>
      </c>
      <c r="D85" s="110"/>
      <c r="E85" s="109" t="s">
        <v>57</v>
      </c>
      <c r="F85" s="109">
        <v>1</v>
      </c>
      <c r="G85" s="109" t="s">
        <v>58</v>
      </c>
      <c r="H85" s="114">
        <f>SUM(1420000/E$7)/1000</f>
        <v>376.11908671928802</v>
      </c>
      <c r="I85" s="115">
        <v>62</v>
      </c>
      <c r="J85" s="115">
        <v>38</v>
      </c>
      <c r="K85" s="109">
        <v>3.2</v>
      </c>
      <c r="L85" s="109" t="s">
        <v>67</v>
      </c>
      <c r="M85" s="394">
        <v>43081</v>
      </c>
      <c r="N85" s="394">
        <v>43137</v>
      </c>
      <c r="O85" s="109"/>
      <c r="P85" s="109" t="s">
        <v>58</v>
      </c>
      <c r="Q85" s="117" t="s">
        <v>66</v>
      </c>
    </row>
    <row r="86" spans="1:19" s="178" customFormat="1" ht="33.75" customHeight="1" thickBot="1">
      <c r="A86" s="197">
        <v>3.7</v>
      </c>
      <c r="B86" s="193" t="s">
        <v>5</v>
      </c>
      <c r="C86" s="198" t="s">
        <v>187</v>
      </c>
      <c r="D86" s="198"/>
      <c r="E86" s="193" t="s">
        <v>63</v>
      </c>
      <c r="F86" s="193">
        <v>1</v>
      </c>
      <c r="G86" s="193" t="s">
        <v>58</v>
      </c>
      <c r="H86" s="199">
        <f>SUM(130000/E$7)/1000</f>
        <v>34.433437516554534</v>
      </c>
      <c r="I86" s="200">
        <v>0</v>
      </c>
      <c r="J86" s="200">
        <v>100</v>
      </c>
      <c r="K86" s="193">
        <v>3.2</v>
      </c>
      <c r="L86" s="193" t="s">
        <v>64</v>
      </c>
      <c r="M86" s="395">
        <v>43081</v>
      </c>
      <c r="N86" s="395">
        <v>43137</v>
      </c>
      <c r="O86" s="193" t="s">
        <v>65</v>
      </c>
      <c r="P86" s="193"/>
      <c r="Q86" s="196" t="s">
        <v>66</v>
      </c>
    </row>
    <row r="87" spans="1:19">
      <c r="A87" s="20"/>
      <c r="B87" s="24"/>
      <c r="C87" s="24"/>
      <c r="D87" s="24"/>
      <c r="E87" s="24"/>
      <c r="F87" s="24"/>
      <c r="G87" s="37" t="s">
        <v>76</v>
      </c>
      <c r="H87" s="50">
        <f>SUM(H79:H86)-H79-H81-H83-H84-H85-H86</f>
        <v>52.676537585421272</v>
      </c>
      <c r="I87" s="26"/>
      <c r="J87" s="26"/>
      <c r="K87" s="24"/>
      <c r="L87" s="24"/>
      <c r="M87" s="24"/>
      <c r="N87" s="24"/>
      <c r="O87" s="24"/>
      <c r="P87" s="24"/>
      <c r="Q87" s="24"/>
    </row>
    <row r="88" spans="1:19" ht="16.2" thickBot="1">
      <c r="A88" s="20"/>
    </row>
    <row r="89" spans="1:19" ht="15.75" customHeight="1">
      <c r="A89" s="71">
        <v>4</v>
      </c>
      <c r="B89" s="507" t="s">
        <v>92</v>
      </c>
      <c r="C89" s="508"/>
      <c r="D89" s="508"/>
      <c r="E89" s="508"/>
      <c r="F89" s="508"/>
      <c r="G89" s="508"/>
      <c r="H89" s="508"/>
      <c r="I89" s="508"/>
      <c r="J89" s="508"/>
      <c r="K89" s="508"/>
      <c r="L89" s="508"/>
      <c r="M89" s="508"/>
      <c r="N89" s="508"/>
      <c r="O89" s="508"/>
      <c r="P89" s="508"/>
      <c r="Q89" s="509"/>
    </row>
    <row r="90" spans="1:19" ht="35.25" customHeight="1">
      <c r="A90" s="64"/>
      <c r="B90" s="510" t="s">
        <v>78</v>
      </c>
      <c r="C90" s="497" t="s">
        <v>3</v>
      </c>
      <c r="D90" s="497" t="s">
        <v>41</v>
      </c>
      <c r="E90" s="497" t="s">
        <v>42</v>
      </c>
      <c r="F90" s="526"/>
      <c r="G90" s="526"/>
      <c r="H90" s="505" t="s">
        <v>79</v>
      </c>
      <c r="I90" s="527"/>
      <c r="J90" s="528"/>
      <c r="K90" s="497" t="s">
        <v>46</v>
      </c>
      <c r="L90" s="497" t="s">
        <v>80</v>
      </c>
      <c r="M90" s="497" t="s">
        <v>0</v>
      </c>
      <c r="N90" s="497"/>
      <c r="O90" s="505" t="s">
        <v>81</v>
      </c>
      <c r="P90" s="497" t="s">
        <v>50</v>
      </c>
      <c r="Q90" s="501" t="s">
        <v>17</v>
      </c>
    </row>
    <row r="91" spans="1:19" ht="75.75" customHeight="1" thickBot="1">
      <c r="A91" s="65"/>
      <c r="B91" s="511"/>
      <c r="C91" s="500"/>
      <c r="D91" s="500"/>
      <c r="E91" s="500"/>
      <c r="F91" s="500" t="s">
        <v>44</v>
      </c>
      <c r="G91" s="500"/>
      <c r="H91" s="60" t="s">
        <v>82</v>
      </c>
      <c r="I91" s="61" t="s">
        <v>52</v>
      </c>
      <c r="J91" s="62" t="s">
        <v>53</v>
      </c>
      <c r="K91" s="500"/>
      <c r="L91" s="500"/>
      <c r="M91" s="399" t="s">
        <v>93</v>
      </c>
      <c r="N91" s="399" t="s">
        <v>55</v>
      </c>
      <c r="O91" s="506"/>
      <c r="P91" s="500"/>
      <c r="Q91" s="502"/>
    </row>
    <row r="92" spans="1:19" ht="48.75" customHeight="1">
      <c r="A92" s="99">
        <v>4.0999999999999996</v>
      </c>
      <c r="B92" s="100" t="s">
        <v>5</v>
      </c>
      <c r="C92" s="101" t="s">
        <v>94</v>
      </c>
      <c r="D92" s="102"/>
      <c r="E92" s="100" t="s">
        <v>95</v>
      </c>
      <c r="F92" s="519" t="s">
        <v>154</v>
      </c>
      <c r="G92" s="520"/>
      <c r="H92" s="103">
        <f>SUM(9290368.77/E$7)/1000</f>
        <v>2460.7640965195742</v>
      </c>
      <c r="I92" s="104">
        <v>12</v>
      </c>
      <c r="J92" s="104">
        <v>88</v>
      </c>
      <c r="K92" s="105">
        <v>4.2</v>
      </c>
      <c r="L92" s="100" t="s">
        <v>59</v>
      </c>
      <c r="M92" s="402" t="s">
        <v>60</v>
      </c>
      <c r="N92" s="401" t="s">
        <v>149</v>
      </c>
      <c r="O92" s="100" t="s">
        <v>149</v>
      </c>
      <c r="P92" s="100" t="s">
        <v>149</v>
      </c>
      <c r="Q92" s="106" t="s">
        <v>123</v>
      </c>
    </row>
    <row r="93" spans="1:19" ht="36" customHeight="1">
      <c r="A93" s="74">
        <v>4.2</v>
      </c>
      <c r="B93" s="17" t="s">
        <v>5</v>
      </c>
      <c r="C93" s="68" t="s">
        <v>97</v>
      </c>
      <c r="D93" s="14"/>
      <c r="E93" s="17" t="s">
        <v>63</v>
      </c>
      <c r="F93" s="471" t="s">
        <v>155</v>
      </c>
      <c r="G93" s="472"/>
      <c r="H93" s="53">
        <f>SUM(169000/E$7)/1000</f>
        <v>44.763468771520898</v>
      </c>
      <c r="I93" s="51">
        <v>0</v>
      </c>
      <c r="J93" s="51">
        <v>100</v>
      </c>
      <c r="K93" s="52">
        <v>3.1</v>
      </c>
      <c r="L93" s="17" t="s">
        <v>64</v>
      </c>
      <c r="M93" s="397">
        <v>41957</v>
      </c>
      <c r="N93" s="400">
        <v>42011</v>
      </c>
      <c r="O93" s="17" t="s">
        <v>10</v>
      </c>
      <c r="P93" s="23" t="s">
        <v>58</v>
      </c>
      <c r="Q93" s="81" t="s">
        <v>126</v>
      </c>
    </row>
    <row r="94" spans="1:19" ht="31.2">
      <c r="A94" s="124">
        <v>4.3</v>
      </c>
      <c r="B94" s="23" t="s">
        <v>5</v>
      </c>
      <c r="C94" s="209" t="s">
        <v>303</v>
      </c>
      <c r="D94" s="125"/>
      <c r="E94" s="23" t="s">
        <v>63</v>
      </c>
      <c r="F94" s="521" t="s">
        <v>156</v>
      </c>
      <c r="G94" s="522"/>
      <c r="H94" s="121">
        <f>SUM(257800/E$7)/1000</f>
        <v>68.284155321290456</v>
      </c>
      <c r="I94" s="122">
        <v>0</v>
      </c>
      <c r="J94" s="122">
        <v>100</v>
      </c>
      <c r="K94" s="126">
        <v>4.0999999999999996</v>
      </c>
      <c r="L94" s="23" t="s">
        <v>64</v>
      </c>
      <c r="M94" s="398">
        <v>41225</v>
      </c>
      <c r="N94" s="404">
        <v>41227</v>
      </c>
      <c r="O94" s="23" t="s">
        <v>11</v>
      </c>
      <c r="P94" s="23" t="s">
        <v>58</v>
      </c>
      <c r="Q94" s="127" t="s">
        <v>126</v>
      </c>
    </row>
    <row r="95" spans="1:19" ht="31.2">
      <c r="A95" s="95">
        <v>4.4000000000000004</v>
      </c>
      <c r="B95" s="208" t="s">
        <v>5</v>
      </c>
      <c r="C95" s="94" t="s">
        <v>304</v>
      </c>
      <c r="D95" s="14"/>
      <c r="E95" s="219" t="s">
        <v>63</v>
      </c>
      <c r="F95" s="523" t="s">
        <v>58</v>
      </c>
      <c r="G95" s="524"/>
      <c r="H95" s="118">
        <f>SUM(200000/E$7)/1000</f>
        <v>52.974519256237748</v>
      </c>
      <c r="I95" s="97">
        <v>0</v>
      </c>
      <c r="J95" s="97">
        <v>100</v>
      </c>
      <c r="K95" s="208">
        <v>4.0999999999999996</v>
      </c>
      <c r="L95" s="208" t="s">
        <v>64</v>
      </c>
      <c r="M95" s="403">
        <v>43362</v>
      </c>
      <c r="N95" s="403">
        <v>43392</v>
      </c>
      <c r="O95" s="208" t="s">
        <v>11</v>
      </c>
      <c r="P95" s="208"/>
      <c r="Q95" s="208" t="s">
        <v>66</v>
      </c>
    </row>
    <row r="96" spans="1:19" s="178" customFormat="1" ht="31.2" hidden="1">
      <c r="A96" s="147">
        <v>4.4000000000000004</v>
      </c>
      <c r="B96" s="109" t="s">
        <v>5</v>
      </c>
      <c r="C96" s="110" t="s">
        <v>188</v>
      </c>
      <c r="D96" s="110"/>
      <c r="E96" s="109" t="s">
        <v>95</v>
      </c>
      <c r="F96" s="525" t="s">
        <v>222</v>
      </c>
      <c r="G96" s="525"/>
      <c r="H96" s="128">
        <f>SUM(5128850.07/E$7)/1000</f>
        <v>1358.4918339778567</v>
      </c>
      <c r="I96" s="129">
        <v>18</v>
      </c>
      <c r="J96" s="129">
        <v>82</v>
      </c>
      <c r="K96" s="175">
        <v>4.2</v>
      </c>
      <c r="L96" s="109" t="s">
        <v>59</v>
      </c>
      <c r="M96" s="116">
        <v>42360</v>
      </c>
      <c r="N96" s="179">
        <v>42909</v>
      </c>
      <c r="O96" s="109"/>
      <c r="P96" s="109"/>
      <c r="Q96" s="109" t="s">
        <v>96</v>
      </c>
    </row>
    <row r="97" spans="1:17" s="178" customFormat="1" ht="40.5" hidden="1" customHeight="1">
      <c r="A97" s="113">
        <v>4.5</v>
      </c>
      <c r="B97" s="109" t="s">
        <v>5</v>
      </c>
      <c r="C97" s="110" t="s">
        <v>234</v>
      </c>
      <c r="D97" s="110"/>
      <c r="E97" s="109" t="s">
        <v>98</v>
      </c>
      <c r="F97" s="515" t="s">
        <v>272</v>
      </c>
      <c r="G97" s="516"/>
      <c r="H97" s="128">
        <f>SUM(344883.34/E$7)/1000</f>
        <v>91.350145679927977</v>
      </c>
      <c r="I97" s="129">
        <v>24.3</v>
      </c>
      <c r="J97" s="129">
        <v>75.7</v>
      </c>
      <c r="K97" s="175" t="s">
        <v>237</v>
      </c>
      <c r="L97" s="109" t="s">
        <v>59</v>
      </c>
      <c r="M97" s="131">
        <v>42653</v>
      </c>
      <c r="N97" s="179">
        <v>42892</v>
      </c>
      <c r="O97" s="109"/>
      <c r="P97" s="109" t="s">
        <v>58</v>
      </c>
      <c r="Q97" s="117" t="s">
        <v>96</v>
      </c>
    </row>
    <row r="98" spans="1:17" s="178" customFormat="1" ht="42" hidden="1" customHeight="1">
      <c r="A98" s="113">
        <v>4.5999999999999996</v>
      </c>
      <c r="B98" s="109" t="s">
        <v>5</v>
      </c>
      <c r="C98" s="110" t="s">
        <v>235</v>
      </c>
      <c r="D98" s="110"/>
      <c r="E98" s="109" t="s">
        <v>98</v>
      </c>
      <c r="F98" s="515" t="s">
        <v>273</v>
      </c>
      <c r="G98" s="516"/>
      <c r="H98" s="128">
        <f>SUM(280066.03/E$7)/1000</f>
        <v>74.181816496265313</v>
      </c>
      <c r="I98" s="129">
        <v>100</v>
      </c>
      <c r="J98" s="129">
        <v>0</v>
      </c>
      <c r="K98" s="175" t="s">
        <v>238</v>
      </c>
      <c r="L98" s="109" t="s">
        <v>59</v>
      </c>
      <c r="M98" s="131">
        <v>42653</v>
      </c>
      <c r="N98" s="179">
        <v>42892</v>
      </c>
      <c r="O98" s="109"/>
      <c r="P98" s="109" t="s">
        <v>58</v>
      </c>
      <c r="Q98" s="117" t="s">
        <v>96</v>
      </c>
    </row>
    <row r="99" spans="1:17" s="178" customFormat="1" ht="42" hidden="1" customHeight="1" thickBot="1">
      <c r="A99" s="172">
        <v>4.7</v>
      </c>
      <c r="B99" s="173" t="s">
        <v>5</v>
      </c>
      <c r="C99" s="174" t="s">
        <v>236</v>
      </c>
      <c r="D99" s="174"/>
      <c r="E99" s="173" t="s">
        <v>98</v>
      </c>
      <c r="F99" s="517" t="s">
        <v>8</v>
      </c>
      <c r="G99" s="518"/>
      <c r="H99" s="180">
        <f>SUM(120000/E$7)/1000</f>
        <v>31.78471155374265</v>
      </c>
      <c r="I99" s="181">
        <v>100</v>
      </c>
      <c r="J99" s="181">
        <v>0</v>
      </c>
      <c r="K99" s="182" t="s">
        <v>239</v>
      </c>
      <c r="L99" s="173" t="s">
        <v>59</v>
      </c>
      <c r="M99" s="183">
        <v>42653</v>
      </c>
      <c r="N99" s="184">
        <v>42893</v>
      </c>
      <c r="O99" s="173"/>
      <c r="P99" s="193" t="s">
        <v>58</v>
      </c>
      <c r="Q99" s="176" t="s">
        <v>66</v>
      </c>
    </row>
    <row r="100" spans="1:17">
      <c r="A100" s="20"/>
      <c r="B100" s="24"/>
      <c r="C100" s="24"/>
      <c r="D100" s="24"/>
      <c r="E100" s="24"/>
      <c r="F100" s="24"/>
      <c r="G100" s="37" t="s">
        <v>76</v>
      </c>
      <c r="H100" s="50">
        <f>SUM(H92:H95)-H92</f>
        <v>166.0221433490492</v>
      </c>
      <c r="I100" s="25"/>
      <c r="J100" s="26"/>
      <c r="K100" s="26"/>
      <c r="L100" s="24"/>
      <c r="M100" s="24"/>
      <c r="N100" s="24"/>
      <c r="O100" s="24"/>
      <c r="P100" s="24"/>
      <c r="Q100" s="24"/>
    </row>
    <row r="101" spans="1:17" ht="15.75" customHeight="1" thickBot="1">
      <c r="A101" s="20"/>
    </row>
    <row r="102" spans="1:17" ht="15" customHeight="1">
      <c r="A102" s="71">
        <v>5</v>
      </c>
      <c r="B102" s="507" t="s">
        <v>99</v>
      </c>
      <c r="C102" s="508"/>
      <c r="D102" s="508"/>
      <c r="E102" s="508"/>
      <c r="F102" s="508"/>
      <c r="G102" s="508"/>
      <c r="H102" s="508"/>
      <c r="I102" s="508"/>
      <c r="J102" s="508"/>
      <c r="K102" s="508"/>
      <c r="L102" s="508"/>
      <c r="M102" s="508"/>
      <c r="N102" s="508"/>
      <c r="O102" s="508"/>
      <c r="P102" s="508"/>
      <c r="Q102" s="509"/>
    </row>
    <row r="103" spans="1:17">
      <c r="A103" s="64"/>
      <c r="B103" s="510" t="s">
        <v>78</v>
      </c>
      <c r="C103" s="497" t="s">
        <v>3</v>
      </c>
      <c r="D103" s="497" t="s">
        <v>41</v>
      </c>
      <c r="E103" s="497" t="s">
        <v>42</v>
      </c>
      <c r="F103" s="497" t="s">
        <v>44</v>
      </c>
      <c r="G103" s="512" t="s">
        <v>79</v>
      </c>
      <c r="H103" s="512"/>
      <c r="I103" s="512"/>
      <c r="J103" s="495" t="s">
        <v>100</v>
      </c>
      <c r="K103" s="497" t="s">
        <v>46</v>
      </c>
      <c r="L103" s="497" t="s">
        <v>80</v>
      </c>
      <c r="M103" s="497" t="s">
        <v>0</v>
      </c>
      <c r="N103" s="497"/>
      <c r="O103" s="505" t="s">
        <v>81</v>
      </c>
      <c r="P103" s="497" t="s">
        <v>50</v>
      </c>
      <c r="Q103" s="501" t="s">
        <v>17</v>
      </c>
    </row>
    <row r="104" spans="1:17" ht="75.75" customHeight="1" thickBot="1">
      <c r="A104" s="65"/>
      <c r="B104" s="511"/>
      <c r="C104" s="500"/>
      <c r="D104" s="500"/>
      <c r="E104" s="500"/>
      <c r="F104" s="500"/>
      <c r="G104" s="60" t="s">
        <v>82</v>
      </c>
      <c r="H104" s="194" t="s">
        <v>52</v>
      </c>
      <c r="I104" s="195" t="s">
        <v>53</v>
      </c>
      <c r="J104" s="496"/>
      <c r="K104" s="500"/>
      <c r="L104" s="500"/>
      <c r="M104" s="421" t="s">
        <v>101</v>
      </c>
      <c r="N104" s="421" t="s">
        <v>102</v>
      </c>
      <c r="O104" s="506"/>
      <c r="P104" s="500"/>
      <c r="Q104" s="502"/>
    </row>
    <row r="105" spans="1:17" ht="63.6" customHeight="1">
      <c r="A105" s="113">
        <v>5.0999999999999996</v>
      </c>
      <c r="B105" s="109" t="s">
        <v>5</v>
      </c>
      <c r="C105" s="154" t="s">
        <v>103</v>
      </c>
      <c r="D105" s="110"/>
      <c r="E105" s="109" t="s">
        <v>104</v>
      </c>
      <c r="F105" s="109" t="s">
        <v>243</v>
      </c>
      <c r="G105" s="103">
        <f>SUM((SUM(88000)/E$7)/1000)</f>
        <v>23.30878847274461</v>
      </c>
      <c r="H105" s="115" t="s">
        <v>18</v>
      </c>
      <c r="I105" s="147" t="s">
        <v>19</v>
      </c>
      <c r="J105" s="109">
        <v>1</v>
      </c>
      <c r="K105" s="154">
        <v>3.3</v>
      </c>
      <c r="L105" s="110" t="s">
        <v>67</v>
      </c>
      <c r="M105" s="423">
        <v>0</v>
      </c>
      <c r="N105" s="423">
        <v>0</v>
      </c>
      <c r="O105" s="103" t="s">
        <v>149</v>
      </c>
      <c r="P105" s="115" t="s">
        <v>58</v>
      </c>
      <c r="Q105" s="113" t="s">
        <v>123</v>
      </c>
    </row>
    <row r="106" spans="1:17" ht="153.6" customHeight="1">
      <c r="A106" s="136">
        <v>5.2</v>
      </c>
      <c r="B106" s="17" t="s">
        <v>5</v>
      </c>
      <c r="C106" s="68" t="s">
        <v>183</v>
      </c>
      <c r="D106" s="14" t="s">
        <v>192</v>
      </c>
      <c r="E106" s="17" t="s">
        <v>104</v>
      </c>
      <c r="F106" s="17" t="s">
        <v>274</v>
      </c>
      <c r="G106" s="76">
        <f>SUM((53600+10720)/$E$7)/1000</f>
        <v>17.036605392806059</v>
      </c>
      <c r="H106" s="51">
        <v>83.34</v>
      </c>
      <c r="I106" s="51">
        <v>16.66</v>
      </c>
      <c r="J106" s="17">
        <v>1</v>
      </c>
      <c r="K106" s="52">
        <v>4.2</v>
      </c>
      <c r="L106" s="17" t="s">
        <v>59</v>
      </c>
      <c r="M106" s="419">
        <v>42251</v>
      </c>
      <c r="N106" s="422">
        <v>42314</v>
      </c>
      <c r="O106" s="17"/>
      <c r="P106" s="17" t="s">
        <v>193</v>
      </c>
      <c r="Q106" s="81" t="s">
        <v>126</v>
      </c>
    </row>
    <row r="107" spans="1:17" ht="57" customHeight="1">
      <c r="A107" s="113">
        <v>5.3</v>
      </c>
      <c r="B107" s="109" t="s">
        <v>5</v>
      </c>
      <c r="C107" s="154" t="s">
        <v>184</v>
      </c>
      <c r="D107" s="110"/>
      <c r="E107" s="109" t="s">
        <v>104</v>
      </c>
      <c r="F107" s="109">
        <v>2</v>
      </c>
      <c r="G107" s="103">
        <f>SUM(61640/$E$7)/1000</f>
        <v>16.326746834772475</v>
      </c>
      <c r="H107" s="115">
        <v>100</v>
      </c>
      <c r="I107" s="115"/>
      <c r="J107" s="109"/>
      <c r="K107" s="147">
        <v>4.2</v>
      </c>
      <c r="L107" s="109" t="s">
        <v>59</v>
      </c>
      <c r="M107" s="420">
        <v>42237</v>
      </c>
      <c r="N107" s="422">
        <v>42430</v>
      </c>
      <c r="O107" s="109"/>
      <c r="P107" s="100"/>
      <c r="Q107" s="117" t="s">
        <v>123</v>
      </c>
    </row>
    <row r="108" spans="1:17" ht="93.75" customHeight="1">
      <c r="A108" s="136">
        <v>5.4</v>
      </c>
      <c r="B108" s="17" t="s">
        <v>5</v>
      </c>
      <c r="C108" s="68" t="s">
        <v>185</v>
      </c>
      <c r="D108" s="14" t="s">
        <v>244</v>
      </c>
      <c r="E108" s="17" t="s">
        <v>104</v>
      </c>
      <c r="F108" s="17" t="s">
        <v>275</v>
      </c>
      <c r="G108" s="53">
        <f>SUM((58960+121272-7037.02+34638.98)/$E$7)/1000</f>
        <v>55.049520580600735</v>
      </c>
      <c r="H108" s="51">
        <v>34.04</v>
      </c>
      <c r="I108" s="51">
        <v>65.959999999999994</v>
      </c>
      <c r="J108" s="17">
        <v>1</v>
      </c>
      <c r="K108" s="145">
        <v>4.2</v>
      </c>
      <c r="L108" s="17" t="s">
        <v>59</v>
      </c>
      <c r="M108" s="419">
        <v>42251</v>
      </c>
      <c r="N108" s="419">
        <v>42320</v>
      </c>
      <c r="O108" s="17"/>
      <c r="P108" s="17" t="s">
        <v>191</v>
      </c>
      <c r="Q108" s="81" t="s">
        <v>126</v>
      </c>
    </row>
    <row r="109" spans="1:17" ht="18.75" customHeight="1" thickBot="1">
      <c r="A109" s="107">
        <v>5.5</v>
      </c>
      <c r="B109" s="193" t="s">
        <v>5</v>
      </c>
      <c r="C109" s="214" t="s">
        <v>183</v>
      </c>
      <c r="D109" s="198"/>
      <c r="E109" s="193" t="s">
        <v>104</v>
      </c>
      <c r="F109" s="193"/>
      <c r="G109" s="180">
        <f>(SUM((500000/3)/$E$7)/1000)*3</f>
        <v>132.43629814059437</v>
      </c>
      <c r="H109" s="200">
        <v>12.987</v>
      </c>
      <c r="I109" s="200">
        <v>87.013000000000005</v>
      </c>
      <c r="J109" s="193">
        <v>3</v>
      </c>
      <c r="K109" s="215">
        <v>4.2</v>
      </c>
      <c r="L109" s="193" t="s">
        <v>67</v>
      </c>
      <c r="M109" s="424">
        <v>42948</v>
      </c>
      <c r="N109" s="424">
        <v>43009</v>
      </c>
      <c r="O109" s="193"/>
      <c r="P109" s="193" t="s">
        <v>58</v>
      </c>
      <c r="Q109" s="196" t="s">
        <v>66</v>
      </c>
    </row>
    <row r="110" spans="1:17" ht="18.75" customHeight="1">
      <c r="A110" s="20"/>
      <c r="B110" s="24"/>
      <c r="C110" s="24"/>
      <c r="D110" s="24"/>
      <c r="E110" s="24"/>
      <c r="F110" s="37" t="s">
        <v>76</v>
      </c>
      <c r="G110" s="50">
        <f>SUM(G105:G109)-G105-G107-G109</f>
        <v>72.08612597340678</v>
      </c>
      <c r="I110" s="26"/>
      <c r="J110" s="26"/>
      <c r="K110" s="24"/>
      <c r="L110" s="24"/>
      <c r="M110" s="24"/>
      <c r="N110" s="24"/>
      <c r="O110" s="24"/>
      <c r="P110" s="24"/>
      <c r="Q110" s="24"/>
    </row>
    <row r="111" spans="1:17" ht="15.75" customHeight="1" thickBot="1">
      <c r="A111" s="20"/>
      <c r="G111" s="4"/>
    </row>
    <row r="112" spans="1:17" ht="15" customHeight="1">
      <c r="A112" s="72">
        <v>6</v>
      </c>
      <c r="B112" s="507" t="s">
        <v>105</v>
      </c>
      <c r="C112" s="508"/>
      <c r="D112" s="508"/>
      <c r="E112" s="508"/>
      <c r="F112" s="508"/>
      <c r="G112" s="508"/>
      <c r="H112" s="508"/>
      <c r="I112" s="508"/>
      <c r="J112" s="508"/>
      <c r="K112" s="508"/>
      <c r="L112" s="508"/>
      <c r="M112" s="508"/>
      <c r="N112" s="508"/>
      <c r="O112" s="508"/>
      <c r="P112" s="508"/>
      <c r="Q112" s="509"/>
    </row>
    <row r="113" spans="1:17" ht="86.25" customHeight="1">
      <c r="A113" s="73"/>
      <c r="B113" s="510" t="s">
        <v>78</v>
      </c>
      <c r="C113" s="497" t="s">
        <v>3</v>
      </c>
      <c r="D113" s="497" t="s">
        <v>41</v>
      </c>
      <c r="E113" s="497" t="s">
        <v>42</v>
      </c>
      <c r="F113" s="498" t="s">
        <v>44</v>
      </c>
      <c r="G113" s="513"/>
      <c r="H113" s="512" t="s">
        <v>79</v>
      </c>
      <c r="I113" s="512"/>
      <c r="J113" s="512"/>
      <c r="K113" s="497" t="s">
        <v>46</v>
      </c>
      <c r="L113" s="497" t="s">
        <v>80</v>
      </c>
      <c r="M113" s="497" t="s">
        <v>0</v>
      </c>
      <c r="N113" s="497"/>
      <c r="O113" s="505" t="s">
        <v>81</v>
      </c>
      <c r="P113" s="497" t="s">
        <v>50</v>
      </c>
      <c r="Q113" s="501" t="s">
        <v>17</v>
      </c>
    </row>
    <row r="114" spans="1:17" ht="21" customHeight="1" thickBot="1">
      <c r="A114" s="65"/>
      <c r="B114" s="511"/>
      <c r="C114" s="500"/>
      <c r="D114" s="500"/>
      <c r="E114" s="500"/>
      <c r="F114" s="499"/>
      <c r="G114" s="514"/>
      <c r="H114" s="60" t="s">
        <v>82</v>
      </c>
      <c r="I114" s="61" t="s">
        <v>52</v>
      </c>
      <c r="J114" s="62" t="s">
        <v>53</v>
      </c>
      <c r="K114" s="500"/>
      <c r="L114" s="500"/>
      <c r="M114" s="425" t="s">
        <v>106</v>
      </c>
      <c r="N114" s="425" t="s">
        <v>55</v>
      </c>
      <c r="O114" s="506"/>
      <c r="P114" s="500"/>
      <c r="Q114" s="502"/>
    </row>
    <row r="115" spans="1:17" ht="91.95" customHeight="1">
      <c r="A115" s="99">
        <v>6.1</v>
      </c>
      <c r="B115" s="100" t="s">
        <v>5</v>
      </c>
      <c r="C115" s="152" t="s">
        <v>160</v>
      </c>
      <c r="D115" s="204"/>
      <c r="E115" s="100" t="s">
        <v>107</v>
      </c>
      <c r="F115" s="111" t="s">
        <v>247</v>
      </c>
      <c r="G115" s="205"/>
      <c r="H115" s="103">
        <f>SUM(20000/E$7)/1000</f>
        <v>5.2974519256237755</v>
      </c>
      <c r="I115" s="104">
        <v>100</v>
      </c>
      <c r="J115" s="104">
        <v>0</v>
      </c>
      <c r="K115" s="206">
        <v>3.3</v>
      </c>
      <c r="L115" s="205" t="s">
        <v>67</v>
      </c>
      <c r="M115" s="436">
        <v>42621</v>
      </c>
      <c r="N115" s="437">
        <v>42890</v>
      </c>
      <c r="O115" s="205"/>
      <c r="P115" s="205"/>
      <c r="Q115" s="106" t="s">
        <v>123</v>
      </c>
    </row>
    <row r="116" spans="1:17" ht="91.95" customHeight="1">
      <c r="A116" s="92">
        <v>6.1</v>
      </c>
      <c r="B116" s="219" t="s">
        <v>5</v>
      </c>
      <c r="C116" s="93" t="s">
        <v>160</v>
      </c>
      <c r="D116" s="94"/>
      <c r="E116" s="219" t="s">
        <v>107</v>
      </c>
      <c r="F116" s="219"/>
      <c r="G116" s="153"/>
      <c r="H116" s="235">
        <f>SUM(20000/E$7)/1000</f>
        <v>5.2974519256237755</v>
      </c>
      <c r="I116" s="97">
        <v>100</v>
      </c>
      <c r="J116" s="219">
        <v>0</v>
      </c>
      <c r="K116" s="95">
        <v>3.3</v>
      </c>
      <c r="L116" s="219" t="s">
        <v>67</v>
      </c>
      <c r="M116" s="438">
        <v>43354</v>
      </c>
      <c r="N116" s="438">
        <v>43376</v>
      </c>
      <c r="O116" s="219"/>
      <c r="P116" s="219"/>
      <c r="Q116" s="96" t="s">
        <v>66</v>
      </c>
    </row>
    <row r="117" spans="1:17" ht="177" customHeight="1">
      <c r="A117" s="218">
        <v>6.2</v>
      </c>
      <c r="B117" s="59" t="s">
        <v>5</v>
      </c>
      <c r="C117" s="21" t="s">
        <v>159</v>
      </c>
      <c r="D117" s="59" t="s">
        <v>194</v>
      </c>
      <c r="E117" s="59" t="s">
        <v>107</v>
      </c>
      <c r="F117" s="156" t="s">
        <v>157</v>
      </c>
      <c r="G117" s="226"/>
      <c r="H117" s="226">
        <f>SUM(61067.78/E$7)/1000</f>
        <v>16.175181437728455</v>
      </c>
      <c r="I117" s="57">
        <v>100</v>
      </c>
      <c r="J117" s="57">
        <v>0</v>
      </c>
      <c r="K117" s="227">
        <v>3.3</v>
      </c>
      <c r="L117" s="156" t="s">
        <v>59</v>
      </c>
      <c r="M117" s="426">
        <v>42231</v>
      </c>
      <c r="N117" s="426">
        <v>42342</v>
      </c>
      <c r="O117" s="156"/>
      <c r="P117" s="156" t="s">
        <v>195</v>
      </c>
      <c r="Q117" s="80" t="s">
        <v>126</v>
      </c>
    </row>
    <row r="118" spans="1:17" ht="34.950000000000003" customHeight="1">
      <c r="A118" s="74">
        <v>6.3</v>
      </c>
      <c r="B118" s="17" t="s">
        <v>5</v>
      </c>
      <c r="C118" s="14" t="s">
        <v>158</v>
      </c>
      <c r="D118" s="228"/>
      <c r="E118" s="23" t="s">
        <v>107</v>
      </c>
      <c r="F118" s="229" t="s">
        <v>58</v>
      </c>
      <c r="G118" s="87"/>
      <c r="H118" s="162">
        <f>SUM(300000/E$7)/1000</f>
        <v>79.461778884356619</v>
      </c>
      <c r="I118" s="51">
        <v>100</v>
      </c>
      <c r="J118" s="51">
        <v>0</v>
      </c>
      <c r="K118" s="133">
        <v>3.3</v>
      </c>
      <c r="L118" s="87" t="s">
        <v>59</v>
      </c>
      <c r="M118" s="429">
        <v>43354</v>
      </c>
      <c r="N118" s="429">
        <v>43376</v>
      </c>
      <c r="O118" s="87"/>
      <c r="P118" s="87"/>
      <c r="Q118" s="88" t="s">
        <v>66</v>
      </c>
    </row>
    <row r="119" spans="1:17" ht="32.25" customHeight="1">
      <c r="A119" s="99">
        <v>6.4</v>
      </c>
      <c r="B119" s="100" t="s">
        <v>5</v>
      </c>
      <c r="C119" s="152" t="s">
        <v>108</v>
      </c>
      <c r="D119" s="158"/>
      <c r="E119" s="100" t="s">
        <v>107</v>
      </c>
      <c r="F119" s="111" t="s">
        <v>58</v>
      </c>
      <c r="G119" s="111"/>
      <c r="H119" s="159">
        <f>SUM(10000/E$7)/1000</f>
        <v>2.6487259628118878</v>
      </c>
      <c r="I119" s="115">
        <v>100</v>
      </c>
      <c r="J119" s="115">
        <v>0</v>
      </c>
      <c r="K119" s="160">
        <v>3.3</v>
      </c>
      <c r="L119" s="111" t="s">
        <v>67</v>
      </c>
      <c r="M119" s="427">
        <v>42658</v>
      </c>
      <c r="N119" s="433">
        <v>42705</v>
      </c>
      <c r="O119" s="111"/>
      <c r="P119" s="111"/>
      <c r="Q119" s="161" t="s">
        <v>66</v>
      </c>
    </row>
    <row r="120" spans="1:17" ht="84.75" hidden="1" customHeight="1">
      <c r="A120" s="142">
        <v>6.4</v>
      </c>
      <c r="B120" s="168" t="s">
        <v>5</v>
      </c>
      <c r="C120" s="192" t="s">
        <v>223</v>
      </c>
      <c r="D120" s="157"/>
      <c r="E120" s="17"/>
      <c r="F120" s="89"/>
      <c r="G120" s="87"/>
      <c r="H120" s="162"/>
      <c r="I120" s="51"/>
      <c r="J120" s="51"/>
      <c r="K120" s="133"/>
      <c r="L120" s="87"/>
      <c r="M120" s="430"/>
      <c r="N120" s="434"/>
      <c r="O120" s="87"/>
      <c r="P120" s="87"/>
      <c r="Q120" s="88"/>
    </row>
    <row r="121" spans="1:17" ht="56.25" customHeight="1">
      <c r="A121" s="113">
        <v>6.5</v>
      </c>
      <c r="B121" s="109" t="s">
        <v>5</v>
      </c>
      <c r="C121" s="110" t="s">
        <v>33</v>
      </c>
      <c r="D121" s="158"/>
      <c r="E121" s="109" t="s">
        <v>107</v>
      </c>
      <c r="F121" s="111" t="s">
        <v>248</v>
      </c>
      <c r="G121" s="111"/>
      <c r="H121" s="159">
        <f>SUM(110000/E$7)/1000</f>
        <v>29.135985590930762</v>
      </c>
      <c r="I121" s="129">
        <v>100</v>
      </c>
      <c r="J121" s="129">
        <v>0</v>
      </c>
      <c r="K121" s="160">
        <v>3.3</v>
      </c>
      <c r="L121" s="111" t="s">
        <v>67</v>
      </c>
      <c r="M121" s="433">
        <v>42612</v>
      </c>
      <c r="N121" s="437">
        <v>42953</v>
      </c>
      <c r="O121" s="111"/>
      <c r="P121" s="111"/>
      <c r="Q121" s="106" t="s">
        <v>123</v>
      </c>
    </row>
    <row r="122" spans="1:17" ht="56.25" customHeight="1">
      <c r="A122" s="136">
        <v>6.5</v>
      </c>
      <c r="B122" s="17" t="s">
        <v>5</v>
      </c>
      <c r="C122" s="68" t="s">
        <v>33</v>
      </c>
      <c r="D122" s="14"/>
      <c r="E122" s="17" t="s">
        <v>107</v>
      </c>
      <c r="F122" s="17"/>
      <c r="G122" s="53"/>
      <c r="H122" s="234">
        <f>SUM(110000/E$7)/1000</f>
        <v>29.135985590930762</v>
      </c>
      <c r="I122" s="54">
        <v>100</v>
      </c>
      <c r="J122" s="17">
        <v>0</v>
      </c>
      <c r="K122" s="52">
        <v>3.3</v>
      </c>
      <c r="L122" s="17" t="s">
        <v>67</v>
      </c>
      <c r="M122" s="429">
        <v>43354</v>
      </c>
      <c r="N122" s="429">
        <v>43376</v>
      </c>
      <c r="O122" s="17"/>
      <c r="P122" s="17"/>
      <c r="Q122" s="81" t="s">
        <v>66</v>
      </c>
    </row>
    <row r="123" spans="1:17" ht="35.25" customHeight="1">
      <c r="A123" s="230">
        <v>6.7</v>
      </c>
      <c r="B123" s="100" t="s">
        <v>5</v>
      </c>
      <c r="C123" s="152" t="s">
        <v>109</v>
      </c>
      <c r="D123" s="204"/>
      <c r="E123" s="100" t="s">
        <v>107</v>
      </c>
      <c r="F123" s="205" t="s">
        <v>58</v>
      </c>
      <c r="G123" s="205"/>
      <c r="H123" s="231">
        <f>SUM(15000/E$7)/1000</f>
        <v>3.9730889442178312</v>
      </c>
      <c r="I123" s="104">
        <v>100</v>
      </c>
      <c r="J123" s="104">
        <v>0</v>
      </c>
      <c r="K123" s="224">
        <v>3.3</v>
      </c>
      <c r="L123" s="205" t="s">
        <v>67</v>
      </c>
      <c r="M123" s="437">
        <v>42522</v>
      </c>
      <c r="N123" s="437">
        <v>42583</v>
      </c>
      <c r="O123" s="205"/>
      <c r="P123" s="205"/>
      <c r="Q123" s="232" t="s">
        <v>66</v>
      </c>
    </row>
    <row r="124" spans="1:17" ht="57.75" hidden="1" customHeight="1">
      <c r="A124" s="75"/>
      <c r="B124" s="143" t="s">
        <v>5</v>
      </c>
      <c r="C124" s="187" t="s">
        <v>224</v>
      </c>
      <c r="D124" s="157"/>
      <c r="E124" s="17"/>
      <c r="F124" s="89"/>
      <c r="G124" s="87"/>
      <c r="H124" s="162"/>
      <c r="I124" s="51"/>
      <c r="J124" s="51"/>
      <c r="K124" s="133"/>
      <c r="L124" s="87"/>
      <c r="M124" s="434"/>
      <c r="N124" s="434"/>
      <c r="O124" s="87"/>
      <c r="P124" s="87"/>
      <c r="Q124" s="88"/>
    </row>
    <row r="125" spans="1:17" ht="57.75" customHeight="1">
      <c r="A125" s="113">
        <v>6.8</v>
      </c>
      <c r="B125" s="212" t="s">
        <v>5</v>
      </c>
      <c r="C125" s="110" t="s">
        <v>110</v>
      </c>
      <c r="D125" s="158"/>
      <c r="E125" s="212" t="s">
        <v>107</v>
      </c>
      <c r="F125" s="111" t="s">
        <v>58</v>
      </c>
      <c r="G125" s="111"/>
      <c r="H125" s="159">
        <f>SUM(150000/E$7)/1000</f>
        <v>39.730889442178309</v>
      </c>
      <c r="I125" s="129">
        <v>100</v>
      </c>
      <c r="J125" s="129">
        <v>0</v>
      </c>
      <c r="K125" s="160">
        <v>3.3</v>
      </c>
      <c r="L125" s="111" t="s">
        <v>67</v>
      </c>
      <c r="M125" s="428">
        <v>43188</v>
      </c>
      <c r="N125" s="428">
        <v>43210</v>
      </c>
      <c r="O125" s="111"/>
      <c r="P125" s="111"/>
      <c r="Q125" s="161" t="s">
        <v>66</v>
      </c>
    </row>
    <row r="126" spans="1:17" ht="80.25" customHeight="1">
      <c r="A126" s="113">
        <v>6.9</v>
      </c>
      <c r="B126" s="212" t="s">
        <v>5</v>
      </c>
      <c r="C126" s="110" t="s">
        <v>111</v>
      </c>
      <c r="D126" s="158"/>
      <c r="E126" s="212" t="s">
        <v>107</v>
      </c>
      <c r="F126" s="111" t="s">
        <v>58</v>
      </c>
      <c r="G126" s="111"/>
      <c r="H126" s="159">
        <f>SUM(100000/E$7)/1000</f>
        <v>26.487259628118874</v>
      </c>
      <c r="I126" s="129">
        <v>100</v>
      </c>
      <c r="J126" s="129">
        <v>0</v>
      </c>
      <c r="K126" s="160">
        <v>3.3</v>
      </c>
      <c r="L126" s="111" t="s">
        <v>67</v>
      </c>
      <c r="M126" s="433">
        <v>43138</v>
      </c>
      <c r="N126" s="433">
        <v>43168</v>
      </c>
      <c r="O126" s="111"/>
      <c r="P126" s="111"/>
      <c r="Q126" s="161" t="s">
        <v>66</v>
      </c>
    </row>
    <row r="127" spans="1:17" ht="46.8">
      <c r="A127" s="164">
        <v>6.1</v>
      </c>
      <c r="B127" s="17" t="s">
        <v>5</v>
      </c>
      <c r="C127" s="14" t="s">
        <v>112</v>
      </c>
      <c r="D127" s="157"/>
      <c r="E127" s="17" t="s">
        <v>107</v>
      </c>
      <c r="F127" s="87" t="s">
        <v>250</v>
      </c>
      <c r="G127" s="165"/>
      <c r="H127" s="162">
        <f>SUM(55936/E$7)/1000</f>
        <v>14.815913545584573</v>
      </c>
      <c r="I127" s="51">
        <v>100</v>
      </c>
      <c r="J127" s="51">
        <v>0</v>
      </c>
      <c r="K127" s="133">
        <v>3.3</v>
      </c>
      <c r="L127" s="87" t="s">
        <v>67</v>
      </c>
      <c r="M127" s="432">
        <v>42661</v>
      </c>
      <c r="N127" s="431">
        <v>43199</v>
      </c>
      <c r="O127" s="87"/>
      <c r="P127" s="87"/>
      <c r="Q127" s="211" t="s">
        <v>61</v>
      </c>
    </row>
    <row r="128" spans="1:17" ht="40.5" customHeight="1">
      <c r="A128" s="99">
        <v>6.11</v>
      </c>
      <c r="B128" s="100" t="s">
        <v>5</v>
      </c>
      <c r="C128" s="102" t="s">
        <v>113</v>
      </c>
      <c r="D128" s="204"/>
      <c r="E128" s="100" t="s">
        <v>107</v>
      </c>
      <c r="F128" s="205" t="s">
        <v>249</v>
      </c>
      <c r="G128" s="205"/>
      <c r="H128" s="223">
        <f>SUM(60000/E$7)/1000</f>
        <v>15.892355776871325</v>
      </c>
      <c r="I128" s="104">
        <v>100</v>
      </c>
      <c r="J128" s="104">
        <v>0</v>
      </c>
      <c r="K128" s="224">
        <v>3.3</v>
      </c>
      <c r="L128" s="205" t="s">
        <v>67</v>
      </c>
      <c r="M128" s="437">
        <v>42632</v>
      </c>
      <c r="N128" s="437">
        <v>42951</v>
      </c>
      <c r="O128" s="205"/>
      <c r="P128" s="205"/>
      <c r="Q128" s="106" t="s">
        <v>123</v>
      </c>
    </row>
    <row r="129" spans="1:17" ht="40.5" customHeight="1">
      <c r="A129" s="113">
        <v>6.11</v>
      </c>
      <c r="B129" s="220" t="s">
        <v>5</v>
      </c>
      <c r="C129" s="154" t="s">
        <v>113</v>
      </c>
      <c r="D129" s="110"/>
      <c r="E129" s="220" t="s">
        <v>107</v>
      </c>
      <c r="F129" s="220"/>
      <c r="G129" s="128"/>
      <c r="H129" s="188">
        <f>SUM(60000/E$7)/1000</f>
        <v>15.892355776871325</v>
      </c>
      <c r="I129" s="115">
        <v>100</v>
      </c>
      <c r="J129" s="220">
        <v>0</v>
      </c>
      <c r="K129" s="130">
        <v>3.3</v>
      </c>
      <c r="L129" s="220" t="s">
        <v>67</v>
      </c>
      <c r="M129" s="427">
        <v>43146</v>
      </c>
      <c r="N129" s="427">
        <v>43189</v>
      </c>
      <c r="O129" s="220"/>
      <c r="P129" s="220"/>
      <c r="Q129" s="117" t="s">
        <v>66</v>
      </c>
    </row>
    <row r="130" spans="1:17" ht="31.2">
      <c r="A130" s="225">
        <v>6.12</v>
      </c>
      <c r="B130" s="100" t="s">
        <v>5</v>
      </c>
      <c r="C130" s="102" t="s">
        <v>114</v>
      </c>
      <c r="D130" s="204"/>
      <c r="E130" s="100" t="s">
        <v>107</v>
      </c>
      <c r="F130" s="205" t="s">
        <v>58</v>
      </c>
      <c r="G130" s="205"/>
      <c r="H130" s="223">
        <f>SUM(40000/$E$7)/1000</f>
        <v>10.594903851247551</v>
      </c>
      <c r="I130" s="104">
        <v>100</v>
      </c>
      <c r="J130" s="104">
        <v>0</v>
      </c>
      <c r="K130" s="224">
        <v>3.3</v>
      </c>
      <c r="L130" s="205" t="s">
        <v>67</v>
      </c>
      <c r="M130" s="435" t="s">
        <v>115</v>
      </c>
      <c r="N130" s="435" t="s">
        <v>58</v>
      </c>
      <c r="O130" s="205"/>
      <c r="P130" s="205"/>
      <c r="Q130" s="100" t="s">
        <v>123</v>
      </c>
    </row>
    <row r="131" spans="1:17">
      <c r="A131" s="20"/>
      <c r="B131" s="24"/>
      <c r="C131" s="24"/>
      <c r="D131" s="24"/>
      <c r="E131" s="24"/>
      <c r="F131" s="24"/>
      <c r="G131" s="37" t="s">
        <v>76</v>
      </c>
      <c r="H131" s="50">
        <f>SUM(H115:H130)-H115-H119-H121-H125-H126-H128-H129-H130</f>
        <v>148.85940032844209</v>
      </c>
      <c r="I131" s="25"/>
      <c r="J131" s="26"/>
      <c r="K131" s="26"/>
      <c r="L131" s="24"/>
      <c r="M131" s="24"/>
      <c r="N131" s="24"/>
      <c r="O131" s="24"/>
      <c r="P131" s="24"/>
      <c r="Q131" s="24"/>
    </row>
    <row r="132" spans="1:17" ht="15.75" customHeight="1" thickBot="1">
      <c r="A132" s="20"/>
      <c r="F132" s="24"/>
      <c r="G132" s="24"/>
      <c r="H132" s="24"/>
      <c r="I132" s="25"/>
      <c r="J132" s="26"/>
      <c r="K132" s="26"/>
      <c r="L132" s="24"/>
      <c r="M132" s="24"/>
      <c r="N132" s="24"/>
      <c r="O132" s="24"/>
      <c r="P132" s="24"/>
      <c r="Q132" s="24"/>
    </row>
    <row r="133" spans="1:17" ht="15" customHeight="1">
      <c r="A133" s="72">
        <v>7</v>
      </c>
      <c r="B133" s="507" t="s">
        <v>116</v>
      </c>
      <c r="C133" s="508"/>
      <c r="D133" s="508"/>
      <c r="E133" s="508"/>
      <c r="F133" s="508"/>
      <c r="G133" s="508"/>
      <c r="H133" s="508"/>
      <c r="I133" s="508"/>
      <c r="J133" s="508"/>
      <c r="K133" s="508"/>
      <c r="L133" s="508"/>
      <c r="M133" s="508"/>
      <c r="N133" s="508"/>
      <c r="O133" s="508"/>
      <c r="P133" s="508"/>
      <c r="Q133" s="509"/>
    </row>
    <row r="134" spans="1:17" ht="49.2" customHeight="1">
      <c r="A134" s="64"/>
      <c r="B134" s="510" t="s">
        <v>78</v>
      </c>
      <c r="C134" s="497" t="s">
        <v>117</v>
      </c>
      <c r="D134" s="497" t="s">
        <v>41</v>
      </c>
      <c r="E134" s="497"/>
      <c r="F134" s="497" t="s">
        <v>44</v>
      </c>
      <c r="G134" s="497"/>
      <c r="H134" s="512" t="s">
        <v>79</v>
      </c>
      <c r="I134" s="512"/>
      <c r="J134" s="512"/>
      <c r="K134" s="497" t="s">
        <v>46</v>
      </c>
      <c r="L134" s="495" t="s">
        <v>118</v>
      </c>
      <c r="M134" s="497" t="s">
        <v>0</v>
      </c>
      <c r="N134" s="497"/>
      <c r="O134" s="498" t="s">
        <v>1</v>
      </c>
      <c r="P134" s="497" t="s">
        <v>50</v>
      </c>
      <c r="Q134" s="501" t="s">
        <v>17</v>
      </c>
    </row>
    <row r="135" spans="1:17" ht="60" customHeight="1" thickBot="1">
      <c r="A135" s="65"/>
      <c r="B135" s="511"/>
      <c r="C135" s="500"/>
      <c r="D135" s="500"/>
      <c r="E135" s="500"/>
      <c r="F135" s="500"/>
      <c r="G135" s="500"/>
      <c r="H135" s="60" t="s">
        <v>82</v>
      </c>
      <c r="I135" s="60" t="s">
        <v>52</v>
      </c>
      <c r="J135" s="61" t="s">
        <v>53</v>
      </c>
      <c r="K135" s="500"/>
      <c r="L135" s="496"/>
      <c r="M135" s="60" t="s">
        <v>119</v>
      </c>
      <c r="N135" s="60" t="s">
        <v>120</v>
      </c>
      <c r="O135" s="499"/>
      <c r="P135" s="500"/>
      <c r="Q135" s="502"/>
    </row>
    <row r="136" spans="1:17" ht="56.25" customHeight="1">
      <c r="A136" s="167">
        <v>7.1</v>
      </c>
      <c r="B136" s="59" t="s">
        <v>5</v>
      </c>
      <c r="C136" s="149" t="s">
        <v>163</v>
      </c>
      <c r="D136" s="503" t="s">
        <v>225</v>
      </c>
      <c r="E136" s="504"/>
      <c r="F136" s="475" t="s">
        <v>227</v>
      </c>
      <c r="G136" s="475"/>
      <c r="H136" s="83">
        <f>SUM(1880000/E$7)/1000</f>
        <v>497.96048100863487</v>
      </c>
      <c r="I136" s="59"/>
      <c r="J136" s="57">
        <v>100</v>
      </c>
      <c r="K136" s="133" t="s">
        <v>164</v>
      </c>
      <c r="L136" s="86">
        <v>1</v>
      </c>
      <c r="M136" s="59"/>
      <c r="N136" s="59"/>
      <c r="O136" s="144" t="s">
        <v>228</v>
      </c>
      <c r="P136" s="59"/>
      <c r="Q136" s="169" t="s">
        <v>126</v>
      </c>
    </row>
    <row r="137" spans="1:17" ht="22.5" customHeight="1">
      <c r="A137" s="240">
        <v>7.2</v>
      </c>
      <c r="B137" s="100" t="s">
        <v>5</v>
      </c>
      <c r="C137" s="102" t="s">
        <v>165</v>
      </c>
      <c r="D137" s="487"/>
      <c r="E137" s="488"/>
      <c r="F137" s="487"/>
      <c r="G137" s="488"/>
      <c r="H137" s="223">
        <f>SUM(280343/E$7)/1000</f>
        <v>74.255178259257306</v>
      </c>
      <c r="I137" s="104">
        <v>100</v>
      </c>
      <c r="J137" s="104"/>
      <c r="K137" s="224" t="s">
        <v>166</v>
      </c>
      <c r="L137" s="205">
        <v>1</v>
      </c>
      <c r="M137" s="205"/>
      <c r="N137" s="205"/>
      <c r="O137" s="205"/>
      <c r="P137" s="205"/>
      <c r="Q137" s="100" t="s">
        <v>66</v>
      </c>
    </row>
    <row r="138" spans="1:17" ht="28.2" customHeight="1">
      <c r="A138" s="74">
        <v>7.3</v>
      </c>
      <c r="B138" s="17" t="s">
        <v>5</v>
      </c>
      <c r="C138" s="123" t="s">
        <v>167</v>
      </c>
      <c r="D138" s="489"/>
      <c r="E138" s="490"/>
      <c r="F138" s="489"/>
      <c r="G138" s="490"/>
      <c r="H138" s="493">
        <f>SUM(920000/E$7)/1000</f>
        <v>243.68278857869367</v>
      </c>
      <c r="I138" s="17"/>
      <c r="J138" s="17">
        <v>100</v>
      </c>
      <c r="K138" s="133" t="s">
        <v>168</v>
      </c>
      <c r="L138" s="86">
        <v>1</v>
      </c>
      <c r="M138" s="474"/>
      <c r="N138" s="474"/>
      <c r="O138" s="474"/>
      <c r="P138" s="474"/>
      <c r="Q138" s="469" t="s">
        <v>96</v>
      </c>
    </row>
    <row r="139" spans="1:17" ht="33.6" customHeight="1">
      <c r="A139" s="74">
        <v>7.4</v>
      </c>
      <c r="B139" s="17" t="s">
        <v>5</v>
      </c>
      <c r="C139" s="123" t="s">
        <v>169</v>
      </c>
      <c r="D139" s="491"/>
      <c r="E139" s="492"/>
      <c r="F139" s="491"/>
      <c r="G139" s="492"/>
      <c r="H139" s="494"/>
      <c r="I139" s="17"/>
      <c r="J139" s="17">
        <v>100</v>
      </c>
      <c r="K139" s="133" t="s">
        <v>170</v>
      </c>
      <c r="L139" s="86">
        <v>1</v>
      </c>
      <c r="M139" s="475"/>
      <c r="N139" s="475"/>
      <c r="O139" s="475"/>
      <c r="P139" s="475"/>
      <c r="Q139" s="470"/>
    </row>
    <row r="140" spans="1:17" ht="32.25" customHeight="1">
      <c r="A140" s="170">
        <v>7.5</v>
      </c>
      <c r="B140" s="17" t="s">
        <v>5</v>
      </c>
      <c r="C140" s="150" t="s">
        <v>171</v>
      </c>
      <c r="D140" s="471"/>
      <c r="E140" s="472"/>
      <c r="F140" s="473" t="s">
        <v>174</v>
      </c>
      <c r="G140" s="473"/>
      <c r="H140" s="83">
        <f>SUM(1445000/3.0653)/1000</f>
        <v>471.4057351645842</v>
      </c>
      <c r="I140" s="17"/>
      <c r="J140" s="17">
        <v>100</v>
      </c>
      <c r="K140" s="85" t="s">
        <v>172</v>
      </c>
      <c r="L140" s="86">
        <v>1</v>
      </c>
      <c r="M140" s="15"/>
      <c r="N140" s="15"/>
      <c r="O140" s="90" t="s">
        <v>173</v>
      </c>
      <c r="P140" s="15"/>
      <c r="Q140" s="84" t="s">
        <v>126</v>
      </c>
    </row>
    <row r="141" spans="1:17" ht="39.75" customHeight="1">
      <c r="A141" s="170">
        <v>7.6</v>
      </c>
      <c r="B141" s="17" t="s">
        <v>5</v>
      </c>
      <c r="C141" s="150" t="s">
        <v>175</v>
      </c>
      <c r="D141" s="471"/>
      <c r="E141" s="472"/>
      <c r="F141" s="473"/>
      <c r="G141" s="473"/>
      <c r="H141" s="134">
        <f>SUM(15000/E$7)/1000</f>
        <v>3.9730889442178312</v>
      </c>
      <c r="I141" s="17"/>
      <c r="J141" s="17">
        <v>100</v>
      </c>
      <c r="K141" s="15" t="s">
        <v>176</v>
      </c>
      <c r="L141" s="86">
        <v>1</v>
      </c>
      <c r="M141" s="15"/>
      <c r="N141" s="15"/>
      <c r="O141" s="15"/>
      <c r="P141" s="15"/>
      <c r="Q141" s="221" t="s">
        <v>126</v>
      </c>
    </row>
    <row r="142" spans="1:17" ht="36" customHeight="1">
      <c r="A142" s="170">
        <v>7.7</v>
      </c>
      <c r="B142" s="17" t="s">
        <v>5</v>
      </c>
      <c r="C142" s="150" t="s">
        <v>177</v>
      </c>
      <c r="D142" s="471"/>
      <c r="E142" s="472"/>
      <c r="F142" s="473"/>
      <c r="G142" s="473"/>
      <c r="H142" s="134">
        <f>SUM(1216599.86/E$7)/1000</f>
        <v>322.24396355353082</v>
      </c>
      <c r="I142" s="17"/>
      <c r="J142" s="17">
        <v>100</v>
      </c>
      <c r="K142" s="15" t="s">
        <v>178</v>
      </c>
      <c r="L142" s="86">
        <v>1</v>
      </c>
      <c r="M142" s="15"/>
      <c r="N142" s="15"/>
      <c r="O142" s="15"/>
      <c r="P142" s="15"/>
      <c r="Q142" s="221" t="s">
        <v>96</v>
      </c>
    </row>
    <row r="143" spans="1:17" ht="211.2">
      <c r="A143" s="170">
        <v>7.8</v>
      </c>
      <c r="B143" s="17" t="s">
        <v>5</v>
      </c>
      <c r="C143" s="150" t="s">
        <v>179</v>
      </c>
      <c r="D143" s="471" t="s">
        <v>190</v>
      </c>
      <c r="E143" s="472"/>
      <c r="F143" s="473" t="s">
        <v>229</v>
      </c>
      <c r="G143" s="473"/>
      <c r="H143" s="83">
        <f>SUM((1462062.03)/E$7)/1000</f>
        <v>387.26016581024533</v>
      </c>
      <c r="I143" s="17"/>
      <c r="J143" s="17">
        <v>100</v>
      </c>
      <c r="K143" s="85" t="s">
        <v>180</v>
      </c>
      <c r="L143" s="86">
        <v>1</v>
      </c>
      <c r="M143" s="15"/>
      <c r="N143" s="15"/>
      <c r="O143" s="90" t="s">
        <v>189</v>
      </c>
      <c r="P143" s="15"/>
      <c r="Q143" s="84" t="s">
        <v>126</v>
      </c>
    </row>
    <row r="144" spans="1:17" ht="409.5" customHeight="1">
      <c r="A144" s="222">
        <v>7.9</v>
      </c>
      <c r="B144" s="17"/>
      <c r="C144" s="150" t="s">
        <v>179</v>
      </c>
      <c r="D144" s="471"/>
      <c r="E144" s="472"/>
      <c r="F144" s="471" t="s">
        <v>267</v>
      </c>
      <c r="G144" s="472"/>
      <c r="H144" s="83">
        <f>SUM((43606)/E$7)/1000</f>
        <v>11.550034433437517</v>
      </c>
      <c r="I144" s="17">
        <v>100</v>
      </c>
      <c r="J144" s="17">
        <v>0</v>
      </c>
      <c r="K144" s="85" t="s">
        <v>180</v>
      </c>
      <c r="L144" s="86">
        <v>1</v>
      </c>
      <c r="M144" s="15"/>
      <c r="N144" s="15"/>
      <c r="O144" s="90" t="s">
        <v>266</v>
      </c>
      <c r="P144" s="15"/>
      <c r="Q144" s="84" t="s">
        <v>126</v>
      </c>
    </row>
    <row r="145" spans="1:17" ht="198">
      <c r="A145" s="164">
        <v>7.1</v>
      </c>
      <c r="B145" s="17" t="s">
        <v>5</v>
      </c>
      <c r="C145" s="150" t="s">
        <v>181</v>
      </c>
      <c r="D145" s="471"/>
      <c r="E145" s="472"/>
      <c r="F145" s="473" t="s">
        <v>226</v>
      </c>
      <c r="G145" s="473"/>
      <c r="H145" s="83">
        <f>SUM(507000/E$7)/1000</f>
        <v>134.29040631456269</v>
      </c>
      <c r="I145" s="17"/>
      <c r="J145" s="17">
        <v>100</v>
      </c>
      <c r="K145" s="85" t="s">
        <v>182</v>
      </c>
      <c r="L145" s="86">
        <v>1</v>
      </c>
      <c r="M145" s="15"/>
      <c r="N145" s="15"/>
      <c r="O145" s="90" t="s">
        <v>281</v>
      </c>
      <c r="P145" s="15"/>
      <c r="Q145" s="84" t="s">
        <v>126</v>
      </c>
    </row>
    <row r="146" spans="1:17" ht="213.75" customHeight="1" thickBot="1">
      <c r="A146" s="233">
        <v>7.11</v>
      </c>
      <c r="B146" s="27" t="s">
        <v>5</v>
      </c>
      <c r="C146" s="155" t="s">
        <v>179</v>
      </c>
      <c r="D146" s="485"/>
      <c r="E146" s="486"/>
      <c r="F146" s="485" t="s">
        <v>280</v>
      </c>
      <c r="G146" s="486"/>
      <c r="H146" s="236">
        <f>SUM((80000)/E$7)/1000</f>
        <v>21.189807702495102</v>
      </c>
      <c r="I146" s="27"/>
      <c r="J146" s="27">
        <v>100</v>
      </c>
      <c r="K146" s="237" t="s">
        <v>180</v>
      </c>
      <c r="L146" s="238">
        <v>1</v>
      </c>
      <c r="M146" s="27"/>
      <c r="N146" s="27"/>
      <c r="O146" s="239" t="s">
        <v>279</v>
      </c>
      <c r="P146" s="27"/>
      <c r="Q146" s="82" t="s">
        <v>126</v>
      </c>
    </row>
    <row r="147" spans="1:17">
      <c r="G147" s="8" t="s">
        <v>76</v>
      </c>
      <c r="H147" s="185">
        <f>H59+H74+H87+H100+G110+H131</f>
        <v>44682.525605233903</v>
      </c>
    </row>
    <row r="148" spans="1:17">
      <c r="B148" s="11" t="s">
        <v>37</v>
      </c>
    </row>
    <row r="150" spans="1:17" ht="15.75" customHeight="1"/>
    <row r="151" spans="1:17">
      <c r="A151" s="476" t="s">
        <v>121</v>
      </c>
      <c r="B151" s="477"/>
      <c r="C151" s="29" t="s">
        <v>64</v>
      </c>
    </row>
    <row r="152" spans="1:17">
      <c r="A152" s="476"/>
      <c r="B152" s="477"/>
      <c r="C152" s="29" t="s">
        <v>67</v>
      </c>
    </row>
    <row r="153" spans="1:17">
      <c r="A153" s="476"/>
      <c r="B153" s="477"/>
      <c r="C153" s="30" t="s">
        <v>59</v>
      </c>
    </row>
    <row r="154" spans="1:17" ht="15.75" customHeight="1"/>
    <row r="155" spans="1:17">
      <c r="A155" s="476" t="s">
        <v>17</v>
      </c>
      <c r="B155" s="477"/>
      <c r="C155" s="29" t="s">
        <v>66</v>
      </c>
    </row>
    <row r="156" spans="1:17">
      <c r="A156" s="476"/>
      <c r="B156" s="477"/>
      <c r="C156" s="29" t="s">
        <v>96</v>
      </c>
    </row>
    <row r="157" spans="1:17">
      <c r="A157" s="476"/>
      <c r="B157" s="477"/>
      <c r="C157" s="29" t="s">
        <v>122</v>
      </c>
      <c r="H157" s="2"/>
      <c r="I157" s="2"/>
      <c r="J157" s="2"/>
    </row>
    <row r="158" spans="1:17">
      <c r="A158" s="476"/>
      <c r="B158" s="477"/>
      <c r="C158" s="29" t="s">
        <v>123</v>
      </c>
      <c r="H158" s="2"/>
      <c r="I158" s="2"/>
      <c r="J158" s="2"/>
    </row>
    <row r="159" spans="1:17">
      <c r="A159" s="476"/>
      <c r="B159" s="477"/>
      <c r="C159" s="29" t="s">
        <v>124</v>
      </c>
      <c r="H159" s="2"/>
      <c r="I159" s="2"/>
      <c r="J159" s="2"/>
    </row>
    <row r="160" spans="1:17">
      <c r="A160" s="476"/>
      <c r="B160" s="477"/>
      <c r="C160" s="29" t="s">
        <v>125</v>
      </c>
      <c r="H160" s="2"/>
      <c r="I160" s="2"/>
      <c r="J160" s="2"/>
    </row>
    <row r="161" spans="1:10">
      <c r="A161" s="476"/>
      <c r="B161" s="477"/>
      <c r="C161" s="29" t="s">
        <v>61</v>
      </c>
      <c r="H161" s="2"/>
      <c r="I161" s="2"/>
      <c r="J161" s="2"/>
    </row>
    <row r="162" spans="1:10">
      <c r="A162" s="476"/>
      <c r="B162" s="477"/>
      <c r="C162" s="29" t="s">
        <v>126</v>
      </c>
      <c r="H162" s="2"/>
      <c r="I162" s="2"/>
      <c r="J162" s="2"/>
    </row>
    <row r="164" spans="1:10" ht="46.8">
      <c r="A164" s="478" t="s">
        <v>127</v>
      </c>
      <c r="B164" s="479"/>
      <c r="C164" s="480" t="s">
        <v>128</v>
      </c>
      <c r="D164" s="29" t="s">
        <v>95</v>
      </c>
      <c r="E164" s="29" t="s">
        <v>95</v>
      </c>
      <c r="H164" s="2"/>
      <c r="I164" s="2"/>
      <c r="J164" s="2"/>
    </row>
    <row r="165" spans="1:10" ht="31.2">
      <c r="A165" s="478"/>
      <c r="B165" s="479"/>
      <c r="C165" s="480"/>
      <c r="D165" s="29" t="s">
        <v>129</v>
      </c>
      <c r="E165" s="29" t="s">
        <v>129</v>
      </c>
      <c r="H165" s="2"/>
      <c r="I165" s="2"/>
      <c r="J165" s="2"/>
    </row>
    <row r="166" spans="1:10" ht="46.8">
      <c r="A166" s="478"/>
      <c r="B166" s="479"/>
      <c r="C166" s="480"/>
      <c r="D166" s="29" t="s">
        <v>98</v>
      </c>
      <c r="E166" s="29" t="s">
        <v>98</v>
      </c>
      <c r="H166" s="2"/>
      <c r="I166" s="2"/>
      <c r="J166" s="2"/>
    </row>
    <row r="167" spans="1:10" ht="31.2">
      <c r="A167" s="478"/>
      <c r="B167" s="479"/>
      <c r="C167" s="480"/>
      <c r="D167" s="29" t="s">
        <v>83</v>
      </c>
      <c r="E167" s="29" t="s">
        <v>83</v>
      </c>
      <c r="H167" s="2"/>
      <c r="I167" s="2"/>
      <c r="J167" s="2"/>
    </row>
    <row r="168" spans="1:10" ht="31.2">
      <c r="A168" s="478"/>
      <c r="B168" s="479"/>
      <c r="C168" s="480"/>
      <c r="D168" s="29" t="s">
        <v>63</v>
      </c>
      <c r="E168" s="29" t="s">
        <v>63</v>
      </c>
      <c r="H168" s="2"/>
      <c r="I168" s="2"/>
      <c r="J168" s="2"/>
    </row>
    <row r="169" spans="1:10" ht="46.8">
      <c r="A169" s="478"/>
      <c r="B169" s="479"/>
      <c r="C169" s="480"/>
      <c r="D169" s="29" t="s">
        <v>130</v>
      </c>
      <c r="E169" s="29" t="s">
        <v>130</v>
      </c>
      <c r="H169" s="2"/>
      <c r="I169" s="2"/>
      <c r="J169" s="2"/>
    </row>
    <row r="170" spans="1:10" ht="46.8">
      <c r="A170" s="478"/>
      <c r="B170" s="479"/>
      <c r="C170" s="480"/>
      <c r="D170" s="29" t="s">
        <v>131</v>
      </c>
      <c r="E170" s="29" t="s">
        <v>131</v>
      </c>
      <c r="H170" s="2"/>
      <c r="I170" s="2"/>
      <c r="J170" s="2"/>
    </row>
    <row r="171" spans="1:10" ht="31.2">
      <c r="A171" s="478"/>
      <c r="B171" s="479"/>
      <c r="C171" s="481" t="s">
        <v>132</v>
      </c>
      <c r="D171" s="29" t="s">
        <v>68</v>
      </c>
      <c r="E171" s="29" t="s">
        <v>57</v>
      </c>
      <c r="H171" s="2"/>
      <c r="I171" s="2"/>
      <c r="J171" s="2"/>
    </row>
    <row r="172" spans="1:10" ht="31.2">
      <c r="A172" s="478"/>
      <c r="B172" s="479"/>
      <c r="C172" s="481"/>
      <c r="D172" s="29" t="s">
        <v>57</v>
      </c>
      <c r="E172" s="29" t="s">
        <v>107</v>
      </c>
      <c r="H172" s="2"/>
      <c r="I172" s="2"/>
      <c r="J172" s="2"/>
    </row>
    <row r="173" spans="1:10" ht="31.2">
      <c r="A173" s="478"/>
      <c r="B173" s="479"/>
      <c r="C173" s="481"/>
      <c r="D173" s="29" t="s">
        <v>107</v>
      </c>
      <c r="H173" s="2"/>
      <c r="I173" s="2"/>
      <c r="J173" s="2"/>
    </row>
    <row r="174" spans="1:10" ht="31.2">
      <c r="A174" s="478"/>
      <c r="B174" s="479"/>
      <c r="C174" s="481"/>
      <c r="D174" s="29" t="s">
        <v>83</v>
      </c>
      <c r="H174" s="2"/>
      <c r="I174" s="2"/>
      <c r="J174" s="2"/>
    </row>
    <row r="175" spans="1:10" ht="31.2">
      <c r="A175" s="478"/>
      <c r="B175" s="479"/>
      <c r="C175" s="481"/>
      <c r="D175" s="29" t="s">
        <v>63</v>
      </c>
      <c r="H175" s="2"/>
      <c r="I175" s="2"/>
      <c r="J175" s="2"/>
    </row>
    <row r="176" spans="1:10" ht="46.8">
      <c r="A176" s="478"/>
      <c r="B176" s="479"/>
      <c r="C176" s="481"/>
      <c r="D176" s="29" t="s">
        <v>133</v>
      </c>
      <c r="H176" s="2"/>
      <c r="I176" s="2"/>
      <c r="J176" s="2"/>
    </row>
    <row r="177" spans="1:10" ht="46.8">
      <c r="A177" s="478"/>
      <c r="B177" s="479"/>
      <c r="C177" s="481"/>
      <c r="D177" s="29" t="s">
        <v>134</v>
      </c>
      <c r="H177" s="2"/>
      <c r="I177" s="2"/>
      <c r="J177" s="2"/>
    </row>
    <row r="178" spans="1:10" ht="46.8">
      <c r="A178" s="478"/>
      <c r="B178" s="479"/>
      <c r="C178" s="481"/>
      <c r="D178" s="29" t="s">
        <v>135</v>
      </c>
      <c r="H178" s="2"/>
      <c r="I178" s="2"/>
      <c r="J178" s="2"/>
    </row>
    <row r="179" spans="1:10" ht="46.8">
      <c r="A179" s="478"/>
      <c r="B179" s="479"/>
      <c r="C179" s="481"/>
      <c r="D179" s="29" t="s">
        <v>136</v>
      </c>
      <c r="H179" s="2"/>
      <c r="I179" s="2"/>
      <c r="J179" s="2"/>
    </row>
    <row r="180" spans="1:10" ht="46.8">
      <c r="A180" s="478"/>
      <c r="B180" s="479"/>
      <c r="C180" s="481"/>
      <c r="D180" s="29" t="s">
        <v>137</v>
      </c>
      <c r="H180" s="2"/>
      <c r="I180" s="2"/>
      <c r="J180" s="2"/>
    </row>
    <row r="181" spans="1:10" ht="31.2">
      <c r="A181" s="478"/>
      <c r="B181" s="479"/>
      <c r="C181" s="482" t="s">
        <v>138</v>
      </c>
      <c r="D181" s="29" t="s">
        <v>104</v>
      </c>
      <c r="H181" s="2"/>
      <c r="I181" s="2"/>
      <c r="J181" s="2"/>
    </row>
    <row r="182" spans="1:10" ht="31.2">
      <c r="A182" s="478"/>
      <c r="B182" s="479"/>
      <c r="C182" s="483"/>
      <c r="D182" s="29" t="s">
        <v>83</v>
      </c>
      <c r="H182" s="2"/>
      <c r="I182" s="2"/>
      <c r="J182" s="2"/>
    </row>
    <row r="183" spans="1:10" ht="31.2">
      <c r="A183" s="478"/>
      <c r="B183" s="479"/>
      <c r="C183" s="484"/>
      <c r="D183" s="29" t="s">
        <v>63</v>
      </c>
      <c r="H183" s="2"/>
      <c r="I183" s="2"/>
      <c r="J183" s="2"/>
    </row>
  </sheetData>
  <mergeCells count="163">
    <mergeCell ref="K17:K27"/>
    <mergeCell ref="L17:L27"/>
    <mergeCell ref="P15:P16"/>
    <mergeCell ref="O34:O39"/>
    <mergeCell ref="I17:I28"/>
    <mergeCell ref="J17:J28"/>
    <mergeCell ref="M17:M27"/>
    <mergeCell ref="Q34:Q39"/>
    <mergeCell ref="M34:M39"/>
    <mergeCell ref="N34:N39"/>
    <mergeCell ref="L34:L39"/>
    <mergeCell ref="F95:G95"/>
    <mergeCell ref="B12:Q12"/>
    <mergeCell ref="B14:Q14"/>
    <mergeCell ref="B15:B16"/>
    <mergeCell ref="C15:C16"/>
    <mergeCell ref="D15:D16"/>
    <mergeCell ref="E15:E16"/>
    <mergeCell ref="F15:F16"/>
    <mergeCell ref="G15:G16"/>
    <mergeCell ref="H15:J15"/>
    <mergeCell ref="M15:N15"/>
    <mergeCell ref="Q15:Q16"/>
    <mergeCell ref="K15:K16"/>
    <mergeCell ref="L15:L16"/>
    <mergeCell ref="O15:O16"/>
    <mergeCell ref="E62:E63"/>
    <mergeCell ref="F62:F63"/>
    <mergeCell ref="G62:G63"/>
    <mergeCell ref="P34:P39"/>
    <mergeCell ref="B61:Q61"/>
    <mergeCell ref="Q17:Q28"/>
    <mergeCell ref="P17:P27"/>
    <mergeCell ref="G34:G39"/>
    <mergeCell ref="K34:K39"/>
    <mergeCell ref="B90:B91"/>
    <mergeCell ref="C90:C91"/>
    <mergeCell ref="D90:D91"/>
    <mergeCell ref="E90:E91"/>
    <mergeCell ref="F90:G90"/>
    <mergeCell ref="I34:I39"/>
    <mergeCell ref="J34:J39"/>
    <mergeCell ref="C62:C63"/>
    <mergeCell ref="D62:D63"/>
    <mergeCell ref="E34:E39"/>
    <mergeCell ref="F34:F39"/>
    <mergeCell ref="O90:O91"/>
    <mergeCell ref="P90:P91"/>
    <mergeCell ref="Q90:Q91"/>
    <mergeCell ref="F91:G91"/>
    <mergeCell ref="F92:G92"/>
    <mergeCell ref="L77:L78"/>
    <mergeCell ref="M77:N77"/>
    <mergeCell ref="O77:O78"/>
    <mergeCell ref="P77:P78"/>
    <mergeCell ref="Q77:Q78"/>
    <mergeCell ref="F77:F78"/>
    <mergeCell ref="G77:G78"/>
    <mergeCell ref="H77:J77"/>
    <mergeCell ref="K77:K78"/>
    <mergeCell ref="F93:G93"/>
    <mergeCell ref="K90:K91"/>
    <mergeCell ref="L90:L91"/>
    <mergeCell ref="M90:N90"/>
    <mergeCell ref="D103:D104"/>
    <mergeCell ref="E103:E104"/>
    <mergeCell ref="F103:F104"/>
    <mergeCell ref="G103:I103"/>
    <mergeCell ref="F94:G94"/>
    <mergeCell ref="F96:G96"/>
    <mergeCell ref="H90:J90"/>
    <mergeCell ref="F97:G97"/>
    <mergeCell ref="F98:G98"/>
    <mergeCell ref="F99:G99"/>
    <mergeCell ref="B102:Q102"/>
    <mergeCell ref="J103:J104"/>
    <mergeCell ref="K103:K104"/>
    <mergeCell ref="L103:L104"/>
    <mergeCell ref="M103:N103"/>
    <mergeCell ref="O103:O104"/>
    <mergeCell ref="P103:P104"/>
    <mergeCell ref="Q103:Q104"/>
    <mergeCell ref="B103:B104"/>
    <mergeCell ref="C103:C104"/>
    <mergeCell ref="M134:N134"/>
    <mergeCell ref="N138:N139"/>
    <mergeCell ref="B112:Q112"/>
    <mergeCell ref="B113:B114"/>
    <mergeCell ref="C113:C114"/>
    <mergeCell ref="D113:D114"/>
    <mergeCell ref="E113:E114"/>
    <mergeCell ref="F113:G114"/>
    <mergeCell ref="H113:J113"/>
    <mergeCell ref="K113:K114"/>
    <mergeCell ref="L113:L114"/>
    <mergeCell ref="Q138:Q139"/>
    <mergeCell ref="M138:M139"/>
    <mergeCell ref="O134:O135"/>
    <mergeCell ref="P134:P135"/>
    <mergeCell ref="H134:J134"/>
    <mergeCell ref="H138:H139"/>
    <mergeCell ref="Q134:Q135"/>
    <mergeCell ref="M113:N113"/>
    <mergeCell ref="O113:O114"/>
    <mergeCell ref="P113:P114"/>
    <mergeCell ref="Q113:Q114"/>
    <mergeCell ref="B133:Q133"/>
    <mergeCell ref="B134:B135"/>
    <mergeCell ref="C134:C135"/>
    <mergeCell ref="D134:E135"/>
    <mergeCell ref="F134:G135"/>
    <mergeCell ref="D136:E136"/>
    <mergeCell ref="F136:G136"/>
    <mergeCell ref="D137:E137"/>
    <mergeCell ref="F137:G137"/>
    <mergeCell ref="F138:G139"/>
    <mergeCell ref="D138:E139"/>
    <mergeCell ref="K134:K135"/>
    <mergeCell ref="L134:L135"/>
    <mergeCell ref="A34:A39"/>
    <mergeCell ref="B34:B39"/>
    <mergeCell ref="C34:C39"/>
    <mergeCell ref="G17:G25"/>
    <mergeCell ref="E17:E27"/>
    <mergeCell ref="A17:A28"/>
    <mergeCell ref="B17:B28"/>
    <mergeCell ref="C17:C28"/>
    <mergeCell ref="B89:Q89"/>
    <mergeCell ref="Q62:Q63"/>
    <mergeCell ref="B76:Q76"/>
    <mergeCell ref="B77:B78"/>
    <mergeCell ref="C77:C78"/>
    <mergeCell ref="D77:D78"/>
    <mergeCell ref="E77:E78"/>
    <mergeCell ref="H62:J62"/>
    <mergeCell ref="K62:K63"/>
    <mergeCell ref="L62:L63"/>
    <mergeCell ref="M62:N62"/>
    <mergeCell ref="O62:O63"/>
    <mergeCell ref="P62:P63"/>
    <mergeCell ref="B62:B63"/>
    <mergeCell ref="O138:O139"/>
    <mergeCell ref="P138:P139"/>
    <mergeCell ref="A164:B183"/>
    <mergeCell ref="C164:C170"/>
    <mergeCell ref="C171:C180"/>
    <mergeCell ref="C181:C183"/>
    <mergeCell ref="D144:E144"/>
    <mergeCell ref="F144:G144"/>
    <mergeCell ref="F141:G141"/>
    <mergeCell ref="A151:B153"/>
    <mergeCell ref="A155:B162"/>
    <mergeCell ref="D145:E145"/>
    <mergeCell ref="F145:G145"/>
    <mergeCell ref="D146:E146"/>
    <mergeCell ref="F146:G146"/>
    <mergeCell ref="D140:E140"/>
    <mergeCell ref="F140:G140"/>
    <mergeCell ref="D141:E141"/>
    <mergeCell ref="D142:E142"/>
    <mergeCell ref="F142:G142"/>
    <mergeCell ref="D143:E143"/>
    <mergeCell ref="F143:G143"/>
  </mergeCells>
  <dataValidations count="15">
    <dataValidation type="list" allowBlank="1" showInputMessage="1" showErrorMessage="1" sqref="Q136:Q138 Q41:Q44 Q59:Q60 Q48:Q53 Q115:Q130 Q17 Q140:Q146 Q29:Q37 Q105:Q110 Q79:Q87 Q92:Q100 Q65:Q74" xr:uid="{00000000-0002-0000-0100-000000000000}">
      <formula1>$C$155:$C$162</formula1>
    </dataValidation>
    <dataValidation type="list" allowBlank="1" showInputMessage="1" showErrorMessage="1" sqref="L115:L130 L29:L37 L17 L64:L74 L79:L87 L41:L44 L105:L110 L92:L100 L48:L54 L59:L60" xr:uid="{00000000-0002-0000-0100-000001000000}">
      <formula1>$C$151:$C$153</formula1>
    </dataValidation>
    <dataValidation type="list" allowBlank="1" showInputMessage="1" showErrorMessage="1" sqref="E105:E110" xr:uid="{00000000-0002-0000-0100-000002000000}">
      <formula1>$D$181:$D$183</formula1>
    </dataValidation>
    <dataValidation type="list" allowBlank="1" showInputMessage="1" showErrorMessage="1" sqref="E92:E100" xr:uid="{00000000-0002-0000-0100-000003000000}">
      <formula1>$D$164:$D$170</formula1>
    </dataValidation>
    <dataValidation type="list" allowBlank="1" showInputMessage="1" showErrorMessage="1" sqref="E64:E74 E29:E37 E17 E41:E44 E79:E87 E48:E54 E59:E60" xr:uid="{00000000-0002-0000-0100-000004000000}">
      <formula1>$D$171:$D$180</formula1>
    </dataValidation>
    <dataValidation type="list" allowBlank="1" showInputMessage="1" showErrorMessage="1" sqref="Q64" xr:uid="{00000000-0002-0000-0100-000005000000}">
      <formula1>$C$145:$C$152</formula1>
    </dataValidation>
    <dataValidation type="list" allowBlank="1" showInputMessage="1" showErrorMessage="1" sqref="Q45:Q47 Q54" xr:uid="{00000000-0002-0000-0100-000006000000}">
      <formula1>$C$153:$C$160</formula1>
    </dataValidation>
    <dataValidation type="list" allowBlank="1" showInputMessage="1" showErrorMessage="1" sqref="E45:E47" xr:uid="{00000000-0002-0000-0100-000007000000}">
      <formula1>$D$169:$D$178</formula1>
    </dataValidation>
    <dataValidation type="list" allowBlank="1" showInputMessage="1" showErrorMessage="1" sqref="L45:L47" xr:uid="{00000000-0002-0000-0100-000008000000}">
      <formula1>$C$149:$C$151</formula1>
    </dataValidation>
    <dataValidation type="list" allowBlank="1" showInputMessage="1" showErrorMessage="1" sqref="L40" xr:uid="{00000000-0002-0000-0100-000009000000}">
      <formula1>$C$136:$C$138</formula1>
    </dataValidation>
    <dataValidation type="list" allowBlank="1" showInputMessage="1" showErrorMessage="1" sqref="E40" xr:uid="{00000000-0002-0000-0100-00000A000000}">
      <formula1>$D$156:$D$165</formula1>
    </dataValidation>
    <dataValidation type="list" allowBlank="1" showInputMessage="1" showErrorMessage="1" sqref="Q40" xr:uid="{00000000-0002-0000-0100-00000B000000}">
      <formula1>$C$140:$C$147</formula1>
    </dataValidation>
    <dataValidation type="list" allowBlank="1" showInputMessage="1" showErrorMessage="1" sqref="E55:E58" xr:uid="{00000000-0002-0000-0100-00000C000000}">
      <formula1>$D$167:$D$176</formula1>
    </dataValidation>
    <dataValidation type="list" allowBlank="1" showInputMessage="1" showErrorMessage="1" sqref="Q55:Q58" xr:uid="{00000000-0002-0000-0100-00000D000000}">
      <formula1>$C$151:$C$158</formula1>
    </dataValidation>
    <dataValidation type="list" allowBlank="1" showInputMessage="1" showErrorMessage="1" sqref="L55:L58" xr:uid="{00000000-0002-0000-0100-00000E000000}">
      <formula1>$C$147:$C$149</formula1>
    </dataValidation>
  </dataValidations>
  <pageMargins left="0.51181102362204722" right="0.51181102362204722" top="0.78740157480314965" bottom="0.78740157480314965" header="0.31496062992125984" footer="0.31496062992125984"/>
  <pageSetup paperSize="9" scale="40" orientation="landscape" r:id="rId1"/>
  <rowBreaks count="1" manualBreakCount="1">
    <brk id="150" max="1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100"/>
  <sheetViews>
    <sheetView view="pageBreakPreview" zoomScaleSheetLayoutView="100" workbookViewId="0">
      <selection activeCell="B42" sqref="B42"/>
    </sheetView>
  </sheetViews>
  <sheetFormatPr defaultColWidth="9.109375" defaultRowHeight="15.6"/>
  <cols>
    <col min="1" max="1" width="56.88671875" style="2" customWidth="1"/>
    <col min="2" max="2" width="90.109375" style="2" customWidth="1"/>
    <col min="3" max="3" width="62.33203125" style="2" customWidth="1"/>
    <col min="4" max="4" width="41.44140625" style="2" customWidth="1"/>
    <col min="5" max="5" width="36.6640625" style="2" customWidth="1"/>
    <col min="6" max="7" width="12.88671875" style="2" customWidth="1"/>
    <col min="8" max="8" width="15.6640625" style="4" customWidth="1"/>
    <col min="9" max="9" width="15.6640625" style="5" customWidth="1"/>
    <col min="10" max="10" width="18" style="5" customWidth="1"/>
    <col min="11" max="11" width="12.6640625" style="2" customWidth="1"/>
    <col min="12" max="12" width="19.5546875" style="2" customWidth="1"/>
    <col min="13" max="13" width="15.5546875" style="2" customWidth="1"/>
    <col min="14" max="14" width="15" style="2" customWidth="1"/>
    <col min="15" max="17" width="18.88671875" style="2" customWidth="1"/>
    <col min="18" max="16384" width="9.109375" style="2"/>
  </cols>
  <sheetData>
    <row r="1" spans="1:19">
      <c r="B1" s="3"/>
    </row>
    <row r="2" spans="1:19">
      <c r="A2" s="582" t="s">
        <v>15</v>
      </c>
      <c r="B2" s="582"/>
      <c r="C2" s="31"/>
      <c r="D2" s="31"/>
      <c r="E2" s="31"/>
      <c r="F2" s="31"/>
      <c r="G2" s="31"/>
      <c r="H2" s="31"/>
      <c r="I2" s="31"/>
      <c r="J2" s="31"/>
      <c r="K2" s="31"/>
      <c r="L2" s="31"/>
      <c r="M2" s="31"/>
    </row>
    <row r="3" spans="1:19">
      <c r="A3" s="582" t="s">
        <v>34</v>
      </c>
      <c r="B3" s="582"/>
      <c r="C3" s="6"/>
      <c r="D3" s="6"/>
      <c r="E3" s="6"/>
      <c r="F3" s="6"/>
      <c r="G3" s="6"/>
      <c r="H3" s="6"/>
      <c r="I3" s="6"/>
      <c r="J3" s="6"/>
      <c r="K3" s="6"/>
      <c r="L3" s="6"/>
      <c r="M3" s="6"/>
    </row>
    <row r="4" spans="1:19">
      <c r="A4" s="583" t="s">
        <v>35</v>
      </c>
      <c r="B4" s="583"/>
      <c r="C4" s="32"/>
      <c r="D4" s="32"/>
      <c r="E4" s="32"/>
      <c r="F4" s="32"/>
      <c r="G4" s="32"/>
      <c r="H4" s="32"/>
      <c r="I4" s="32"/>
      <c r="J4" s="32"/>
      <c r="K4" s="32"/>
      <c r="L4" s="32"/>
      <c r="M4" s="32"/>
    </row>
    <row r="5" spans="1:19">
      <c r="A5" s="584" t="s">
        <v>16</v>
      </c>
      <c r="B5" s="584"/>
      <c r="C5" s="33"/>
      <c r="D5" s="33"/>
      <c r="E5" s="33"/>
      <c r="F5" s="33"/>
      <c r="G5" s="33"/>
      <c r="H5" s="33"/>
      <c r="I5" s="33"/>
      <c r="J5" s="33"/>
      <c r="K5" s="33"/>
      <c r="L5" s="33"/>
      <c r="M5" s="33"/>
    </row>
    <row r="6" spans="1:19">
      <c r="C6" s="34"/>
      <c r="D6" s="34"/>
      <c r="E6" s="34"/>
      <c r="F6" s="34"/>
      <c r="G6" s="34"/>
      <c r="H6" s="35"/>
      <c r="I6" s="36"/>
      <c r="J6" s="36"/>
      <c r="K6" s="34"/>
      <c r="L6" s="34"/>
      <c r="M6" s="34"/>
    </row>
    <row r="7" spans="1:19">
      <c r="B7" s="3"/>
    </row>
    <row r="8" spans="1:19">
      <c r="A8" s="8" t="str">
        <f>'PA maio-jun18 completo'!A7</f>
        <v>Atualizado em: 25/06/2018</v>
      </c>
      <c r="B8" s="9"/>
      <c r="C8" s="9"/>
    </row>
    <row r="9" spans="1:19">
      <c r="A9" s="8" t="str">
        <f>'PA maio-jun18 completo'!A8</f>
        <v>Atualização Nº: 08</v>
      </c>
      <c r="B9" s="10"/>
      <c r="C9" s="10"/>
    </row>
    <row r="10" spans="1:19">
      <c r="A10" s="8" t="s">
        <v>36</v>
      </c>
      <c r="B10" s="10"/>
      <c r="C10" s="10"/>
    </row>
    <row r="11" spans="1:19">
      <c r="B11" s="11"/>
    </row>
    <row r="12" spans="1:19">
      <c r="A12" s="585" t="s">
        <v>139</v>
      </c>
      <c r="B12" s="585"/>
      <c r="C12" s="37"/>
      <c r="D12" s="37"/>
      <c r="E12" s="37"/>
      <c r="F12" s="37"/>
      <c r="G12" s="37"/>
      <c r="H12" s="37"/>
      <c r="I12" s="37"/>
      <c r="J12" s="37"/>
      <c r="K12" s="37"/>
      <c r="L12" s="37"/>
      <c r="M12" s="37"/>
      <c r="N12" s="37"/>
      <c r="O12" s="37"/>
      <c r="P12" s="37"/>
      <c r="Q12" s="37"/>
      <c r="R12" s="13"/>
      <c r="S12" s="13"/>
    </row>
    <row r="13" spans="1:19" ht="15.75" customHeight="1">
      <c r="B13" s="12"/>
      <c r="C13" s="12"/>
      <c r="D13" s="12"/>
      <c r="E13" s="12"/>
      <c r="F13" s="12"/>
      <c r="G13" s="12"/>
      <c r="H13" s="12"/>
      <c r="I13" s="12"/>
      <c r="J13" s="12"/>
      <c r="K13" s="12"/>
      <c r="L13" s="12"/>
      <c r="M13" s="12"/>
      <c r="N13" s="12"/>
      <c r="O13" s="12"/>
      <c r="P13" s="12"/>
      <c r="Q13" s="12"/>
      <c r="R13" s="13"/>
      <c r="S13" s="13"/>
    </row>
    <row r="14" spans="1:19">
      <c r="A14" s="11"/>
      <c r="B14" s="13"/>
      <c r="H14" s="2"/>
      <c r="I14" s="2"/>
      <c r="J14" s="2"/>
    </row>
    <row r="15" spans="1:19">
      <c r="A15" s="13"/>
      <c r="B15" s="13"/>
      <c r="H15" s="2"/>
      <c r="I15" s="2"/>
      <c r="J15" s="2"/>
    </row>
    <row r="16" spans="1:19" s="148" customFormat="1" ht="16.2" thickBot="1">
      <c r="A16" s="18"/>
      <c r="B16" s="18"/>
    </row>
    <row r="17" spans="1:10">
      <c r="A17" s="580" t="s">
        <v>140</v>
      </c>
      <c r="B17" s="580" t="s">
        <v>141</v>
      </c>
      <c r="H17" s="2"/>
      <c r="I17" s="2"/>
      <c r="J17" s="2"/>
    </row>
    <row r="18" spans="1:10" ht="16.2" thickBot="1">
      <c r="A18" s="581"/>
      <c r="B18" s="581"/>
      <c r="H18" s="2"/>
      <c r="I18" s="2"/>
      <c r="J18" s="2"/>
    </row>
    <row r="19" spans="1:10" ht="16.2" thickBot="1">
      <c r="A19" s="41" t="s">
        <v>2</v>
      </c>
      <c r="B19" s="42"/>
      <c r="H19" s="2"/>
      <c r="I19" s="2"/>
      <c r="J19" s="2"/>
    </row>
    <row r="20" spans="1:10" ht="46.8">
      <c r="A20" s="43" t="s">
        <v>315</v>
      </c>
      <c r="B20" s="201" t="s">
        <v>323</v>
      </c>
      <c r="H20" s="2"/>
      <c r="I20" s="2"/>
      <c r="J20" s="2"/>
    </row>
    <row r="21" spans="1:10" ht="31.2">
      <c r="A21" s="44" t="s">
        <v>316</v>
      </c>
      <c r="B21" s="202" t="s">
        <v>324</v>
      </c>
      <c r="H21" s="2"/>
      <c r="I21" s="2"/>
      <c r="J21" s="2"/>
    </row>
    <row r="22" spans="1:10">
      <c r="A22" s="265" t="s">
        <v>327</v>
      </c>
      <c r="B22" s="266" t="s">
        <v>328</v>
      </c>
      <c r="H22" s="2"/>
      <c r="I22" s="2"/>
      <c r="J22" s="2"/>
    </row>
    <row r="23" spans="1:10">
      <c r="A23" s="44"/>
      <c r="B23" s="44"/>
      <c r="H23" s="2"/>
      <c r="I23" s="2"/>
      <c r="J23" s="2"/>
    </row>
    <row r="24" spans="1:10" ht="16.2" thickBot="1">
      <c r="A24" s="191"/>
      <c r="B24" s="38"/>
      <c r="H24" s="2"/>
      <c r="I24" s="2"/>
      <c r="J24" s="2"/>
    </row>
    <row r="25" spans="1:10" ht="16.2" thickBot="1">
      <c r="A25" s="41" t="s">
        <v>142</v>
      </c>
      <c r="B25" s="42"/>
      <c r="H25" s="2"/>
      <c r="I25" s="2"/>
      <c r="J25" s="2"/>
    </row>
    <row r="26" spans="1:10" ht="31.2">
      <c r="A26" s="43" t="s">
        <v>308</v>
      </c>
      <c r="B26" s="201" t="s">
        <v>307</v>
      </c>
      <c r="H26" s="2"/>
      <c r="I26" s="2"/>
      <c r="J26" s="2"/>
    </row>
    <row r="27" spans="1:10">
      <c r="A27" s="44"/>
      <c r="B27" s="202"/>
      <c r="H27" s="2"/>
      <c r="I27" s="2"/>
      <c r="J27" s="2"/>
    </row>
    <row r="28" spans="1:10">
      <c r="A28" s="44"/>
      <c r="B28" s="202"/>
      <c r="H28" s="2"/>
      <c r="I28" s="2"/>
      <c r="J28" s="2"/>
    </row>
    <row r="29" spans="1:10" ht="16.2" thickBot="1">
      <c r="A29" s="45"/>
      <c r="B29" s="242"/>
      <c r="H29" s="2"/>
      <c r="I29" s="2"/>
      <c r="J29" s="2"/>
    </row>
    <row r="30" spans="1:10" ht="16.2" thickBot="1">
      <c r="A30" s="41" t="s">
        <v>143</v>
      </c>
      <c r="B30" s="243"/>
      <c r="H30" s="2"/>
      <c r="I30" s="2"/>
      <c r="J30" s="2"/>
    </row>
    <row r="31" spans="1:10" ht="46.8">
      <c r="A31" s="201" t="s">
        <v>306</v>
      </c>
      <c r="B31" s="201" t="s">
        <v>325</v>
      </c>
      <c r="H31" s="2"/>
      <c r="I31" s="2"/>
      <c r="J31" s="2"/>
    </row>
    <row r="32" spans="1:10">
      <c r="A32" s="202"/>
      <c r="B32" s="202"/>
      <c r="H32" s="2"/>
      <c r="I32" s="2"/>
      <c r="J32" s="2"/>
    </row>
    <row r="33" spans="1:10">
      <c r="A33" s="44"/>
      <c r="B33" s="202"/>
      <c r="H33" s="2"/>
      <c r="I33" s="2"/>
      <c r="J33" s="2"/>
    </row>
    <row r="34" spans="1:10" ht="16.2" thickBot="1">
      <c r="A34" s="45"/>
      <c r="B34" s="242"/>
      <c r="H34" s="2"/>
      <c r="I34" s="2"/>
      <c r="J34" s="2"/>
    </row>
    <row r="35" spans="1:10" ht="16.2" thickBot="1">
      <c r="A35" s="41" t="s">
        <v>144</v>
      </c>
      <c r="B35" s="243"/>
      <c r="H35" s="2"/>
      <c r="I35" s="2"/>
      <c r="J35" s="2"/>
    </row>
    <row r="36" spans="1:10" ht="31.2">
      <c r="A36" s="43" t="s">
        <v>309</v>
      </c>
      <c r="B36" s="201" t="s">
        <v>310</v>
      </c>
      <c r="H36" s="2"/>
      <c r="I36" s="2"/>
      <c r="J36" s="2"/>
    </row>
    <row r="37" spans="1:10">
      <c r="A37" s="44"/>
      <c r="B37" s="202"/>
      <c r="H37" s="2"/>
      <c r="I37" s="2"/>
      <c r="J37" s="2"/>
    </row>
    <row r="38" spans="1:10" ht="16.2" thickBot="1">
      <c r="A38" s="38"/>
      <c r="B38" s="244"/>
      <c r="H38" s="2"/>
      <c r="I38" s="2"/>
      <c r="J38" s="2"/>
    </row>
    <row r="39" spans="1:10" ht="16.2" thickBot="1">
      <c r="A39" s="41" t="s">
        <v>145</v>
      </c>
      <c r="B39" s="243"/>
      <c r="H39" s="2"/>
      <c r="I39" s="2"/>
      <c r="J39" s="2"/>
    </row>
    <row r="40" spans="1:10" ht="31.2">
      <c r="A40" s="43" t="s">
        <v>311</v>
      </c>
      <c r="B40" s="262" t="s">
        <v>312</v>
      </c>
      <c r="H40" s="2"/>
      <c r="I40" s="2"/>
      <c r="J40" s="2"/>
    </row>
    <row r="41" spans="1:10">
      <c r="A41" s="48"/>
      <c r="B41" s="245"/>
      <c r="H41" s="2"/>
      <c r="I41" s="2"/>
      <c r="J41" s="2"/>
    </row>
    <row r="42" spans="1:10">
      <c r="A42" s="44"/>
      <c r="B42" s="245"/>
      <c r="H42" s="2"/>
      <c r="I42" s="2"/>
      <c r="J42" s="2"/>
    </row>
    <row r="43" spans="1:10" ht="16.2" thickBot="1">
      <c r="A43" s="45"/>
      <c r="B43" s="263"/>
      <c r="H43" s="2"/>
      <c r="I43" s="2"/>
      <c r="J43" s="2"/>
    </row>
    <row r="44" spans="1:10" ht="16.2" thickBot="1">
      <c r="A44" s="41" t="s">
        <v>146</v>
      </c>
      <c r="B44" s="243"/>
      <c r="H44" s="2"/>
      <c r="I44" s="2"/>
      <c r="J44" s="2"/>
    </row>
    <row r="45" spans="1:10" ht="31.2">
      <c r="A45" s="43" t="s">
        <v>318</v>
      </c>
      <c r="B45" s="202" t="s">
        <v>307</v>
      </c>
      <c r="H45" s="2"/>
      <c r="I45" s="2"/>
      <c r="J45" s="2"/>
    </row>
    <row r="46" spans="1:10" ht="37.5" customHeight="1">
      <c r="A46" s="44" t="s">
        <v>317</v>
      </c>
      <c r="B46" s="245" t="s">
        <v>326</v>
      </c>
      <c r="H46" s="2"/>
      <c r="I46" s="2"/>
      <c r="J46" s="2"/>
    </row>
    <row r="47" spans="1:10" ht="61.5" customHeight="1">
      <c r="A47" s="44" t="s">
        <v>319</v>
      </c>
      <c r="B47" s="245" t="s">
        <v>320</v>
      </c>
      <c r="H47" s="2"/>
      <c r="I47" s="2"/>
      <c r="J47" s="2"/>
    </row>
    <row r="48" spans="1:10" ht="14.25" customHeight="1">
      <c r="A48" s="44"/>
      <c r="B48" s="46"/>
      <c r="H48" s="2"/>
      <c r="I48" s="2"/>
      <c r="J48" s="2"/>
    </row>
    <row r="49" spans="1:10" ht="16.2" thickBot="1">
      <c r="A49" s="45"/>
      <c r="B49" s="47"/>
      <c r="H49" s="2"/>
      <c r="I49" s="2"/>
      <c r="J49" s="2"/>
    </row>
    <row r="50" spans="1:10" ht="16.2" hidden="1" thickBot="1">
      <c r="A50" s="41" t="s">
        <v>147</v>
      </c>
      <c r="B50" s="42"/>
      <c r="H50" s="2"/>
      <c r="I50" s="2"/>
      <c r="J50" s="2"/>
    </row>
    <row r="51" spans="1:10" hidden="1">
      <c r="A51" s="43"/>
      <c r="B51" s="43"/>
      <c r="H51" s="2"/>
      <c r="I51" s="2"/>
      <c r="J51" s="2"/>
    </row>
    <row r="52" spans="1:10" hidden="1">
      <c r="A52" s="44"/>
      <c r="B52" s="44"/>
      <c r="H52" s="2"/>
      <c r="I52" s="2"/>
      <c r="J52" s="2"/>
    </row>
    <row r="53" spans="1:10" ht="16.2" hidden="1" thickBot="1">
      <c r="A53" s="44"/>
      <c r="B53" s="38"/>
      <c r="H53" s="2"/>
      <c r="I53" s="2"/>
      <c r="J53" s="2"/>
    </row>
    <row r="54" spans="1:10" hidden="1">
      <c r="H54" s="2"/>
      <c r="I54" s="2"/>
      <c r="J54" s="2"/>
    </row>
    <row r="55" spans="1:10">
      <c r="H55" s="2"/>
      <c r="I55" s="2"/>
      <c r="J55" s="2"/>
    </row>
    <row r="56" spans="1:10">
      <c r="H56" s="2"/>
      <c r="I56" s="2"/>
      <c r="J56" s="2"/>
    </row>
    <row r="57" spans="1:10">
      <c r="H57" s="2"/>
      <c r="I57" s="2"/>
      <c r="J57" s="2"/>
    </row>
    <row r="58" spans="1:10">
      <c r="H58" s="2"/>
      <c r="I58" s="2"/>
      <c r="J58" s="2"/>
    </row>
    <row r="59" spans="1:10">
      <c r="H59" s="2"/>
      <c r="I59" s="2"/>
      <c r="J59" s="2"/>
    </row>
    <row r="60" spans="1:10">
      <c r="H60" s="2"/>
      <c r="I60" s="2"/>
      <c r="J60" s="2"/>
    </row>
    <row r="61" spans="1:10">
      <c r="H61" s="2"/>
      <c r="I61" s="2"/>
      <c r="J61" s="2"/>
    </row>
    <row r="62" spans="1:10">
      <c r="H62" s="2"/>
      <c r="I62" s="2"/>
      <c r="J62" s="2"/>
    </row>
    <row r="63" spans="1:10">
      <c r="H63" s="2"/>
      <c r="I63" s="2"/>
      <c r="J63" s="2"/>
    </row>
    <row r="64" spans="1:10">
      <c r="H64" s="2"/>
      <c r="I64" s="2"/>
      <c r="J64" s="2"/>
    </row>
    <row r="65" spans="8:10">
      <c r="H65" s="2"/>
      <c r="I65" s="2"/>
      <c r="J65" s="2"/>
    </row>
    <row r="66" spans="8:10">
      <c r="H66" s="2"/>
      <c r="I66" s="2"/>
      <c r="J66" s="2"/>
    </row>
    <row r="67" spans="8:10">
      <c r="H67" s="2"/>
      <c r="I67" s="2"/>
      <c r="J67" s="2"/>
    </row>
    <row r="68" spans="8:10">
      <c r="H68" s="2"/>
      <c r="I68" s="2"/>
      <c r="J68" s="2"/>
    </row>
    <row r="69" spans="8:10">
      <c r="H69" s="2"/>
      <c r="I69" s="2"/>
      <c r="J69" s="2"/>
    </row>
    <row r="70" spans="8:10">
      <c r="H70" s="2"/>
      <c r="I70" s="2"/>
      <c r="J70" s="2"/>
    </row>
    <row r="71" spans="8:10">
      <c r="H71" s="2"/>
      <c r="I71" s="2"/>
      <c r="J71" s="2"/>
    </row>
    <row r="72" spans="8:10" ht="15.75" customHeight="1">
      <c r="H72" s="2"/>
      <c r="I72" s="2"/>
      <c r="J72" s="2"/>
    </row>
    <row r="73" spans="8:10">
      <c r="H73" s="2"/>
      <c r="I73" s="2"/>
      <c r="J73" s="2"/>
    </row>
    <row r="74" spans="8:10">
      <c r="H74" s="2"/>
      <c r="I74" s="2"/>
      <c r="J74" s="2"/>
    </row>
    <row r="75" spans="8:10">
      <c r="H75" s="2"/>
      <c r="I75" s="2"/>
      <c r="J75" s="2"/>
    </row>
    <row r="76" spans="8:10">
      <c r="H76" s="2"/>
      <c r="I76" s="2"/>
      <c r="J76" s="2"/>
    </row>
    <row r="77" spans="8:10">
      <c r="H77" s="2"/>
      <c r="I77" s="2"/>
      <c r="J77" s="2"/>
    </row>
    <row r="78" spans="8:10">
      <c r="H78" s="2"/>
      <c r="I78" s="2"/>
      <c r="J78" s="2"/>
    </row>
    <row r="79" spans="8:10">
      <c r="H79" s="2"/>
      <c r="I79" s="2"/>
      <c r="J79" s="2"/>
    </row>
    <row r="80" spans="8:10">
      <c r="H80" s="2"/>
      <c r="I80" s="2"/>
      <c r="J80" s="2"/>
    </row>
    <row r="81" spans="8:10">
      <c r="H81" s="2"/>
      <c r="I81" s="2"/>
      <c r="J81" s="2"/>
    </row>
    <row r="82" spans="8:10" ht="15.75" customHeight="1">
      <c r="H82" s="2"/>
      <c r="I82" s="2"/>
      <c r="J82" s="2"/>
    </row>
    <row r="83" spans="8:10">
      <c r="H83" s="2"/>
      <c r="I83" s="2"/>
      <c r="J83" s="2"/>
    </row>
    <row r="84" spans="8:10">
      <c r="H84" s="2"/>
      <c r="I84" s="2"/>
      <c r="J84" s="2"/>
    </row>
    <row r="85" spans="8:10">
      <c r="H85" s="2"/>
      <c r="I85" s="2"/>
      <c r="J85" s="2"/>
    </row>
    <row r="86" spans="8:10">
      <c r="H86" s="2"/>
      <c r="I86" s="2"/>
      <c r="J86" s="2"/>
    </row>
    <row r="87" spans="8:10">
      <c r="H87" s="2"/>
      <c r="I87" s="2"/>
      <c r="J87" s="2"/>
    </row>
    <row r="88" spans="8:10">
      <c r="H88" s="2"/>
      <c r="I88" s="2"/>
      <c r="J88" s="2"/>
    </row>
    <row r="89" spans="8:10">
      <c r="H89" s="2"/>
      <c r="I89" s="2"/>
      <c r="J89" s="2"/>
    </row>
    <row r="90" spans="8:10">
      <c r="H90" s="2"/>
      <c r="I90" s="2"/>
      <c r="J90" s="2"/>
    </row>
    <row r="91" spans="8:10">
      <c r="H91" s="2"/>
      <c r="I91" s="2"/>
      <c r="J91" s="2"/>
    </row>
    <row r="92" spans="8:10" ht="15.75" customHeight="1">
      <c r="H92" s="2"/>
      <c r="I92" s="2"/>
      <c r="J92" s="2"/>
    </row>
    <row r="93" spans="8:10">
      <c r="H93" s="2"/>
      <c r="I93" s="2"/>
      <c r="J93" s="2"/>
    </row>
    <row r="94" spans="8:10">
      <c r="H94" s="2"/>
      <c r="I94" s="2"/>
      <c r="J94" s="2"/>
    </row>
    <row r="95" spans="8:10">
      <c r="H95" s="2"/>
      <c r="I95" s="2"/>
      <c r="J95" s="2"/>
    </row>
    <row r="96" spans="8:10">
      <c r="H96" s="2"/>
      <c r="I96" s="2"/>
      <c r="J96" s="2"/>
    </row>
    <row r="97" spans="8:10">
      <c r="H97" s="2"/>
      <c r="I97" s="2"/>
      <c r="J97" s="2"/>
    </row>
    <row r="98" spans="8:10">
      <c r="H98" s="2"/>
      <c r="I98" s="2"/>
      <c r="J98" s="2"/>
    </row>
    <row r="99" spans="8:10">
      <c r="H99" s="2"/>
      <c r="I99" s="2"/>
      <c r="J99" s="2"/>
    </row>
    <row r="100" spans="8:10" ht="15.75" customHeight="1">
      <c r="H100" s="2"/>
      <c r="I100" s="2"/>
      <c r="J100" s="2"/>
    </row>
  </sheetData>
  <mergeCells count="7">
    <mergeCell ref="A17:A18"/>
    <mergeCell ref="B17:B18"/>
    <mergeCell ref="A2:B2"/>
    <mergeCell ref="A3:B3"/>
    <mergeCell ref="A4:B4"/>
    <mergeCell ref="A5:B5"/>
    <mergeCell ref="A12:B12"/>
  </mergeCells>
  <pageMargins left="0.511811024" right="0.511811024" top="0.78740157499999996" bottom="0.78740157499999996" header="0.31496062000000002" footer="0.31496062000000002"/>
  <pageSetup paperSize="9" scale="64"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9C30FA74A13AB3429E2FC0D5840E30BF" ma:contentTypeVersion="631" ma:contentTypeDescription="A content type to manage public (operations) IDB documents" ma:contentTypeScope="" ma:versionID="575c54c6ecc83aa94d0e9f8d1e03665d">
  <xsd:schema xmlns:xsd="http://www.w3.org/2001/XMLSchema" xmlns:xs="http://www.w3.org/2001/XMLSchema" xmlns:p="http://schemas.microsoft.com/office/2006/metadata/properties" xmlns:ns2="cdc7663a-08f0-4737-9e8c-148ce897a09c" targetNamespace="http://schemas.microsoft.com/office/2006/metadata/properties" ma:root="true" ma:fieldsID="e65b677a63c7e194a2ba9c8659883345"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L1344"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2999/OC-BR</Approval_x0020_Number>
    <Phase xmlns="cdc7663a-08f0-4737-9e8c-148ce897a09c">ACTIVE</Phase>
    <Document_x0020_Author xmlns="cdc7663a-08f0-4737-9e8c-148ce897a09c">do Nascimento, Daniela Rocha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URBAN LAND PLANNING AND MANAGEMENT</TermName>
          <TermId xmlns="http://schemas.microsoft.com/office/infopath/2007/PartnerControls">90ab6d72-620b-441b-acf3-280810ce8a73</TermId>
        </TermInfo>
      </Terms>
    </b2ec7cfb18674cb8803df6b262e8b107>
    <Business_x0020_Area xmlns="cdc7663a-08f0-4737-9e8c-148ce897a09c">General Documents</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50</Value>
      <Value>33</Value>
      <Value>3</Value>
      <Value>30</Value>
      <Value>40</Value>
    </TaxCatchAll>
    <Operation_x0020_Type xmlns="cdc7663a-08f0-4737-9e8c-148ce897a09c">LON</Operation_x0020_Type>
    <Package_x0020_Code xmlns="cdc7663a-08f0-4737-9e8c-148ce897a09c" xsi:nil="true"/>
    <Identifier xmlns="cdc7663a-08f0-4737-9e8c-148ce897a09c" xsi:nil="true"/>
    <Project_x0020_Number xmlns="cdc7663a-08f0-4737-9e8c-148ce897a09c">BR-L1344</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URBAN DEVELOPMENT AND HOUSING</TermName>
          <TermId xmlns="http://schemas.microsoft.com/office/infopath/2007/PartnerControls">d14615ee-683d-4ec6-a5cf-ae743c6c4ac1</TermId>
        </TermInfo>
      </Terms>
    </nddeef1749674d76abdbe4b239a70bc6>
    <Record_x0020_Number xmlns="cdc7663a-08f0-4737-9e8c-148ce897a09c">R0002383746</Record_x0020_Number>
    <_dlc_DocId xmlns="cdc7663a-08f0-4737-9e8c-148ce897a09c">EZSHARE-893088200-3</_dlc_DocId>
    <_dlc_DocIdUrl xmlns="cdc7663a-08f0-4737-9e8c-148ce897a09c">
      <Url>https://idbg.sharepoint.com/teams/EZ-BR-LON/BR-L1344/_layouts/15/DocIdRedir.aspx?ID=EZSHARE-893088200-3</Url>
      <Description>EZSHARE-893088200-3</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909FB610-D067-46B8-A8F0-09C4E522195A}"/>
</file>

<file path=customXml/itemProps2.xml><?xml version="1.0" encoding="utf-8"?>
<ds:datastoreItem xmlns:ds="http://schemas.openxmlformats.org/officeDocument/2006/customXml" ds:itemID="{04166531-6006-4C62-8606-292650ABD712}"/>
</file>

<file path=customXml/itemProps3.xml><?xml version="1.0" encoding="utf-8"?>
<ds:datastoreItem xmlns:ds="http://schemas.openxmlformats.org/officeDocument/2006/customXml" ds:itemID="{4262494A-42AE-4F22-A7D8-364EFB268A23}"/>
</file>

<file path=customXml/itemProps4.xml><?xml version="1.0" encoding="utf-8"?>
<ds:datastoreItem xmlns:ds="http://schemas.openxmlformats.org/officeDocument/2006/customXml" ds:itemID="{1391C3E6-7B70-4634-8BDF-570D54FFD24E}"/>
</file>

<file path=customXml/itemProps5.xml><?xml version="1.0" encoding="utf-8"?>
<ds:datastoreItem xmlns:ds="http://schemas.openxmlformats.org/officeDocument/2006/customXml" ds:itemID="{5F88EC50-5514-44A9-B513-81A4D63726A9}"/>
</file>

<file path=customXml/itemProps6.xml><?xml version="1.0" encoding="utf-8"?>
<ds:datastoreItem xmlns:ds="http://schemas.openxmlformats.org/officeDocument/2006/customXml" ds:itemID="{B660C349-61E1-4BC8-B4EE-C005A779545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PA maio-jun18 public</vt:lpstr>
      <vt:lpstr>PA maio-jun18 completo</vt:lpstr>
      <vt:lpstr>Fol Com PA maio-jun18</vt:lpstr>
      <vt:lpstr>'PA maio-jun18 completo'!Print_Area</vt:lpstr>
      <vt:lpstr>'PA maio-jun18 public'!Print_Area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Fildel L</dc:creator>
  <cp:lastModifiedBy>do Nascimento, Daniela Rocha</cp:lastModifiedBy>
  <cp:lastPrinted>2018-06-26T17:34:23Z</cp:lastPrinted>
  <dcterms:created xsi:type="dcterms:W3CDTF">2006-06-09T19:34:36Z</dcterms:created>
  <dcterms:modified xsi:type="dcterms:W3CDTF">2018-07-13T13:19:25Z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50;#URBAN LAND PLANNING AND MANAGEMENT|90ab6d72-620b-441b-acf3-280810ce8a73</vt:lpwstr>
  </property>
  <property fmtid="{D5CDD505-2E9C-101B-9397-08002B2CF9AE}" pid="7" name="Fund IDB">
    <vt:lpwstr>33;#ORC|c028a4b2-ad8b-4cf4-9cac-a2ae6a778e23</vt:lpwstr>
  </property>
  <property fmtid="{D5CDD505-2E9C-101B-9397-08002B2CF9AE}" pid="8" name="Country">
    <vt:lpwstr>30;#Brazil|7deb27ec-6837-4974-9aa8-6cfbac841ef8</vt:lpwstr>
  </property>
  <property fmtid="{D5CDD505-2E9C-101B-9397-08002B2CF9AE}" pid="9" name="Sector IDB">
    <vt:lpwstr>40;#URBAN DEVELOPMENT AND HOUSING|d14615ee-683d-4ec6-a5cf-ae743c6c4ac1</vt:lpwstr>
  </property>
  <property fmtid="{D5CDD505-2E9C-101B-9397-08002B2CF9AE}" pid="10" name="Function Operations IDB">
    <vt:lpwstr>3;#Project Administration|751f71fd-1433-4702-a2db-ff12a4e45594</vt:lpwstr>
  </property>
  <property fmtid="{D5CDD505-2E9C-101B-9397-08002B2CF9AE}" pid="11" name="_dlc_DocIdItemGuid">
    <vt:lpwstr>5bdaa11a-db6a-44d3-beac-4d5140e3a8f5</vt:lpwstr>
  </property>
  <property fmtid="{D5CDD505-2E9C-101B-9397-08002B2CF9AE}" pid="12" name="Disclosure Activity">
    <vt:lpwstr>Procurement Plan</vt:lpwstr>
  </property>
  <property fmtid="{D5CDD505-2E9C-101B-9397-08002B2CF9AE}" pid="13" name="ContentTypeId">
    <vt:lpwstr>0x0101001A458A224826124E8B45B1D613300CFC009C30FA74A13AB3429E2FC0D5840E30BF</vt:lpwstr>
  </property>
</Properties>
</file>